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500" activeTab="0"/>
  </bookViews>
  <sheets>
    <sheet name="видатки" sheetId="1" r:id="rId1"/>
  </sheets>
  <definedNames>
    <definedName name="_xlnm.Print_Titles" localSheetId="0">'видатки'!$8:$8</definedName>
    <definedName name="_xlnm.Print_Area" localSheetId="0">'видатки'!$B$1:$X$64</definedName>
  </definedNames>
  <calcPr fullCalcOnLoad="1"/>
</workbook>
</file>

<file path=xl/sharedStrings.xml><?xml version="1.0" encoding="utf-8"?>
<sst xmlns="http://schemas.openxmlformats.org/spreadsheetml/2006/main" count="141" uniqueCount="103">
  <si>
    <t>Разом</t>
  </si>
  <si>
    <t>Державне управління</t>
  </si>
  <si>
    <t xml:space="preserve">Охорона здоров’я 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</si>
  <si>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</si>
  <si>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</si>
  <si>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</si>
  <si>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</si>
  <si>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</si>
  <si>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</si>
  <si>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в тому числі субвенції з державного бюджету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</si>
  <si>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</si>
  <si>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</si>
  <si>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</si>
  <si>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</si>
  <si>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Повернення</t>
  </si>
  <si>
    <t>Надання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</si>
  <si>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</si>
  <si>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пільгового довгострокового кредиту громадянам на будівництво (реконструкцію) та придбання житла</t>
  </si>
  <si>
    <t>Повернення бюджетних позичок суб'єктам підприємницької діяльності</t>
  </si>
  <si>
    <t>Засоби масової інформації</t>
  </si>
  <si>
    <t>Надання бюджетних позичок суб'єктам підприємницької діяльності</t>
  </si>
  <si>
    <t>Всього кредитування</t>
  </si>
  <si>
    <t>208400</t>
  </si>
  <si>
    <t>Кошти, що передаються із загального фонду бюджету до бюджету розвитку (спеціального фонду)</t>
  </si>
  <si>
    <t>301000</t>
  </si>
  <si>
    <t>Позики, надані міжнародними фінансовими організаціями</t>
  </si>
  <si>
    <t>301100</t>
  </si>
  <si>
    <t>Одержано позик</t>
  </si>
  <si>
    <t>301200</t>
  </si>
  <si>
    <t>Погашено позик</t>
  </si>
  <si>
    <t>Найменування</t>
  </si>
  <si>
    <t>Місцевий борг - разом</t>
  </si>
  <si>
    <t>Зовнішній борг</t>
  </si>
  <si>
    <t>Північна Екологічна Фінансова Корпорація (НЕФКО)</t>
  </si>
  <si>
    <t>Заборгованість за позиками, наданими міжнародними фінансовими організаціями</t>
  </si>
  <si>
    <t>1. Видатки  та кредитувння міського бюджету</t>
  </si>
  <si>
    <t>1.1. Видатки</t>
  </si>
  <si>
    <t>1.2. Кредитування</t>
  </si>
  <si>
    <t>2. Фінансування*</t>
  </si>
  <si>
    <t>3. Місцевий борг</t>
  </si>
  <si>
    <t>0100</t>
  </si>
  <si>
    <t>1000</t>
  </si>
  <si>
    <t>2000</t>
  </si>
  <si>
    <t>3000</t>
  </si>
  <si>
    <t>4000</t>
  </si>
  <si>
    <t>5000</t>
  </si>
  <si>
    <t>6000</t>
  </si>
  <si>
    <t>7300</t>
  </si>
  <si>
    <t>7400</t>
  </si>
  <si>
    <t>7600</t>
  </si>
  <si>
    <t>8000</t>
  </si>
  <si>
    <t>9100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</si>
  <si>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</si>
  <si>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</si>
  <si>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</si>
  <si>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(видатки та кредитування, фінансування та боргові зобов'язання)</t>
  </si>
  <si>
    <t>7000</t>
  </si>
  <si>
    <t>Економічна діяльність</t>
  </si>
  <si>
    <t>7100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</si>
  <si>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</si>
  <si>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</si>
  <si>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</si>
  <si>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</si>
  <si>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</si>
  <si>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</si>
  <si>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Інша діяльність</t>
  </si>
  <si>
    <t>8100</t>
  </si>
  <si>
    <t>8200</t>
  </si>
  <si>
    <t>8300</t>
  </si>
  <si>
    <t>8400</t>
  </si>
  <si>
    <t>8600</t>
  </si>
  <si>
    <t>8700</t>
  </si>
  <si>
    <t>9000</t>
  </si>
  <si>
    <t>9700</t>
  </si>
  <si>
    <t>Захист населення і територій від надзвичайних ситуацій техногенного та природного характеру</t>
  </si>
  <si>
    <t>Громадський порядок та безпека</t>
  </si>
  <si>
    <t xml:space="preserve">Охорона навколишнього природного середовища </t>
  </si>
  <si>
    <t>Обслуговування місцевого боргу</t>
  </si>
  <si>
    <t>Резервний фонд</t>
  </si>
  <si>
    <t>Дотації з місцевого бюджету іншим бюджетам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</si>
  <si>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</si>
  <si>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8821</t>
  </si>
  <si>
    <t>8861</t>
  </si>
  <si>
    <t>8862</t>
  </si>
  <si>
    <t>8822</t>
  </si>
  <si>
    <t>Касові видатки за І півріччя 2017 року,  тис. грн.</t>
  </si>
  <si>
    <t>Затверджено з урахуванням змін                       за І півріччя 2018 року, тис. грн.</t>
  </si>
  <si>
    <t>Касові видатки за І півріччя 2018 року, тис. грн.</t>
  </si>
  <si>
    <t>Відсоток виконання до затвердженого з урахуванням змін за І півріччя 2017 року, %</t>
  </si>
  <si>
    <t>Відхилення касових видатків за І півріччя 2018 року до І півріччя 2017 року, %</t>
  </si>
  <si>
    <t>Станом на 30.06.2017 року, тис. грн.</t>
  </si>
  <si>
    <t>Станом на 30.06.2018 року, тис. грн.</t>
  </si>
  <si>
    <t>9500</t>
  </si>
  <si>
    <t>9800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</si>
  <si>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</si>
  <si>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</si>
  <si>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r>
      <t xml:space="preserve">Культура і мистецтво </t>
    </r>
    <r>
      <rPr>
        <i/>
        <sz val="17"/>
        <rFont val="Times New Roman"/>
        <family val="1"/>
      </rPr>
      <t>(без урахування шкіл естетичного виховання)</t>
    </r>
  </si>
  <si>
    <r>
      <t xml:space="preserve">Освіта </t>
    </r>
    <r>
      <rPr>
        <i/>
        <sz val="17"/>
        <rFont val="Times New Roman"/>
        <family val="1"/>
      </rPr>
      <t>(з урахуванням шкіл естетичного виховання)</t>
    </r>
  </si>
  <si>
    <t xml:space="preserve">* Станом на 01.01.2018 року на рахунках міського бюджету залишок коштів склав - 136 416,0 тис. грн., з них загального фонду - 115 848,3 тис. грн., спеціального фонду - 20 567,7 тис. гривень. Станом на 01.07.2017 року направлено на видатки та кредитування - 133 375,4 тис. гривень, з них загального фонду - 67 349,8 тис. гривень, спеціального фонду - 66 025,6 тис. гривень, з них шляхом передачі коштів із загального фонду бюджету до бюджету розвитку - 45 687,5 тис. гривень.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</si>
  <si>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Направлено перевиконання дохідної частини загального фонду міського бюджету (врахованих у розписі міського бюджету на січень – березень 2018 року)  - 21 498,4 тис. грн. (з них на загальний фонд – 20 233,0 тис. грн. та спеціальний фонд шляхом передачі коштів із загального фонду бюджету до бюджету розвитку – 1 265,4 тис. грн.) та кошти бюджету розвитку (спеціальний фонд) - 2 264,0 тис. гривень.</t>
  </si>
  <si>
    <t>Директор департаменту</t>
  </si>
  <si>
    <t>С.А. Липова</t>
  </si>
  <si>
    <t>Аналіз показників щодо виконання міського бюджету за І півріччя 2017 - 2018 років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</si>
</sst>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</numFmts>
  <fonts count="6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b/>
      <i/>
      <sz val="15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color indexed="10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sz val="17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22"/>
      <name val="Times New Roman"/>
      <family val="1"/>
    </font>
    <font>
      <sz val="15"/>
      <name val="Times New Roman"/>
      <family val="1"/>
    </font>
    <font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color indexed="10"/>
      <name val="Times New Roman"/>
      <family val="1"/>
    </font>
    <font>
      <sz val="25"/>
      <name val="Times New Roman"/>
      <family val="1"/>
    </font>
    <font>
      <i/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84" fontId="14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4" fontId="15" fillId="0" borderId="10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184" fontId="1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85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85" fontId="26" fillId="0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5" fontId="27" fillId="0" borderId="0" xfId="0" applyNumberFormat="1" applyFont="1" applyFill="1" applyAlignment="1">
      <alignment vertical="center" wrapText="1"/>
    </xf>
    <xf numFmtId="184" fontId="12" fillId="0" borderId="10" xfId="0" applyNumberFormat="1" applyFont="1" applyFill="1" applyBorder="1" applyAlignment="1" applyProtection="1">
      <alignment horizontal="right" vertical="center" wrapText="1"/>
      <protection/>
    </xf>
    <xf numFmtId="184" fontId="2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0" fontId="22" fillId="4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84" fontId="10" fillId="0" borderId="10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showZeros="0" tabSelected="1" view="pageBreakPreview" zoomScale="40" zoomScaleSheetLayoutView="40" zoomScalePageLayoutView="0" workbookViewId="0" topLeftCell="C1">
      <selection activeCell="B2" sqref="B2:X2"/>
    </sheetView>
  </sheetViews>
  <sheetFormatPr defaultColWidth="9.140625" defaultRowHeight="12.75" outlineLevelCol="1"/>
  <cols>
    <col min="1" max="1" width="12.00390625" style="46" hidden="1" customWidth="1"/>
    <col min="2" max="2" width="15.00390625" style="1" hidden="1" customWidth="1" outlineLevel="1"/>
    <col min="3" max="3" width="49.57421875" style="1" customWidth="1" collapsed="1"/>
    <col min="4" max="4" width="17.8515625" style="47" hidden="1" customWidth="1"/>
    <col min="5" max="5" width="16.57421875" style="47" hidden="1" customWidth="1"/>
    <col min="6" max="6" width="14.00390625" style="47" hidden="1" customWidth="1"/>
    <col min="7" max="7" width="15.7109375" style="47" hidden="1" customWidth="1"/>
    <col min="8" max="8" width="11.57421875" style="47" hidden="1" customWidth="1"/>
    <col min="9" max="9" width="5.7109375" style="47" hidden="1" customWidth="1"/>
    <col min="10" max="10" width="21.7109375" style="96" customWidth="1"/>
    <col min="11" max="11" width="22.57421875" style="1" customWidth="1"/>
    <col min="12" max="12" width="21.421875" style="1" customWidth="1"/>
    <col min="13" max="13" width="21.00390625" style="1" customWidth="1"/>
    <col min="14" max="14" width="23.00390625" style="1" customWidth="1"/>
    <col min="15" max="15" width="20.421875" style="1" bestFit="1" customWidth="1"/>
    <col min="16" max="16" width="21.421875" style="1" customWidth="1"/>
    <col min="17" max="17" width="21.7109375" style="1" customWidth="1"/>
    <col min="18" max="18" width="18.28125" style="1" customWidth="1"/>
    <col min="19" max="19" width="23.00390625" style="87" customWidth="1"/>
    <col min="20" max="20" width="22.57421875" style="87" customWidth="1"/>
    <col min="21" max="21" width="17.7109375" style="87" customWidth="1"/>
    <col min="22" max="22" width="20.140625" style="86" customWidth="1"/>
    <col min="23" max="23" width="22.421875" style="86" customWidth="1"/>
    <col min="24" max="24" width="16.57421875" style="86" customWidth="1"/>
    <col min="25" max="25" width="9.140625" style="47" customWidth="1"/>
    <col min="26" max="26" width="9.421875" style="47" bestFit="1" customWidth="1"/>
    <col min="27" max="16384" width="9.140625" style="47" customWidth="1"/>
  </cols>
  <sheetData>
    <row r="1" spans="19:24" ht="35.25" customHeight="1">
      <c r="S1" s="113" t="s">
        <v>52</v>
      </c>
      <c r="T1" s="113"/>
      <c r="U1" s="113"/>
      <c r="V1" s="113"/>
      <c r="W1" s="113"/>
      <c r="X1" s="113"/>
    </row>
    <row r="2" spans="1:24" s="49" customFormat="1" ht="37.5" customHeight="1">
      <c r="A2" s="48"/>
      <c r="B2" s="116" t="s">
        <v>102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s="49" customFormat="1" ht="33" customHeight="1">
      <c r="A3" s="48"/>
      <c r="B3" s="5"/>
      <c r="C3" s="114" t="s">
        <v>55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5"/>
      <c r="X3" s="5"/>
    </row>
    <row r="4" spans="1:24" s="49" customFormat="1" ht="15" customHeight="1">
      <c r="A4" s="48"/>
      <c r="B4" s="5"/>
      <c r="C4" s="27"/>
      <c r="D4" s="51"/>
      <c r="E4" s="51"/>
      <c r="F4" s="51"/>
      <c r="G4" s="51"/>
      <c r="H4" s="51"/>
      <c r="I4" s="51"/>
      <c r="J4" s="27"/>
      <c r="K4" s="27"/>
      <c r="L4" s="27"/>
      <c r="M4" s="27"/>
      <c r="N4" s="27"/>
      <c r="O4" s="27"/>
      <c r="P4" s="27"/>
      <c r="Q4" s="27"/>
      <c r="R4" s="27"/>
      <c r="S4" s="51"/>
      <c r="T4" s="51"/>
      <c r="U4" s="51"/>
      <c r="V4" s="51"/>
      <c r="W4" s="50"/>
      <c r="X4" s="50"/>
    </row>
    <row r="5" spans="1:24" s="81" customFormat="1" ht="33" customHeight="1">
      <c r="A5" s="30"/>
      <c r="B5" s="111" t="s">
        <v>35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s="3" customFormat="1" ht="46.5" customHeight="1">
      <c r="A6" s="28"/>
      <c r="B6" s="117" t="s">
        <v>53</v>
      </c>
      <c r="C6" s="117" t="s">
        <v>54</v>
      </c>
      <c r="D6" s="11" t="s">
        <v>11</v>
      </c>
      <c r="E6" s="11"/>
      <c r="F6" s="11"/>
      <c r="G6" s="11"/>
      <c r="H6" s="11"/>
      <c r="I6" s="112" t="s">
        <v>85</v>
      </c>
      <c r="J6" s="112"/>
      <c r="K6" s="112"/>
      <c r="L6" s="112"/>
      <c r="M6" s="112" t="s">
        <v>86</v>
      </c>
      <c r="N6" s="112"/>
      <c r="O6" s="112"/>
      <c r="P6" s="112" t="s">
        <v>87</v>
      </c>
      <c r="Q6" s="112"/>
      <c r="R6" s="112"/>
      <c r="S6" s="112" t="s">
        <v>88</v>
      </c>
      <c r="T6" s="112"/>
      <c r="U6" s="112"/>
      <c r="V6" s="98" t="s">
        <v>89</v>
      </c>
      <c r="W6" s="99"/>
      <c r="X6" s="100"/>
    </row>
    <row r="7" spans="1:24" s="3" customFormat="1" ht="50.25" customHeight="1">
      <c r="A7" s="28"/>
      <c r="B7" s="117"/>
      <c r="C7" s="117"/>
      <c r="D7" s="11"/>
      <c r="E7" s="11"/>
      <c r="F7" s="10" t="s">
        <v>7</v>
      </c>
      <c r="G7" s="10" t="s">
        <v>8</v>
      </c>
      <c r="H7" s="11"/>
      <c r="I7" s="112" t="s">
        <v>12</v>
      </c>
      <c r="J7" s="112"/>
      <c r="K7" s="10" t="s">
        <v>13</v>
      </c>
      <c r="L7" s="9" t="s">
        <v>0</v>
      </c>
      <c r="M7" s="10" t="s">
        <v>12</v>
      </c>
      <c r="N7" s="10" t="s">
        <v>13</v>
      </c>
      <c r="O7" s="10" t="s">
        <v>0</v>
      </c>
      <c r="P7" s="10" t="s">
        <v>12</v>
      </c>
      <c r="Q7" s="10" t="s">
        <v>13</v>
      </c>
      <c r="R7" s="10" t="s">
        <v>0</v>
      </c>
      <c r="S7" s="9" t="s">
        <v>12</v>
      </c>
      <c r="T7" s="10" t="s">
        <v>13</v>
      </c>
      <c r="U7" s="10" t="s">
        <v>0</v>
      </c>
      <c r="V7" s="9" t="s">
        <v>12</v>
      </c>
      <c r="W7" s="10" t="s">
        <v>13</v>
      </c>
      <c r="X7" s="10" t="s">
        <v>0</v>
      </c>
    </row>
    <row r="8" spans="1:24" s="41" customFormat="1" ht="21" customHeight="1">
      <c r="A8" s="32"/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3</v>
      </c>
      <c r="J8" s="39">
        <v>3</v>
      </c>
      <c r="K8" s="39">
        <v>4</v>
      </c>
      <c r="L8" s="40">
        <v>5</v>
      </c>
      <c r="M8" s="40">
        <v>6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  <c r="U8" s="40">
        <v>14</v>
      </c>
      <c r="V8" s="40">
        <v>15</v>
      </c>
      <c r="W8" s="40">
        <v>16</v>
      </c>
      <c r="X8" s="40">
        <v>17</v>
      </c>
    </row>
    <row r="9" spans="1:24" s="6" customFormat="1" ht="26.25" customHeight="1">
      <c r="A9" s="31"/>
      <c r="B9" s="111" t="s">
        <v>36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3" customFormat="1" ht="24.75" customHeight="1">
      <c r="A10" s="28">
        <v>10116</v>
      </c>
      <c r="B10" s="12" t="s">
        <v>40</v>
      </c>
      <c r="C10" s="13" t="s">
        <v>1</v>
      </c>
      <c r="D10" s="14" t="e">
        <f aca="true" t="shared" si="0" ref="D10:D16">SUM(E10+H10)</f>
        <v>#REF!</v>
      </c>
      <c r="E10" s="14" t="e">
        <f>SUM(#REF!)</f>
        <v>#REF!</v>
      </c>
      <c r="F10" s="14" t="e">
        <f>SUM(#REF!)</f>
        <v>#REF!</v>
      </c>
      <c r="G10" s="14" t="e">
        <f>SUM(#REF!)</f>
        <v>#REF!</v>
      </c>
      <c r="H10" s="14" t="e">
        <f>SUM(#REF!)</f>
        <v>#REF!</v>
      </c>
      <c r="I10" s="15">
        <v>27922.799</v>
      </c>
      <c r="J10" s="16">
        <f>47218.6+42.6</f>
        <v>47261.2</v>
      </c>
      <c r="K10" s="16">
        <v>2434.6</v>
      </c>
      <c r="L10" s="16">
        <f>J10+K10</f>
        <v>49695.799999999996</v>
      </c>
      <c r="M10" s="16">
        <v>179614.7</v>
      </c>
      <c r="N10" s="16">
        <v>6398</v>
      </c>
      <c r="O10" s="16">
        <f>M10+N10</f>
        <v>186012.7</v>
      </c>
      <c r="P10" s="16">
        <v>83723.8</v>
      </c>
      <c r="Q10" s="16">
        <v>3111.4</v>
      </c>
      <c r="R10" s="16">
        <f aca="true" t="shared" si="1" ref="R10:R16">P10+Q10</f>
        <v>86835.2</v>
      </c>
      <c r="S10" s="16">
        <f>(P10/M10)*100</f>
        <v>46.61299993820105</v>
      </c>
      <c r="T10" s="16">
        <f>(Q10/N10)*100</f>
        <v>48.630822131916226</v>
      </c>
      <c r="U10" s="16">
        <f>(R10/O10)*100</f>
        <v>46.68240394338666</v>
      </c>
      <c r="V10" s="16">
        <f>P10/J10*100-100</f>
        <v>77.15123610911277</v>
      </c>
      <c r="W10" s="16">
        <f>Q10/K10*100-100</f>
        <v>27.799227799227808</v>
      </c>
      <c r="X10" s="16">
        <f>R10/L10*100-100</f>
        <v>74.73347848309112</v>
      </c>
    </row>
    <row r="11" spans="1:24" s="54" customFormat="1" ht="49.5" customHeight="1">
      <c r="A11" s="52">
        <v>70000</v>
      </c>
      <c r="B11" s="12" t="s">
        <v>41</v>
      </c>
      <c r="C11" s="13" t="s">
        <v>97</v>
      </c>
      <c r="D11" s="58" t="e">
        <f t="shared" si="0"/>
        <v>#REF!</v>
      </c>
      <c r="E11" s="58" t="e">
        <f>SUM(#REF!+#REF!+#REF!+#REF!+#REF!+#REF!+#REF!+#REF!+#REF!+#REF!+#REF!+#REF!+#REF!)</f>
        <v>#REF!</v>
      </c>
      <c r="F11" s="59" t="e">
        <f>SUM(#REF!+#REF!+#REF!+#REF!+#REF!+#REF!+#REF!+#REF!+#REF!+#REF!+#REF!+#REF!+#REF!)</f>
        <v>#REF!</v>
      </c>
      <c r="G11" s="59" t="e">
        <f>SUM(#REF!+#REF!+#REF!+#REF!+#REF!+#REF!+#REF!+#REF!+#REF!+#REF!+#REF!+#REF!+#REF!)</f>
        <v>#REF!</v>
      </c>
      <c r="H11" s="59" t="e">
        <f>SUM(#REF!+#REF!+#REF!+#REF!+#REF!+#REF!+#REF!+#REF!+#REF!+#REF!+#REF!+#REF!+#REF!)</f>
        <v>#REF!</v>
      </c>
      <c r="I11" s="34">
        <v>197276.10109</v>
      </c>
      <c r="J11" s="16">
        <f>337630.9+15563.3</f>
        <v>353194.2</v>
      </c>
      <c r="K11" s="16">
        <f>18017.9+1237</f>
        <v>19254.9</v>
      </c>
      <c r="L11" s="16">
        <f aca="true" t="shared" si="2" ref="L11:L16">J11+K11</f>
        <v>372449.10000000003</v>
      </c>
      <c r="M11" s="16">
        <v>767689.4</v>
      </c>
      <c r="N11" s="16">
        <v>78070.5</v>
      </c>
      <c r="O11" s="16">
        <f aca="true" t="shared" si="3" ref="O11:O22">M11+N11</f>
        <v>845759.9</v>
      </c>
      <c r="P11" s="16">
        <v>419452.7</v>
      </c>
      <c r="Q11" s="16">
        <v>29200</v>
      </c>
      <c r="R11" s="16">
        <f t="shared" si="1"/>
        <v>448652.7</v>
      </c>
      <c r="S11" s="16">
        <f aca="true" t="shared" si="4" ref="S11:S17">(P11/M11)*100</f>
        <v>54.638334201305895</v>
      </c>
      <c r="T11" s="16">
        <f aca="true" t="shared" si="5" ref="T11:T17">(Q11/N11)*100</f>
        <v>37.40209169916934</v>
      </c>
      <c r="U11" s="16">
        <f aca="true" t="shared" si="6" ref="U11:U17">(R11/O11)*100</f>
        <v>53.0472891892841</v>
      </c>
      <c r="V11" s="16">
        <f aca="true" t="shared" si="7" ref="V11:V36">P11/J11*100-100</f>
        <v>18.759792771228973</v>
      </c>
      <c r="W11" s="16">
        <f aca="true" t="shared" si="8" ref="W11:W36">Q11/K11*100-100</f>
        <v>51.64970994396231</v>
      </c>
      <c r="X11" s="16">
        <f aca="true" t="shared" si="9" ref="X11:X36">R11/L11*100-100</f>
        <v>20.460138043023875</v>
      </c>
    </row>
    <row r="12" spans="1:24" s="3" customFormat="1" ht="22.5" customHeight="1">
      <c r="A12" s="28">
        <v>80000</v>
      </c>
      <c r="B12" s="12" t="s">
        <v>42</v>
      </c>
      <c r="C12" s="13" t="s">
        <v>2</v>
      </c>
      <c r="D12" s="14" t="e">
        <f t="shared" si="0"/>
        <v>#REF!</v>
      </c>
      <c r="E12" s="14" t="e">
        <f>SUM(#REF!)</f>
        <v>#REF!</v>
      </c>
      <c r="F12" s="14" t="e">
        <f>SUM(#REF!)</f>
        <v>#REF!</v>
      </c>
      <c r="G12" s="14" t="e">
        <f>SUM(#REF!)</f>
        <v>#REF!</v>
      </c>
      <c r="H12" s="14" t="e">
        <f>SUM(#REF!)</f>
        <v>#REF!</v>
      </c>
      <c r="I12" s="15">
        <v>128808.022</v>
      </c>
      <c r="J12" s="16">
        <v>156765.7</v>
      </c>
      <c r="K12" s="16">
        <v>23847.2</v>
      </c>
      <c r="L12" s="16">
        <f t="shared" si="2"/>
        <v>180612.90000000002</v>
      </c>
      <c r="M12" s="16">
        <v>329273</v>
      </c>
      <c r="N12" s="16">
        <v>49212.1</v>
      </c>
      <c r="O12" s="16">
        <f t="shared" si="3"/>
        <v>378485.1</v>
      </c>
      <c r="P12" s="16">
        <v>175643.8</v>
      </c>
      <c r="Q12" s="16">
        <v>24850</v>
      </c>
      <c r="R12" s="16">
        <f t="shared" si="1"/>
        <v>200493.8</v>
      </c>
      <c r="S12" s="16">
        <f t="shared" si="4"/>
        <v>53.34290998654612</v>
      </c>
      <c r="T12" s="16">
        <f t="shared" si="5"/>
        <v>50.49571142056527</v>
      </c>
      <c r="U12" s="16">
        <f t="shared" si="6"/>
        <v>52.97270619107594</v>
      </c>
      <c r="V12" s="16">
        <f t="shared" si="7"/>
        <v>12.04223883158113</v>
      </c>
      <c r="W12" s="16">
        <f t="shared" si="8"/>
        <v>4.205105840517959</v>
      </c>
      <c r="X12" s="16">
        <f t="shared" si="9"/>
        <v>11.007464029424227</v>
      </c>
    </row>
    <row r="13" spans="1:24" s="3" customFormat="1" ht="45">
      <c r="A13" s="28">
        <v>90000</v>
      </c>
      <c r="B13" s="12" t="s">
        <v>43</v>
      </c>
      <c r="C13" s="13" t="s">
        <v>3</v>
      </c>
      <c r="D13" s="85" t="e">
        <f t="shared" si="0"/>
        <v>#REF!</v>
      </c>
      <c r="E13" s="85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F13" s="14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G13" s="14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H13" s="14" t="e">
        <f>SUM(#REF!+#REF!+#REF!+#REF!+#REF!+#REF!+#REF!+#REF!+#REF!+#REF!+#REF!+#REF!+#REF!+#REF!+#REF!+#REF!+#REF!+#REF!+#REF!+#REF!+#REF!+#REF!++#REF!+#REF!+#REF!+#REF!+#REF!+#REF!+#REF!+#REF!+#REF!+#REF!+#REF!+#REF!+#REF!+#REF!+#REF!+#REF!+#REF!+#REF!)</f>
        <v>#REF!</v>
      </c>
      <c r="I13" s="15">
        <v>143038.03754</v>
      </c>
      <c r="J13" s="16">
        <v>561624.3</v>
      </c>
      <c r="K13" s="16">
        <v>1673.3</v>
      </c>
      <c r="L13" s="16">
        <f t="shared" si="2"/>
        <v>563297.6000000001</v>
      </c>
      <c r="M13" s="16">
        <v>1250512.4</v>
      </c>
      <c r="N13" s="16">
        <v>5910.5</v>
      </c>
      <c r="O13" s="16">
        <f t="shared" si="3"/>
        <v>1256422.9</v>
      </c>
      <c r="P13" s="16">
        <v>761719.5</v>
      </c>
      <c r="Q13" s="16">
        <v>4520.8</v>
      </c>
      <c r="R13" s="16">
        <f t="shared" si="1"/>
        <v>766240.3</v>
      </c>
      <c r="S13" s="16">
        <f t="shared" si="4"/>
        <v>60.91259071081583</v>
      </c>
      <c r="T13" s="16">
        <f t="shared" si="5"/>
        <v>76.48760680145504</v>
      </c>
      <c r="U13" s="16">
        <f t="shared" si="6"/>
        <v>60.98585914026241</v>
      </c>
      <c r="V13" s="16">
        <f t="shared" si="7"/>
        <v>35.62794558568777</v>
      </c>
      <c r="W13" s="16">
        <f t="shared" si="8"/>
        <v>170.17271260383671</v>
      </c>
      <c r="X13" s="16">
        <f t="shared" si="9"/>
        <v>36.02761666302146</v>
      </c>
    </row>
    <row r="14" spans="1:24" s="3" customFormat="1" ht="67.5" customHeight="1">
      <c r="A14" s="28">
        <v>110000</v>
      </c>
      <c r="B14" s="12" t="s">
        <v>44</v>
      </c>
      <c r="C14" s="13" t="s">
        <v>96</v>
      </c>
      <c r="D14" s="14" t="e">
        <f t="shared" si="0"/>
        <v>#REF!</v>
      </c>
      <c r="E14" s="14" t="e">
        <f>SUM(#REF!)</f>
        <v>#REF!</v>
      </c>
      <c r="F14" s="17" t="e">
        <f>SUM(#REF!)</f>
        <v>#REF!</v>
      </c>
      <c r="G14" s="17" t="e">
        <f>SUM(#REF!)</f>
        <v>#REF!</v>
      </c>
      <c r="H14" s="17" t="e">
        <f>SUM(#REF!)</f>
        <v>#REF!</v>
      </c>
      <c r="I14" s="16">
        <v>387</v>
      </c>
      <c r="J14" s="16">
        <f>24783.7-15563.3</f>
        <v>9220.400000000001</v>
      </c>
      <c r="K14" s="16">
        <f>1607.4-1237</f>
        <v>370.4000000000001</v>
      </c>
      <c r="L14" s="16">
        <f t="shared" si="2"/>
        <v>9590.800000000001</v>
      </c>
      <c r="M14" s="16">
        <v>25018.5</v>
      </c>
      <c r="N14" s="16">
        <v>1356.1</v>
      </c>
      <c r="O14" s="16">
        <f t="shared" si="3"/>
        <v>26374.6</v>
      </c>
      <c r="P14" s="16">
        <v>11114.9</v>
      </c>
      <c r="Q14" s="16">
        <v>489</v>
      </c>
      <c r="R14" s="16">
        <f t="shared" si="1"/>
        <v>11603.9</v>
      </c>
      <c r="S14" s="16">
        <f t="shared" si="4"/>
        <v>44.426724224074185</v>
      </c>
      <c r="T14" s="16">
        <f t="shared" si="5"/>
        <v>36.05928766315169</v>
      </c>
      <c r="U14" s="16">
        <f t="shared" si="6"/>
        <v>43.99649662933277</v>
      </c>
      <c r="V14" s="16">
        <f t="shared" si="7"/>
        <v>20.546830940089336</v>
      </c>
      <c r="W14" s="16">
        <f t="shared" si="8"/>
        <v>32.01943844492436</v>
      </c>
      <c r="X14" s="16">
        <f t="shared" si="9"/>
        <v>20.989906994202755</v>
      </c>
    </row>
    <row r="15" spans="1:24" s="3" customFormat="1" ht="27" customHeight="1">
      <c r="A15" s="28">
        <v>130000</v>
      </c>
      <c r="B15" s="12" t="s">
        <v>45</v>
      </c>
      <c r="C15" s="13" t="s">
        <v>5</v>
      </c>
      <c r="D15" s="14" t="e">
        <f t="shared" si="0"/>
        <v>#REF!</v>
      </c>
      <c r="E15" s="14" t="e">
        <f>SUM(#REF!)</f>
        <v>#REF!</v>
      </c>
      <c r="F15" s="14" t="e">
        <f>SUM(#REF!)</f>
        <v>#REF!</v>
      </c>
      <c r="G15" s="14" t="e">
        <f>SUM(#REF!)</f>
        <v>#REF!</v>
      </c>
      <c r="H15" s="14" t="e">
        <f>SUM(#REF!)</f>
        <v>#REF!</v>
      </c>
      <c r="I15" s="15">
        <v>6079.284</v>
      </c>
      <c r="J15" s="16">
        <f>11508.8+596.4</f>
        <v>12105.199999999999</v>
      </c>
      <c r="K15" s="16">
        <v>283</v>
      </c>
      <c r="L15" s="16">
        <f t="shared" si="2"/>
        <v>12388.199999999999</v>
      </c>
      <c r="M15" s="16">
        <v>33337.8</v>
      </c>
      <c r="N15" s="16">
        <v>733.7</v>
      </c>
      <c r="O15" s="16">
        <f t="shared" si="3"/>
        <v>34071.5</v>
      </c>
      <c r="P15" s="16">
        <v>15792.3</v>
      </c>
      <c r="Q15" s="16">
        <v>209.6</v>
      </c>
      <c r="R15" s="16">
        <f t="shared" si="1"/>
        <v>16001.9</v>
      </c>
      <c r="S15" s="16">
        <f t="shared" si="4"/>
        <v>47.37055234598564</v>
      </c>
      <c r="T15" s="16">
        <f t="shared" si="5"/>
        <v>28.567534414610872</v>
      </c>
      <c r="U15" s="16">
        <f t="shared" si="6"/>
        <v>46.96564577432751</v>
      </c>
      <c r="V15" s="16">
        <f t="shared" si="7"/>
        <v>30.45881108944917</v>
      </c>
      <c r="W15" s="16">
        <f t="shared" si="8"/>
        <v>-25.936395759717314</v>
      </c>
      <c r="X15" s="16">
        <f t="shared" si="9"/>
        <v>29.17050096059154</v>
      </c>
    </row>
    <row r="16" spans="1:24" s="54" customFormat="1" ht="44.25" customHeight="1">
      <c r="A16" s="52">
        <v>100000</v>
      </c>
      <c r="B16" s="12" t="s">
        <v>46</v>
      </c>
      <c r="C16" s="13" t="s">
        <v>4</v>
      </c>
      <c r="D16" s="56" t="e">
        <f t="shared" si="0"/>
        <v>#REF!</v>
      </c>
      <c r="E16" s="56" t="e">
        <f>SUM(#REF!+#REF!+#REF!+#REF!+#REF!+#REF!)</f>
        <v>#REF!</v>
      </c>
      <c r="F16" s="59" t="e">
        <f>SUM(#REF!+#REF!+#REF!+#REF!+#REF!+#REF!)</f>
        <v>#REF!</v>
      </c>
      <c r="G16" s="60" t="e">
        <f>SUM(#REF!+#REF!+#REF!+#REF!+#REF!+#REF!)</f>
        <v>#REF!</v>
      </c>
      <c r="H16" s="56" t="e">
        <f>SUM(#REF!+#REF!+#REF!+#REF!+#REF!+#REF!)</f>
        <v>#REF!</v>
      </c>
      <c r="I16" s="57">
        <v>42921.254</v>
      </c>
      <c r="J16" s="16">
        <f>59512.8+132.3+118.8+522.3</f>
        <v>60286.20000000001</v>
      </c>
      <c r="K16" s="16">
        <v>55823.1</v>
      </c>
      <c r="L16" s="16">
        <f t="shared" si="2"/>
        <v>116109.30000000002</v>
      </c>
      <c r="M16" s="16">
        <v>175419.9</v>
      </c>
      <c r="N16" s="16">
        <f>210167.1-13705</f>
        <v>196462.1</v>
      </c>
      <c r="O16" s="16">
        <f t="shared" si="3"/>
        <v>371882</v>
      </c>
      <c r="P16" s="16">
        <v>76858.7</v>
      </c>
      <c r="Q16" s="16">
        <v>45883.5</v>
      </c>
      <c r="R16" s="16">
        <f t="shared" si="1"/>
        <v>122742.2</v>
      </c>
      <c r="S16" s="16">
        <f t="shared" si="4"/>
        <v>43.81412827164991</v>
      </c>
      <c r="T16" s="16">
        <f t="shared" si="5"/>
        <v>23.354886260505207</v>
      </c>
      <c r="U16" s="16">
        <f t="shared" si="6"/>
        <v>33.00568459887814</v>
      </c>
      <c r="V16" s="16">
        <f t="shared" si="7"/>
        <v>27.489707428897475</v>
      </c>
      <c r="W16" s="16">
        <f t="shared" si="8"/>
        <v>-17.805532118424097</v>
      </c>
      <c r="X16" s="16">
        <f t="shared" si="9"/>
        <v>5.712634560711322</v>
      </c>
    </row>
    <row r="17" spans="1:24" s="62" customFormat="1" ht="27" customHeight="1">
      <c r="A17" s="55"/>
      <c r="B17" s="21" t="s">
        <v>56</v>
      </c>
      <c r="C17" s="25" t="s">
        <v>57</v>
      </c>
      <c r="D17" s="61"/>
      <c r="E17" s="61"/>
      <c r="F17" s="64"/>
      <c r="G17" s="64"/>
      <c r="H17" s="64"/>
      <c r="I17" s="33"/>
      <c r="J17" s="24">
        <f>J18+J19+J20+J21+J22</f>
        <v>6910</v>
      </c>
      <c r="K17" s="24">
        <f>K18+K19+K20+K21+K22</f>
        <v>81667.90000000001</v>
      </c>
      <c r="L17" s="24">
        <f>L18+L19+L20+L21+L22</f>
        <v>88577.9</v>
      </c>
      <c r="M17" s="24">
        <f aca="true" t="shared" si="10" ref="M17:R17">M18+M19+M20+M21+M22</f>
        <v>47317.700000000004</v>
      </c>
      <c r="N17" s="24">
        <f t="shared" si="10"/>
        <v>244546</v>
      </c>
      <c r="O17" s="24">
        <f t="shared" si="10"/>
        <v>291863.7</v>
      </c>
      <c r="P17" s="24">
        <f t="shared" si="10"/>
        <v>9412</v>
      </c>
      <c r="Q17" s="24">
        <f t="shared" si="10"/>
        <v>94036.9</v>
      </c>
      <c r="R17" s="24">
        <f t="shared" si="10"/>
        <v>103448.9</v>
      </c>
      <c r="S17" s="24">
        <f t="shared" si="4"/>
        <v>19.89107670068494</v>
      </c>
      <c r="T17" s="24">
        <f t="shared" si="5"/>
        <v>38.45366515911117</v>
      </c>
      <c r="U17" s="24">
        <f t="shared" si="6"/>
        <v>35.44425017568132</v>
      </c>
      <c r="V17" s="24">
        <f t="shared" si="7"/>
        <v>36.2083936324168</v>
      </c>
      <c r="W17" s="24">
        <f t="shared" si="8"/>
        <v>15.145485557973188</v>
      </c>
      <c r="X17" s="24">
        <f t="shared" si="9"/>
        <v>16.78861205786093</v>
      </c>
    </row>
    <row r="18" spans="1:24" s="54" customFormat="1" ht="44.25" customHeight="1">
      <c r="A18" s="52"/>
      <c r="B18" s="12" t="s">
        <v>58</v>
      </c>
      <c r="C18" s="13" t="s">
        <v>59</v>
      </c>
      <c r="D18" s="56"/>
      <c r="E18" s="56"/>
      <c r="F18" s="59"/>
      <c r="G18" s="59"/>
      <c r="H18" s="59"/>
      <c r="I18" s="34"/>
      <c r="J18" s="16">
        <f>21</f>
        <v>21</v>
      </c>
      <c r="K18" s="16">
        <f>7.5</f>
        <v>7.5</v>
      </c>
      <c r="L18" s="16">
        <f>J18+K18</f>
        <v>28.5</v>
      </c>
      <c r="M18" s="16">
        <v>1140.7</v>
      </c>
      <c r="N18" s="16">
        <v>14.3</v>
      </c>
      <c r="O18" s="16">
        <f t="shared" si="3"/>
        <v>1155</v>
      </c>
      <c r="P18" s="16"/>
      <c r="Q18" s="16"/>
      <c r="R18" s="16">
        <f>P18+Q18</f>
        <v>0</v>
      </c>
      <c r="S18" s="16">
        <f aca="true" t="shared" si="11" ref="S18:S35">(P18/M18)*100</f>
        <v>0</v>
      </c>
      <c r="T18" s="16">
        <f aca="true" t="shared" si="12" ref="T18:T35">(Q18/N18)*100</f>
        <v>0</v>
      </c>
      <c r="U18" s="16">
        <f aca="true" t="shared" si="13" ref="U18:U35">(R18/O18)*100</f>
        <v>0</v>
      </c>
      <c r="V18" s="16">
        <f t="shared" si="7"/>
        <v>-100</v>
      </c>
      <c r="W18" s="16">
        <f t="shared" si="8"/>
        <v>-100</v>
      </c>
      <c r="X18" s="16">
        <f t="shared" si="9"/>
        <v>-100</v>
      </c>
    </row>
    <row r="19" spans="1:24" s="54" customFormat="1" ht="44.25" customHeight="1">
      <c r="A19" s="52"/>
      <c r="B19" s="12" t="s">
        <v>47</v>
      </c>
      <c r="C19" s="13" t="s">
        <v>60</v>
      </c>
      <c r="D19" s="56"/>
      <c r="E19" s="56"/>
      <c r="F19" s="59"/>
      <c r="G19" s="59"/>
      <c r="H19" s="59"/>
      <c r="I19" s="34"/>
      <c r="J19" s="16"/>
      <c r="K19" s="16">
        <f>30487.5+87.2+12.9</f>
        <v>30587.600000000002</v>
      </c>
      <c r="L19" s="16">
        <f>J19+K19</f>
        <v>30587.600000000002</v>
      </c>
      <c r="M19" s="16"/>
      <c r="N19" s="16">
        <v>116917.5</v>
      </c>
      <c r="O19" s="16">
        <f t="shared" si="3"/>
        <v>116917.5</v>
      </c>
      <c r="P19" s="16"/>
      <c r="Q19" s="16">
        <v>45675.3</v>
      </c>
      <c r="R19" s="16">
        <f aca="true" t="shared" si="14" ref="R19:R34">P19+Q19</f>
        <v>45675.3</v>
      </c>
      <c r="S19" s="16"/>
      <c r="T19" s="16">
        <f t="shared" si="12"/>
        <v>39.06626467380846</v>
      </c>
      <c r="U19" s="16">
        <f t="shared" si="13"/>
        <v>39.06626467380846</v>
      </c>
      <c r="V19" s="16"/>
      <c r="W19" s="16">
        <f t="shared" si="8"/>
        <v>49.326197544102826</v>
      </c>
      <c r="X19" s="16">
        <f t="shared" si="9"/>
        <v>49.326197544102826</v>
      </c>
    </row>
    <row r="20" spans="1:24" s="54" customFormat="1" ht="75" customHeight="1">
      <c r="A20" s="52"/>
      <c r="B20" s="12" t="s">
        <v>48</v>
      </c>
      <c r="C20" s="13" t="s">
        <v>61</v>
      </c>
      <c r="D20" s="56"/>
      <c r="E20" s="56"/>
      <c r="F20" s="59"/>
      <c r="G20" s="59"/>
      <c r="H20" s="59"/>
      <c r="I20" s="34"/>
      <c r="J20" s="16">
        <f>976.9+1157.4+2578.5</f>
        <v>4712.8</v>
      </c>
      <c r="K20" s="16"/>
      <c r="L20" s="16">
        <f>J20+K20</f>
        <v>4712.8</v>
      </c>
      <c r="M20" s="16">
        <v>28194.4</v>
      </c>
      <c r="N20" s="16">
        <v>43463.4</v>
      </c>
      <c r="O20" s="16">
        <f t="shared" si="3"/>
        <v>71657.8</v>
      </c>
      <c r="P20" s="16">
        <v>6883.3</v>
      </c>
      <c r="Q20" s="16">
        <v>4846.7</v>
      </c>
      <c r="R20" s="16">
        <f t="shared" si="14"/>
        <v>11730</v>
      </c>
      <c r="S20" s="16">
        <f t="shared" si="11"/>
        <v>24.4137133615186</v>
      </c>
      <c r="T20" s="16">
        <f t="shared" si="12"/>
        <v>11.15122148750443</v>
      </c>
      <c r="U20" s="16">
        <f t="shared" si="13"/>
        <v>16.3694671061629</v>
      </c>
      <c r="V20" s="16">
        <f t="shared" si="7"/>
        <v>46.05542352741469</v>
      </c>
      <c r="W20" s="16"/>
      <c r="X20" s="16">
        <f t="shared" si="9"/>
        <v>148.8966219657104</v>
      </c>
    </row>
    <row r="21" spans="1:24" s="54" customFormat="1" ht="53.25" customHeight="1">
      <c r="A21" s="52"/>
      <c r="B21" s="12" t="s">
        <v>62</v>
      </c>
      <c r="C21" s="13" t="s">
        <v>63</v>
      </c>
      <c r="D21" s="56"/>
      <c r="E21" s="56"/>
      <c r="F21" s="59"/>
      <c r="G21" s="59"/>
      <c r="H21" s="59"/>
      <c r="I21" s="34"/>
      <c r="J21" s="16">
        <v>845.7</v>
      </c>
      <c r="K21" s="16"/>
      <c r="L21" s="16">
        <f>J21+K21</f>
        <v>845.7</v>
      </c>
      <c r="M21" s="16">
        <v>10068.5</v>
      </c>
      <c r="N21" s="16">
        <v>8282</v>
      </c>
      <c r="O21" s="16">
        <f t="shared" si="3"/>
        <v>18350.5</v>
      </c>
      <c r="P21" s="16">
        <v>921.5</v>
      </c>
      <c r="Q21" s="16">
        <v>2510.9</v>
      </c>
      <c r="R21" s="16">
        <f t="shared" si="14"/>
        <v>3432.4</v>
      </c>
      <c r="S21" s="16">
        <f t="shared" si="11"/>
        <v>9.152306699111088</v>
      </c>
      <c r="T21" s="16">
        <f t="shared" si="12"/>
        <v>30.317556145858486</v>
      </c>
      <c r="U21" s="16">
        <f t="shared" si="13"/>
        <v>18.70466744775347</v>
      </c>
      <c r="V21" s="16">
        <f t="shared" si="7"/>
        <v>8.962989239683111</v>
      </c>
      <c r="W21" s="16"/>
      <c r="X21" s="16">
        <f t="shared" si="9"/>
        <v>305.86496393520156</v>
      </c>
    </row>
    <row r="22" spans="1:24" s="54" customFormat="1" ht="72" customHeight="1">
      <c r="A22" s="52"/>
      <c r="B22" s="12" t="s">
        <v>49</v>
      </c>
      <c r="C22" s="13" t="s">
        <v>64</v>
      </c>
      <c r="D22" s="56"/>
      <c r="E22" s="56"/>
      <c r="F22" s="59"/>
      <c r="G22" s="59"/>
      <c r="H22" s="59"/>
      <c r="I22" s="34"/>
      <c r="J22" s="16">
        <f>709.2+56.7+20.2+80.3+135.8+109.1+219.2</f>
        <v>1330.5</v>
      </c>
      <c r="K22" s="16">
        <f>2614.8+47532.4+925.6</f>
        <v>51072.8</v>
      </c>
      <c r="L22" s="16">
        <f>J22+K22</f>
        <v>52403.3</v>
      </c>
      <c r="M22" s="16">
        <v>7914.1</v>
      </c>
      <c r="N22" s="16">
        <v>75868.8</v>
      </c>
      <c r="O22" s="16">
        <f t="shared" si="3"/>
        <v>83782.90000000001</v>
      </c>
      <c r="P22" s="16">
        <v>1607.2</v>
      </c>
      <c r="Q22" s="16">
        <v>41004</v>
      </c>
      <c r="R22" s="16">
        <f t="shared" si="14"/>
        <v>42611.2</v>
      </c>
      <c r="S22" s="16">
        <f t="shared" si="11"/>
        <v>20.30805777030869</v>
      </c>
      <c r="T22" s="16">
        <f t="shared" si="12"/>
        <v>54.0459319245856</v>
      </c>
      <c r="U22" s="16">
        <f t="shared" si="13"/>
        <v>50.85906551336847</v>
      </c>
      <c r="V22" s="16">
        <f t="shared" si="7"/>
        <v>20.796692972566703</v>
      </c>
      <c r="W22" s="16">
        <f t="shared" si="8"/>
        <v>-19.7146034679908</v>
      </c>
      <c r="X22" s="16">
        <f t="shared" si="9"/>
        <v>-18.686036948054806</v>
      </c>
    </row>
    <row r="23" spans="1:24" s="62" customFormat="1" ht="24.75" customHeight="1">
      <c r="A23" s="55"/>
      <c r="B23" s="21" t="s">
        <v>50</v>
      </c>
      <c r="C23" s="25" t="s">
        <v>65</v>
      </c>
      <c r="D23" s="61"/>
      <c r="E23" s="61"/>
      <c r="F23" s="64"/>
      <c r="G23" s="64"/>
      <c r="H23" s="64"/>
      <c r="I23" s="33"/>
      <c r="J23" s="24">
        <f>J24+J25+J26+J27+J28+J29</f>
        <v>1698</v>
      </c>
      <c r="K23" s="24">
        <f>K24+K25+K26+K27+K28+K29</f>
        <v>3237.6000000000004</v>
      </c>
      <c r="L23" s="24">
        <f>L24+L25+L26+L27+L28+L29</f>
        <v>4935.599999999999</v>
      </c>
      <c r="M23" s="24">
        <f aca="true" t="shared" si="15" ref="M23:R23">M24+M25+M26+M27+M28+M29</f>
        <v>6505.7</v>
      </c>
      <c r="N23" s="24">
        <f t="shared" si="15"/>
        <v>6126.4</v>
      </c>
      <c r="O23" s="24">
        <f t="shared" si="15"/>
        <v>12632.1</v>
      </c>
      <c r="P23" s="24">
        <f t="shared" si="15"/>
        <v>1355.8999999999999</v>
      </c>
      <c r="Q23" s="24">
        <f t="shared" si="15"/>
        <v>450.59999999999997</v>
      </c>
      <c r="R23" s="24">
        <f t="shared" si="15"/>
        <v>1806.5</v>
      </c>
      <c r="S23" s="24">
        <f t="shared" si="11"/>
        <v>20.841723411777362</v>
      </c>
      <c r="T23" s="24">
        <f t="shared" si="12"/>
        <v>7.355053538782971</v>
      </c>
      <c r="U23" s="24">
        <f t="shared" si="13"/>
        <v>14.300868422510904</v>
      </c>
      <c r="V23" s="24">
        <f t="shared" si="7"/>
        <v>-20.14723203769141</v>
      </c>
      <c r="W23" s="24">
        <f t="shared" si="8"/>
        <v>-86.08228317272054</v>
      </c>
      <c r="X23" s="24">
        <f t="shared" si="9"/>
        <v>-63.39857362833292</v>
      </c>
    </row>
    <row r="24" spans="1:24" s="54" customFormat="1" ht="90.75" customHeight="1">
      <c r="A24" s="52"/>
      <c r="B24" s="12" t="s">
        <v>66</v>
      </c>
      <c r="C24" s="13" t="s">
        <v>74</v>
      </c>
      <c r="D24" s="56"/>
      <c r="E24" s="56"/>
      <c r="F24" s="59"/>
      <c r="G24" s="59"/>
      <c r="H24" s="59"/>
      <c r="I24" s="34"/>
      <c r="J24" s="16">
        <f>739.4+80.4+605.4+25.9</f>
        <v>1451.1</v>
      </c>
      <c r="K24" s="16">
        <f>2802.9+170.4</f>
        <v>2973.3</v>
      </c>
      <c r="L24" s="16">
        <f aca="true" t="shared" si="16" ref="L24:L29">J24+K24</f>
        <v>4424.4</v>
      </c>
      <c r="M24" s="16">
        <v>2223.7</v>
      </c>
      <c r="N24" s="16">
        <v>118.9</v>
      </c>
      <c r="O24" s="16">
        <f aca="true" t="shared" si="17" ref="O24:O29">M24+N24</f>
        <v>2342.6</v>
      </c>
      <c r="P24" s="16">
        <v>1028.4</v>
      </c>
      <c r="Q24" s="16">
        <v>93.2</v>
      </c>
      <c r="R24" s="16">
        <f t="shared" si="14"/>
        <v>1121.6000000000001</v>
      </c>
      <c r="S24" s="16">
        <f t="shared" si="11"/>
        <v>46.24724558168818</v>
      </c>
      <c r="T24" s="16">
        <f t="shared" si="12"/>
        <v>78.3851976450799</v>
      </c>
      <c r="U24" s="16">
        <f t="shared" si="13"/>
        <v>47.87842568086742</v>
      </c>
      <c r="V24" s="16">
        <f t="shared" si="7"/>
        <v>-29.12962580111639</v>
      </c>
      <c r="W24" s="16">
        <f t="shared" si="8"/>
        <v>-96.86543571116268</v>
      </c>
      <c r="X24" s="16">
        <f t="shared" si="9"/>
        <v>-74.649670011753</v>
      </c>
    </row>
    <row r="25" spans="1:24" s="54" customFormat="1" ht="25.5" customHeight="1">
      <c r="A25" s="52"/>
      <c r="B25" s="12" t="s">
        <v>67</v>
      </c>
      <c r="C25" s="13" t="s">
        <v>75</v>
      </c>
      <c r="D25" s="56"/>
      <c r="E25" s="56"/>
      <c r="F25" s="59"/>
      <c r="G25" s="59"/>
      <c r="H25" s="59"/>
      <c r="I25" s="34"/>
      <c r="J25" s="16">
        <v>135.7</v>
      </c>
      <c r="K25" s="16"/>
      <c r="L25" s="16">
        <f t="shared" si="16"/>
        <v>135.7</v>
      </c>
      <c r="M25" s="16">
        <v>391.3</v>
      </c>
      <c r="N25" s="16"/>
      <c r="O25" s="16">
        <f t="shared" si="17"/>
        <v>391.3</v>
      </c>
      <c r="P25" s="16">
        <v>184.8</v>
      </c>
      <c r="Q25" s="16"/>
      <c r="R25" s="16">
        <f t="shared" si="14"/>
        <v>184.8</v>
      </c>
      <c r="S25" s="16">
        <f t="shared" si="11"/>
        <v>47.22719141323793</v>
      </c>
      <c r="T25" s="16"/>
      <c r="U25" s="16">
        <f t="shared" si="13"/>
        <v>47.22719141323793</v>
      </c>
      <c r="V25" s="16">
        <f t="shared" si="7"/>
        <v>36.182756079587335</v>
      </c>
      <c r="W25" s="16"/>
      <c r="X25" s="16">
        <f t="shared" si="9"/>
        <v>36.182756079587335</v>
      </c>
    </row>
    <row r="26" spans="1:24" s="54" customFormat="1" ht="45.75" customHeight="1">
      <c r="A26" s="52"/>
      <c r="B26" s="12" t="s">
        <v>68</v>
      </c>
      <c r="C26" s="13" t="s">
        <v>76</v>
      </c>
      <c r="D26" s="56"/>
      <c r="E26" s="56"/>
      <c r="F26" s="59"/>
      <c r="G26" s="59"/>
      <c r="H26" s="59"/>
      <c r="I26" s="34"/>
      <c r="J26" s="16"/>
      <c r="K26" s="16">
        <f>96.2+56.5+111.6</f>
        <v>264.29999999999995</v>
      </c>
      <c r="L26" s="16">
        <f t="shared" si="16"/>
        <v>264.29999999999995</v>
      </c>
      <c r="M26" s="16">
        <v>76.6</v>
      </c>
      <c r="N26" s="16">
        <v>6007.5</v>
      </c>
      <c r="O26" s="16">
        <f t="shared" si="17"/>
        <v>6084.1</v>
      </c>
      <c r="P26" s="16">
        <v>12.6</v>
      </c>
      <c r="Q26" s="16">
        <v>357.4</v>
      </c>
      <c r="R26" s="16">
        <f t="shared" si="14"/>
        <v>370</v>
      </c>
      <c r="S26" s="16">
        <f t="shared" si="11"/>
        <v>16.449086161879897</v>
      </c>
      <c r="T26" s="16">
        <f t="shared" si="12"/>
        <v>5.94923012900541</v>
      </c>
      <c r="U26" s="16">
        <f t="shared" si="13"/>
        <v>6.081425354612843</v>
      </c>
      <c r="V26" s="16"/>
      <c r="W26" s="16">
        <f t="shared" si="8"/>
        <v>35.225122966326154</v>
      </c>
      <c r="X26" s="16">
        <f t="shared" si="9"/>
        <v>39.99243284146806</v>
      </c>
    </row>
    <row r="27" spans="1:24" s="54" customFormat="1" ht="30.75" customHeight="1">
      <c r="A27" s="52"/>
      <c r="B27" s="12" t="s">
        <v>69</v>
      </c>
      <c r="C27" s="13" t="s">
        <v>19</v>
      </c>
      <c r="D27" s="56"/>
      <c r="E27" s="56"/>
      <c r="F27" s="59"/>
      <c r="G27" s="59"/>
      <c r="H27" s="59"/>
      <c r="I27" s="34"/>
      <c r="J27" s="16"/>
      <c r="K27" s="16"/>
      <c r="L27" s="16">
        <f t="shared" si="16"/>
        <v>0</v>
      </c>
      <c r="M27" s="16">
        <v>164</v>
      </c>
      <c r="N27" s="16"/>
      <c r="O27" s="16">
        <f t="shared" si="17"/>
        <v>164</v>
      </c>
      <c r="P27" s="16">
        <v>32</v>
      </c>
      <c r="Q27" s="16"/>
      <c r="R27" s="16">
        <f t="shared" si="14"/>
        <v>32</v>
      </c>
      <c r="S27" s="16">
        <f t="shared" si="11"/>
        <v>19.51219512195122</v>
      </c>
      <c r="T27" s="16"/>
      <c r="U27" s="16">
        <f t="shared" si="13"/>
        <v>19.51219512195122</v>
      </c>
      <c r="V27" s="16"/>
      <c r="W27" s="16"/>
      <c r="X27" s="16"/>
    </row>
    <row r="28" spans="1:24" s="3" customFormat="1" ht="27" customHeight="1">
      <c r="A28" s="28"/>
      <c r="B28" s="12" t="s">
        <v>70</v>
      </c>
      <c r="C28" s="13" t="s">
        <v>77</v>
      </c>
      <c r="D28" s="14"/>
      <c r="E28" s="14"/>
      <c r="F28" s="17"/>
      <c r="G28" s="17"/>
      <c r="H28" s="17"/>
      <c r="I28" s="16"/>
      <c r="J28" s="16">
        <v>111.2</v>
      </c>
      <c r="K28" s="16"/>
      <c r="L28" s="16">
        <f t="shared" si="16"/>
        <v>111.2</v>
      </c>
      <c r="M28" s="16">
        <v>178</v>
      </c>
      <c r="N28" s="16"/>
      <c r="O28" s="16">
        <f t="shared" si="17"/>
        <v>178</v>
      </c>
      <c r="P28" s="16">
        <v>98.1</v>
      </c>
      <c r="Q28" s="16"/>
      <c r="R28" s="16">
        <f t="shared" si="14"/>
        <v>98.1</v>
      </c>
      <c r="S28" s="16">
        <f t="shared" si="11"/>
        <v>55.1123595505618</v>
      </c>
      <c r="T28" s="16"/>
      <c r="U28" s="16">
        <f t="shared" si="13"/>
        <v>55.1123595505618</v>
      </c>
      <c r="V28" s="16">
        <f t="shared" si="7"/>
        <v>-11.780575539568346</v>
      </c>
      <c r="W28" s="16"/>
      <c r="X28" s="16">
        <f t="shared" si="9"/>
        <v>-11.780575539568346</v>
      </c>
    </row>
    <row r="29" spans="1:24" s="54" customFormat="1" ht="36" customHeight="1">
      <c r="A29" s="52"/>
      <c r="B29" s="12" t="s">
        <v>71</v>
      </c>
      <c r="C29" s="13" t="s">
        <v>78</v>
      </c>
      <c r="D29" s="56"/>
      <c r="E29" s="56"/>
      <c r="F29" s="59"/>
      <c r="G29" s="59"/>
      <c r="H29" s="59"/>
      <c r="I29" s="34"/>
      <c r="J29" s="16"/>
      <c r="K29" s="16"/>
      <c r="L29" s="16">
        <f t="shared" si="16"/>
        <v>0</v>
      </c>
      <c r="M29" s="16">
        <v>3472.1</v>
      </c>
      <c r="N29" s="16"/>
      <c r="O29" s="16">
        <f t="shared" si="17"/>
        <v>3472.1</v>
      </c>
      <c r="P29" s="16"/>
      <c r="Q29" s="16"/>
      <c r="R29" s="16">
        <f t="shared" si="14"/>
        <v>0</v>
      </c>
      <c r="S29" s="16">
        <f t="shared" si="11"/>
        <v>0</v>
      </c>
      <c r="T29" s="16"/>
      <c r="U29" s="16">
        <f t="shared" si="13"/>
        <v>0</v>
      </c>
      <c r="V29" s="16"/>
      <c r="W29" s="16"/>
      <c r="X29" s="16"/>
    </row>
    <row r="30" spans="1:25" s="62" customFormat="1" ht="21.75" customHeight="1">
      <c r="A30" s="55"/>
      <c r="B30" s="21" t="s">
        <v>72</v>
      </c>
      <c r="C30" s="25" t="s">
        <v>10</v>
      </c>
      <c r="D30" s="18"/>
      <c r="E30" s="18"/>
      <c r="F30" s="20"/>
      <c r="G30" s="20"/>
      <c r="H30" s="20"/>
      <c r="I30" s="24"/>
      <c r="J30" s="24">
        <v>34648.9</v>
      </c>
      <c r="K30" s="24">
        <v>1870</v>
      </c>
      <c r="L30" s="24">
        <f>J30+K30</f>
        <v>36518.9</v>
      </c>
      <c r="M30" s="24">
        <f aca="true" t="shared" si="18" ref="M30:R30">M31+M33+M32+M34</f>
        <v>89461</v>
      </c>
      <c r="N30" s="24">
        <f t="shared" si="18"/>
        <v>11859.6</v>
      </c>
      <c r="O30" s="24">
        <f t="shared" si="18"/>
        <v>101320.6</v>
      </c>
      <c r="P30" s="24">
        <f t="shared" si="18"/>
        <v>44848.3</v>
      </c>
      <c r="Q30" s="24">
        <f t="shared" si="18"/>
        <v>1943</v>
      </c>
      <c r="R30" s="24">
        <f t="shared" si="18"/>
        <v>46791.299999999996</v>
      </c>
      <c r="S30" s="24">
        <f t="shared" si="11"/>
        <v>50.13167749075016</v>
      </c>
      <c r="T30" s="24">
        <f t="shared" si="12"/>
        <v>16.383351883706027</v>
      </c>
      <c r="U30" s="24">
        <f t="shared" si="13"/>
        <v>46.18142806102608</v>
      </c>
      <c r="V30" s="24">
        <f t="shared" si="7"/>
        <v>29.436432325412937</v>
      </c>
      <c r="W30" s="24">
        <f t="shared" si="8"/>
        <v>3.9037433155080237</v>
      </c>
      <c r="X30" s="24">
        <f t="shared" si="9"/>
        <v>28.12899621839648</v>
      </c>
      <c r="Y30" s="24">
        <f>Y31+Y33</f>
        <v>0</v>
      </c>
    </row>
    <row r="31" spans="1:24" s="54" customFormat="1" ht="44.25" customHeight="1">
      <c r="A31" s="52"/>
      <c r="B31" s="12" t="s">
        <v>51</v>
      </c>
      <c r="C31" s="13" t="s">
        <v>79</v>
      </c>
      <c r="D31" s="14"/>
      <c r="E31" s="14"/>
      <c r="F31" s="17"/>
      <c r="G31" s="17"/>
      <c r="H31" s="17"/>
      <c r="I31" s="16"/>
      <c r="J31" s="16">
        <v>33615.9</v>
      </c>
      <c r="K31" s="16"/>
      <c r="L31" s="16">
        <f>J31+K31</f>
        <v>33615.9</v>
      </c>
      <c r="M31" s="16">
        <v>87299.6</v>
      </c>
      <c r="N31" s="16"/>
      <c r="O31" s="16">
        <f>M31+N31</f>
        <v>87299.6</v>
      </c>
      <c r="P31" s="16">
        <v>43649.6</v>
      </c>
      <c r="Q31" s="16"/>
      <c r="R31" s="16">
        <f t="shared" si="14"/>
        <v>43649.6</v>
      </c>
      <c r="S31" s="16">
        <f t="shared" si="11"/>
        <v>49.99977090387585</v>
      </c>
      <c r="T31" s="16"/>
      <c r="U31" s="16">
        <f t="shared" si="13"/>
        <v>49.99977090387585</v>
      </c>
      <c r="V31" s="16">
        <f t="shared" si="7"/>
        <v>29.848077844115437</v>
      </c>
      <c r="W31" s="16"/>
      <c r="X31" s="16">
        <f t="shared" si="9"/>
        <v>29.848077844115437</v>
      </c>
    </row>
    <row r="32" spans="1:24" s="54" customFormat="1" ht="162" customHeight="1">
      <c r="A32" s="52"/>
      <c r="B32" s="12" t="s">
        <v>92</v>
      </c>
      <c r="C32" s="13" t="s">
        <v>94</v>
      </c>
      <c r="D32" s="14"/>
      <c r="E32" s="14"/>
      <c r="F32" s="17"/>
      <c r="G32" s="17"/>
      <c r="H32" s="17"/>
      <c r="I32" s="16"/>
      <c r="J32" s="16"/>
      <c r="K32" s="16"/>
      <c r="L32" s="16">
        <f>J32+K32</f>
        <v>0</v>
      </c>
      <c r="M32" s="16"/>
      <c r="N32" s="16">
        <v>4000</v>
      </c>
      <c r="O32" s="16">
        <f>M32+N32</f>
        <v>4000</v>
      </c>
      <c r="P32" s="16"/>
      <c r="Q32" s="16"/>
      <c r="R32" s="16"/>
      <c r="S32" s="16"/>
      <c r="T32" s="16">
        <f t="shared" si="12"/>
        <v>0</v>
      </c>
      <c r="U32" s="16">
        <f t="shared" si="13"/>
        <v>0</v>
      </c>
      <c r="V32" s="16"/>
      <c r="W32" s="16"/>
      <c r="X32" s="16"/>
    </row>
    <row r="33" spans="1:24" s="54" customFormat="1" ht="112.5" customHeight="1">
      <c r="A33" s="52"/>
      <c r="B33" s="12" t="s">
        <v>73</v>
      </c>
      <c r="C33" s="13" t="s">
        <v>80</v>
      </c>
      <c r="D33" s="14"/>
      <c r="E33" s="14"/>
      <c r="F33" s="17"/>
      <c r="G33" s="17"/>
      <c r="H33" s="17"/>
      <c r="I33" s="16"/>
      <c r="J33" s="16">
        <f>699.5</f>
        <v>699.5</v>
      </c>
      <c r="K33" s="16">
        <v>550</v>
      </c>
      <c r="L33" s="16">
        <f>J33+K33</f>
        <v>1249.5</v>
      </c>
      <c r="M33" s="16">
        <v>1574.5</v>
      </c>
      <c r="N33" s="16">
        <v>2116.8</v>
      </c>
      <c r="O33" s="16">
        <f>M33+N33</f>
        <v>3691.3</v>
      </c>
      <c r="P33" s="16">
        <v>788.8</v>
      </c>
      <c r="Q33" s="16">
        <v>379.2</v>
      </c>
      <c r="R33" s="16">
        <f t="shared" si="14"/>
        <v>1168</v>
      </c>
      <c r="S33" s="16">
        <f t="shared" si="11"/>
        <v>50.09844395046046</v>
      </c>
      <c r="T33" s="16">
        <f t="shared" si="12"/>
        <v>17.913832199546484</v>
      </c>
      <c r="U33" s="16">
        <f t="shared" si="13"/>
        <v>31.641968954027032</v>
      </c>
      <c r="V33" s="16">
        <f t="shared" si="7"/>
        <v>12.76626161543959</v>
      </c>
      <c r="W33" s="16">
        <f t="shared" si="8"/>
        <v>-31.054545454545462</v>
      </c>
      <c r="X33" s="16">
        <f t="shared" si="9"/>
        <v>-6.52260904361745</v>
      </c>
    </row>
    <row r="34" spans="1:24" s="54" customFormat="1" ht="90" customHeight="1">
      <c r="A34" s="52"/>
      <c r="B34" s="12" t="s">
        <v>93</v>
      </c>
      <c r="C34" s="13" t="s">
        <v>95</v>
      </c>
      <c r="D34" s="14"/>
      <c r="E34" s="14"/>
      <c r="F34" s="17"/>
      <c r="G34" s="17"/>
      <c r="H34" s="17"/>
      <c r="I34" s="16"/>
      <c r="J34" s="16">
        <f>333.5</f>
        <v>333.5</v>
      </c>
      <c r="K34" s="16">
        <v>1320</v>
      </c>
      <c r="L34" s="16">
        <f>J34+K34</f>
        <v>1653.5</v>
      </c>
      <c r="M34" s="16">
        <v>586.9</v>
      </c>
      <c r="N34" s="16">
        <v>5742.8</v>
      </c>
      <c r="O34" s="16">
        <f>M34+N34</f>
        <v>6329.7</v>
      </c>
      <c r="P34" s="16">
        <v>409.9</v>
      </c>
      <c r="Q34" s="16">
        <v>1563.8</v>
      </c>
      <c r="R34" s="16">
        <f t="shared" si="14"/>
        <v>1973.6999999999998</v>
      </c>
      <c r="S34" s="16">
        <f t="shared" si="11"/>
        <v>69.841540296473</v>
      </c>
      <c r="T34" s="16">
        <f t="shared" si="12"/>
        <v>27.230619210141395</v>
      </c>
      <c r="U34" s="16">
        <f t="shared" si="13"/>
        <v>31.181572586378497</v>
      </c>
      <c r="V34" s="16">
        <f t="shared" si="7"/>
        <v>22.908545727136428</v>
      </c>
      <c r="W34" s="16">
        <f t="shared" si="8"/>
        <v>18.469696969696955</v>
      </c>
      <c r="X34" s="16">
        <f t="shared" si="9"/>
        <v>19.36498336861203</v>
      </c>
    </row>
    <row r="35" spans="1:24" s="62" customFormat="1" ht="22.5" customHeight="1">
      <c r="A35" s="55"/>
      <c r="B35" s="21"/>
      <c r="C35" s="22" t="s">
        <v>6</v>
      </c>
      <c r="D35" s="19" t="e">
        <f>SUM(#REF!+#REF!)</f>
        <v>#REF!</v>
      </c>
      <c r="E35" s="19" t="e">
        <f>SUM(#REF!+#REF!)</f>
        <v>#REF!</v>
      </c>
      <c r="F35" s="18" t="e">
        <f>SUM(#REF!+#REF!)</f>
        <v>#REF!</v>
      </c>
      <c r="G35" s="19" t="e">
        <f>SUM(#REF!+#REF!)</f>
        <v>#REF!</v>
      </c>
      <c r="H35" s="18" t="e">
        <f>SUM(#REF!+#REF!)</f>
        <v>#REF!</v>
      </c>
      <c r="I35" s="23" t="e">
        <f>SUM(#REF!+#REF!)</f>
        <v>#REF!</v>
      </c>
      <c r="J35" s="24">
        <f>J10+J11+J12+J13+J14+J15+J16+J17+J23+J30</f>
        <v>1243714.0999999999</v>
      </c>
      <c r="K35" s="24">
        <f>K10+K11+K12+K13+K14+K15+K16+K17+K23+K30</f>
        <v>190462.00000000003</v>
      </c>
      <c r="L35" s="24">
        <f>L10+L11+L12+L13+L14+L15+L16+L17+L23+L30</f>
        <v>1434176.1</v>
      </c>
      <c r="M35" s="24">
        <f aca="true" t="shared" si="19" ref="M35:R35">M10+M11+M12+M13+M14+M15+M16+M17+M23+M30</f>
        <v>2904150.1</v>
      </c>
      <c r="N35" s="24">
        <f t="shared" si="19"/>
        <v>600675</v>
      </c>
      <c r="O35" s="24">
        <f t="shared" si="19"/>
        <v>3504825.1000000006</v>
      </c>
      <c r="P35" s="24">
        <f t="shared" si="19"/>
        <v>1599921.9</v>
      </c>
      <c r="Q35" s="24">
        <f t="shared" si="19"/>
        <v>204694.80000000002</v>
      </c>
      <c r="R35" s="24">
        <f t="shared" si="19"/>
        <v>1804616.6999999997</v>
      </c>
      <c r="S35" s="24">
        <f t="shared" si="11"/>
        <v>55.09088183837329</v>
      </c>
      <c r="T35" s="24">
        <f t="shared" si="12"/>
        <v>34.077462854288925</v>
      </c>
      <c r="U35" s="24">
        <f t="shared" si="13"/>
        <v>51.48949372680536</v>
      </c>
      <c r="V35" s="24">
        <f t="shared" si="7"/>
        <v>28.64064980850503</v>
      </c>
      <c r="W35" s="24">
        <f t="shared" si="8"/>
        <v>7.47277672186577</v>
      </c>
      <c r="X35" s="24">
        <f t="shared" si="9"/>
        <v>25.82950587448778</v>
      </c>
    </row>
    <row r="36" spans="1:24" s="67" customFormat="1" ht="36.75" customHeight="1" hidden="1">
      <c r="A36" s="52"/>
      <c r="B36" s="21"/>
      <c r="C36" s="25" t="s">
        <v>9</v>
      </c>
      <c r="D36" s="66" t="e">
        <f>SUM(#REF!+#REF!+#REF!)</f>
        <v>#REF!</v>
      </c>
      <c r="E36" s="66" t="e">
        <f>SUM(#REF!+#REF!+#REF!)</f>
        <v>#REF!</v>
      </c>
      <c r="F36" s="64" t="e">
        <f>SUM(#REF!+#REF!+#REF!)</f>
        <v>#REF!</v>
      </c>
      <c r="G36" s="64" t="e">
        <f>SUM(#REF!+#REF!+#REF!)</f>
        <v>#REF!</v>
      </c>
      <c r="H36" s="64" t="e">
        <f>SUM(#REF!+#REF!+#REF!)</f>
        <v>#REF!</v>
      </c>
      <c r="I36" s="64"/>
      <c r="J36" s="24"/>
      <c r="K36" s="26"/>
      <c r="L36" s="24">
        <f>J36+K36</f>
        <v>0</v>
      </c>
      <c r="M36" s="26"/>
      <c r="N36" s="26"/>
      <c r="O36" s="24" t="e">
        <f>#REF!+#REF!</f>
        <v>#REF!</v>
      </c>
      <c r="P36" s="26"/>
      <c r="Q36" s="26"/>
      <c r="R36" s="24">
        <f>P36+Q36</f>
        <v>0</v>
      </c>
      <c r="S36" s="34" t="e">
        <f>(P36/M36)*100</f>
        <v>#DIV/0!</v>
      </c>
      <c r="T36" s="34" t="e">
        <f>(Q36/N36)*100</f>
        <v>#DIV/0!</v>
      </c>
      <c r="U36" s="34" t="e">
        <f>(R36/O36)*100</f>
        <v>#REF!</v>
      </c>
      <c r="V36" s="16" t="e">
        <f t="shared" si="7"/>
        <v>#DIV/0!</v>
      </c>
      <c r="W36" s="16" t="e">
        <f t="shared" si="8"/>
        <v>#DIV/0!</v>
      </c>
      <c r="X36" s="16" t="e">
        <f t="shared" si="9"/>
        <v>#DIV/0!</v>
      </c>
    </row>
    <row r="37" spans="1:24" s="43" customFormat="1" ht="36.75" customHeight="1">
      <c r="A37" s="31"/>
      <c r="B37" s="111" t="s">
        <v>37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s="4" customFormat="1" ht="30.75" customHeight="1">
      <c r="A38" s="32"/>
      <c r="B38" s="21"/>
      <c r="C38" s="25" t="s">
        <v>15</v>
      </c>
      <c r="D38" s="20"/>
      <c r="E38" s="20"/>
      <c r="F38" s="20"/>
      <c r="G38" s="20"/>
      <c r="H38" s="20"/>
      <c r="I38" s="24"/>
      <c r="J38" s="24">
        <f>J39+J40</f>
        <v>13061.3</v>
      </c>
      <c r="K38" s="24">
        <f>K39+K40</f>
        <v>190.5</v>
      </c>
      <c r="L38" s="24">
        <f>L39+L40</f>
        <v>13251.8</v>
      </c>
      <c r="M38" s="24">
        <f aca="true" t="shared" si="20" ref="M38:R38">M39+M40</f>
        <v>1415.1</v>
      </c>
      <c r="N38" s="24">
        <f t="shared" si="20"/>
        <v>962.359</v>
      </c>
      <c r="O38" s="24">
        <f t="shared" si="20"/>
        <v>2377.459</v>
      </c>
      <c r="P38" s="24">
        <f t="shared" si="20"/>
        <v>707.5</v>
      </c>
      <c r="Q38" s="24">
        <f t="shared" si="20"/>
        <v>322</v>
      </c>
      <c r="R38" s="24">
        <f t="shared" si="20"/>
        <v>1029.5</v>
      </c>
      <c r="S38" s="24">
        <f>(P38/M38)*100</f>
        <v>49.99646668079995</v>
      </c>
      <c r="T38" s="24">
        <f>(Q38/N38)*100</f>
        <v>33.45944704626859</v>
      </c>
      <c r="U38" s="24">
        <f>(R38/O38)*100</f>
        <v>43.30253434444085</v>
      </c>
      <c r="V38" s="24">
        <f>P38/J38*100-100</f>
        <v>-94.5832344406759</v>
      </c>
      <c r="W38" s="24">
        <f>Q38/K38*100-100</f>
        <v>69.02887139107611</v>
      </c>
      <c r="X38" s="24">
        <f>R38/L38*100-100</f>
        <v>-92.23124405741108</v>
      </c>
    </row>
    <row r="39" spans="1:27" s="69" customFormat="1" ht="117.75" customHeight="1">
      <c r="A39" s="52"/>
      <c r="B39" s="12" t="s">
        <v>81</v>
      </c>
      <c r="C39" s="13" t="s">
        <v>17</v>
      </c>
      <c r="D39" s="59"/>
      <c r="E39" s="59"/>
      <c r="F39" s="59"/>
      <c r="G39" s="59"/>
      <c r="H39" s="59"/>
      <c r="I39" s="34">
        <v>943.396</v>
      </c>
      <c r="J39" s="16">
        <v>1061.3</v>
      </c>
      <c r="K39" s="16">
        <v>190.5</v>
      </c>
      <c r="L39" s="16">
        <f>SUM(J39+K39)</f>
        <v>1251.8</v>
      </c>
      <c r="M39" s="16">
        <v>1415.1</v>
      </c>
      <c r="N39" s="16">
        <v>962.359</v>
      </c>
      <c r="O39" s="16">
        <f>M39+N39</f>
        <v>2377.459</v>
      </c>
      <c r="P39" s="16">
        <v>707.5</v>
      </c>
      <c r="Q39" s="16">
        <v>322</v>
      </c>
      <c r="R39" s="16">
        <f>P39+Q39</f>
        <v>1029.5</v>
      </c>
      <c r="S39" s="16">
        <f>(P39/M39)*100</f>
        <v>49.99646668079995</v>
      </c>
      <c r="T39" s="16">
        <f aca="true" t="shared" si="21" ref="T39:T44">(Q39/N39)*100</f>
        <v>33.45944704626859</v>
      </c>
      <c r="U39" s="16">
        <f aca="true" t="shared" si="22" ref="U39:U44">(R39/O39)*100</f>
        <v>43.30253434444085</v>
      </c>
      <c r="V39" s="16">
        <f aca="true" t="shared" si="23" ref="V39:V44">P39/J39*100-100</f>
        <v>-33.3364741354942</v>
      </c>
      <c r="W39" s="16">
        <f aca="true" t="shared" si="24" ref="W39:W44">Q39/K39*100-100</f>
        <v>69.02887139107611</v>
      </c>
      <c r="X39" s="16">
        <f aca="true" t="shared" si="25" ref="X39:X44">R39/L39*100-100</f>
        <v>-17.75842786387601</v>
      </c>
      <c r="Y39" s="68"/>
      <c r="Z39" s="68"/>
      <c r="AA39" s="68"/>
    </row>
    <row r="40" spans="1:27" s="69" customFormat="1" ht="76.5" customHeight="1">
      <c r="A40" s="52"/>
      <c r="B40" s="12" t="s">
        <v>82</v>
      </c>
      <c r="C40" s="13" t="s">
        <v>20</v>
      </c>
      <c r="D40" s="59"/>
      <c r="E40" s="59"/>
      <c r="F40" s="59"/>
      <c r="G40" s="59"/>
      <c r="H40" s="59"/>
      <c r="I40" s="34"/>
      <c r="J40" s="16">
        <v>12000</v>
      </c>
      <c r="K40" s="16"/>
      <c r="L40" s="16">
        <f>SUM(J40+K40)</f>
        <v>12000</v>
      </c>
      <c r="M40" s="16"/>
      <c r="N40" s="16">
        <v>0</v>
      </c>
      <c r="O40" s="16">
        <f>M40+N40</f>
        <v>0</v>
      </c>
      <c r="P40" s="16"/>
      <c r="Q40" s="16">
        <v>0</v>
      </c>
      <c r="R40" s="16">
        <f>P40+Q40</f>
        <v>0</v>
      </c>
      <c r="S40" s="16"/>
      <c r="T40" s="16"/>
      <c r="U40" s="16"/>
      <c r="V40" s="16">
        <f t="shared" si="23"/>
        <v>-100</v>
      </c>
      <c r="W40" s="16"/>
      <c r="X40" s="16">
        <f t="shared" si="25"/>
        <v>-100</v>
      </c>
      <c r="Y40" s="68"/>
      <c r="Z40" s="68"/>
      <c r="AA40" s="68"/>
    </row>
    <row r="41" spans="1:27" s="4" customFormat="1" ht="27.75" customHeight="1">
      <c r="A41" s="32"/>
      <c r="B41" s="21"/>
      <c r="C41" s="25" t="s">
        <v>14</v>
      </c>
      <c r="D41" s="20"/>
      <c r="E41" s="20"/>
      <c r="F41" s="20"/>
      <c r="G41" s="20"/>
      <c r="H41" s="20"/>
      <c r="I41" s="24"/>
      <c r="J41" s="24"/>
      <c r="K41" s="24">
        <f>K42+K43</f>
        <v>-540.9</v>
      </c>
      <c r="L41" s="24">
        <f>L42+L43</f>
        <v>-540.9</v>
      </c>
      <c r="M41" s="24">
        <f aca="true" t="shared" si="26" ref="M41:R41">M42+M43</f>
        <v>0</v>
      </c>
      <c r="N41" s="24">
        <f t="shared" si="26"/>
        <v>-2744.092</v>
      </c>
      <c r="O41" s="24">
        <f t="shared" si="26"/>
        <v>-2744.092</v>
      </c>
      <c r="P41" s="24">
        <f t="shared" si="26"/>
        <v>0</v>
      </c>
      <c r="Q41" s="24">
        <f t="shared" si="26"/>
        <v>-401</v>
      </c>
      <c r="R41" s="24">
        <f t="shared" si="26"/>
        <v>-401</v>
      </c>
      <c r="S41" s="24"/>
      <c r="T41" s="24">
        <f t="shared" si="21"/>
        <v>14.613212676542913</v>
      </c>
      <c r="U41" s="24">
        <f t="shared" si="22"/>
        <v>14.613212676542913</v>
      </c>
      <c r="V41" s="24"/>
      <c r="W41" s="24">
        <f t="shared" si="24"/>
        <v>-25.86430024034017</v>
      </c>
      <c r="X41" s="24">
        <f t="shared" si="25"/>
        <v>-25.86430024034017</v>
      </c>
      <c r="Y41" s="44"/>
      <c r="Z41" s="44"/>
      <c r="AA41" s="44"/>
    </row>
    <row r="42" spans="1:27" s="67" customFormat="1" ht="69.75" customHeight="1">
      <c r="A42" s="52"/>
      <c r="B42" s="12" t="s">
        <v>83</v>
      </c>
      <c r="C42" s="13" t="s">
        <v>18</v>
      </c>
      <c r="D42" s="64"/>
      <c r="E42" s="64"/>
      <c r="F42" s="64"/>
      <c r="G42" s="64"/>
      <c r="H42" s="64"/>
      <c r="I42" s="34">
        <v>-1471.6</v>
      </c>
      <c r="J42" s="16"/>
      <c r="K42" s="16">
        <v>-10</v>
      </c>
      <c r="L42" s="16">
        <f>SUM(J42+K42)</f>
        <v>-10</v>
      </c>
      <c r="M42" s="16">
        <v>0</v>
      </c>
      <c r="N42" s="16">
        <v>-2074.092</v>
      </c>
      <c r="O42" s="16">
        <f>M42+N42</f>
        <v>-2074.092</v>
      </c>
      <c r="P42" s="16">
        <v>0</v>
      </c>
      <c r="Q42" s="16">
        <v>-10</v>
      </c>
      <c r="R42" s="16">
        <f>P42+Q42</f>
        <v>-10</v>
      </c>
      <c r="S42" s="16"/>
      <c r="T42" s="16">
        <f t="shared" si="21"/>
        <v>0.48213869008703564</v>
      </c>
      <c r="U42" s="16">
        <f t="shared" si="22"/>
        <v>0.48213869008703564</v>
      </c>
      <c r="V42" s="16"/>
      <c r="W42" s="16">
        <f t="shared" si="24"/>
        <v>0</v>
      </c>
      <c r="X42" s="16">
        <f t="shared" si="25"/>
        <v>0</v>
      </c>
      <c r="Y42" s="70"/>
      <c r="Z42" s="70"/>
      <c r="AA42" s="70"/>
    </row>
    <row r="43" spans="1:27" s="69" customFormat="1" ht="99" customHeight="1">
      <c r="A43" s="52"/>
      <c r="B43" s="12" t="s">
        <v>84</v>
      </c>
      <c r="C43" s="13" t="s">
        <v>16</v>
      </c>
      <c r="D43" s="59"/>
      <c r="E43" s="59"/>
      <c r="F43" s="59"/>
      <c r="G43" s="59"/>
      <c r="H43" s="59"/>
      <c r="I43" s="34"/>
      <c r="J43" s="16"/>
      <c r="K43" s="16">
        <v>-530.9</v>
      </c>
      <c r="L43" s="16">
        <f>SUM(J43+K43)</f>
        <v>-530.9</v>
      </c>
      <c r="M43" s="16"/>
      <c r="N43" s="16">
        <v>-670</v>
      </c>
      <c r="O43" s="16">
        <f>M43+N43</f>
        <v>-670</v>
      </c>
      <c r="P43" s="16"/>
      <c r="Q43" s="16">
        <v>-391</v>
      </c>
      <c r="R43" s="16">
        <f>P43+Q43</f>
        <v>-391</v>
      </c>
      <c r="S43" s="16"/>
      <c r="T43" s="16">
        <f t="shared" si="21"/>
        <v>58.35820895522388</v>
      </c>
      <c r="U43" s="16">
        <f t="shared" si="22"/>
        <v>58.35820895522388</v>
      </c>
      <c r="V43" s="16"/>
      <c r="W43" s="16">
        <f t="shared" si="24"/>
        <v>-26.351478621209267</v>
      </c>
      <c r="X43" s="16">
        <f t="shared" si="25"/>
        <v>-26.351478621209267</v>
      </c>
      <c r="Y43" s="68"/>
      <c r="Z43" s="68"/>
      <c r="AA43" s="68"/>
    </row>
    <row r="44" spans="1:24" s="62" customFormat="1" ht="37.5" customHeight="1">
      <c r="A44" s="55"/>
      <c r="B44" s="21"/>
      <c r="C44" s="22" t="s">
        <v>21</v>
      </c>
      <c r="D44" s="63" t="e">
        <f>SUM(#REF!+#REF!)</f>
        <v>#REF!</v>
      </c>
      <c r="E44" s="63" t="e">
        <f>SUM(#REF!+#REF!)</f>
        <v>#REF!</v>
      </c>
      <c r="F44" s="61" t="e">
        <f>SUM(#REF!+#REF!)</f>
        <v>#REF!</v>
      </c>
      <c r="G44" s="63" t="e">
        <f>SUM(#REF!+#REF!)</f>
        <v>#REF!</v>
      </c>
      <c r="H44" s="61" t="e">
        <f>SUM(#REF!+#REF!)</f>
        <v>#REF!</v>
      </c>
      <c r="I44" s="65" t="e">
        <f>SUM(#REF!+#REF!)</f>
        <v>#REF!</v>
      </c>
      <c r="J44" s="24">
        <f>J38+J41</f>
        <v>13061.3</v>
      </c>
      <c r="K44" s="24">
        <f>K38+K41</f>
        <v>-350.4</v>
      </c>
      <c r="L44" s="24">
        <f>L38+L41</f>
        <v>12710.9</v>
      </c>
      <c r="M44" s="24">
        <f aca="true" t="shared" si="27" ref="M44:R44">M38+M41</f>
        <v>1415.1</v>
      </c>
      <c r="N44" s="24">
        <f t="shared" si="27"/>
        <v>-1781.7330000000002</v>
      </c>
      <c r="O44" s="24">
        <f t="shared" si="27"/>
        <v>-366.63300000000027</v>
      </c>
      <c r="P44" s="24">
        <f t="shared" si="27"/>
        <v>707.5</v>
      </c>
      <c r="Q44" s="24">
        <f t="shared" si="27"/>
        <v>-79</v>
      </c>
      <c r="R44" s="24">
        <f t="shared" si="27"/>
        <v>628.5</v>
      </c>
      <c r="S44" s="24">
        <f>(P44/M44)*100</f>
        <v>49.99646668079995</v>
      </c>
      <c r="T44" s="24">
        <f t="shared" si="21"/>
        <v>4.433885436257845</v>
      </c>
      <c r="U44" s="24">
        <f t="shared" si="22"/>
        <v>-171.42483082537566</v>
      </c>
      <c r="V44" s="24">
        <f t="shared" si="23"/>
        <v>-94.5832344406759</v>
      </c>
      <c r="W44" s="24">
        <f t="shared" si="24"/>
        <v>-77.45433789954338</v>
      </c>
      <c r="X44" s="24">
        <f t="shared" si="25"/>
        <v>-95.05542487156693</v>
      </c>
    </row>
    <row r="45" spans="1:24" s="1" customFormat="1" ht="33" customHeight="1">
      <c r="A45" s="29"/>
      <c r="B45" s="118" t="s">
        <v>38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20"/>
    </row>
    <row r="46" spans="1:24" s="1" customFormat="1" ht="83.25" customHeight="1">
      <c r="A46" s="29"/>
      <c r="B46" s="117" t="s">
        <v>53</v>
      </c>
      <c r="C46" s="117" t="s">
        <v>54</v>
      </c>
      <c r="D46" s="11" t="s">
        <v>11</v>
      </c>
      <c r="E46" s="11"/>
      <c r="F46" s="11"/>
      <c r="G46" s="11"/>
      <c r="H46" s="11"/>
      <c r="I46" s="112" t="s">
        <v>85</v>
      </c>
      <c r="J46" s="112"/>
      <c r="K46" s="112"/>
      <c r="L46" s="112"/>
      <c r="M46" s="112" t="s">
        <v>86</v>
      </c>
      <c r="N46" s="112"/>
      <c r="O46" s="112"/>
      <c r="P46" s="112" t="s">
        <v>87</v>
      </c>
      <c r="Q46" s="112"/>
      <c r="R46" s="112"/>
      <c r="S46" s="112" t="s">
        <v>88</v>
      </c>
      <c r="T46" s="112"/>
      <c r="U46" s="112"/>
      <c r="V46" s="98" t="s">
        <v>89</v>
      </c>
      <c r="W46" s="99"/>
      <c r="X46" s="100"/>
    </row>
    <row r="47" spans="1:24" s="1" customFormat="1" ht="55.5" customHeight="1">
      <c r="A47" s="29"/>
      <c r="B47" s="117"/>
      <c r="C47" s="117"/>
      <c r="D47" s="11"/>
      <c r="E47" s="11"/>
      <c r="F47" s="10" t="s">
        <v>7</v>
      </c>
      <c r="G47" s="10" t="s">
        <v>8</v>
      </c>
      <c r="H47" s="11"/>
      <c r="I47" s="112" t="s">
        <v>12</v>
      </c>
      <c r="J47" s="112"/>
      <c r="K47" s="10" t="s">
        <v>13</v>
      </c>
      <c r="L47" s="9" t="s">
        <v>0</v>
      </c>
      <c r="M47" s="10" t="s">
        <v>12</v>
      </c>
      <c r="N47" s="10" t="s">
        <v>13</v>
      </c>
      <c r="O47" s="10" t="s">
        <v>0</v>
      </c>
      <c r="P47" s="10" t="s">
        <v>12</v>
      </c>
      <c r="Q47" s="10" t="s">
        <v>13</v>
      </c>
      <c r="R47" s="10" t="s">
        <v>0</v>
      </c>
      <c r="S47" s="9" t="s">
        <v>12</v>
      </c>
      <c r="T47" s="10" t="s">
        <v>13</v>
      </c>
      <c r="U47" s="10" t="s">
        <v>0</v>
      </c>
      <c r="V47" s="9" t="s">
        <v>12</v>
      </c>
      <c r="W47" s="10" t="s">
        <v>13</v>
      </c>
      <c r="X47" s="10" t="s">
        <v>0</v>
      </c>
    </row>
    <row r="48" spans="2:26" ht="104.25" customHeight="1">
      <c r="B48" s="35" t="s">
        <v>22</v>
      </c>
      <c r="C48" s="36" t="s">
        <v>23</v>
      </c>
      <c r="D48" s="71">
        <v>-175141.4</v>
      </c>
      <c r="E48" s="71">
        <v>175141.4</v>
      </c>
      <c r="F48" s="72">
        <f>E48+D48</f>
        <v>0</v>
      </c>
      <c r="G48" s="71">
        <v>-473578.5</v>
      </c>
      <c r="H48" s="71">
        <v>473578.5</v>
      </c>
      <c r="I48" s="72">
        <f>H48+G48</f>
        <v>0</v>
      </c>
      <c r="J48" s="93">
        <v>-160376.8</v>
      </c>
      <c r="K48" s="93">
        <v>160376.8</v>
      </c>
      <c r="L48" s="93">
        <f>SUM(J48+K48)</f>
        <v>0</v>
      </c>
      <c r="M48" s="93">
        <v>-451109.6</v>
      </c>
      <c r="N48" s="93">
        <v>451109.6</v>
      </c>
      <c r="O48" s="93">
        <f>M48+N48</f>
        <v>0</v>
      </c>
      <c r="P48" s="93">
        <v>-157371.1</v>
      </c>
      <c r="Q48" s="93">
        <v>157371.1</v>
      </c>
      <c r="R48" s="93">
        <f>P48+Q48</f>
        <v>0</v>
      </c>
      <c r="S48" s="16">
        <f>(P48/M48)*100</f>
        <v>34.885336069106046</v>
      </c>
      <c r="T48" s="16">
        <f>(Q48/N48)*100</f>
        <v>34.885336069106046</v>
      </c>
      <c r="U48" s="16"/>
      <c r="V48" s="16">
        <f>P48/J48*100-100</f>
        <v>-1.8741488793890255</v>
      </c>
      <c r="W48" s="16">
        <f>Q48/K48*100-100</f>
        <v>-1.8741488793890255</v>
      </c>
      <c r="X48" s="16"/>
      <c r="Z48" s="95"/>
    </row>
    <row r="49" spans="2:24" ht="61.5" customHeight="1">
      <c r="B49" s="37" t="s">
        <v>24</v>
      </c>
      <c r="C49" s="38" t="s">
        <v>25</v>
      </c>
      <c r="D49" s="73"/>
      <c r="E49" s="73"/>
      <c r="F49" s="73"/>
      <c r="G49" s="73"/>
      <c r="H49" s="73"/>
      <c r="I49" s="73"/>
      <c r="J49" s="94">
        <f>J51</f>
        <v>0</v>
      </c>
      <c r="K49" s="94">
        <f>K51</f>
        <v>-1011.9</v>
      </c>
      <c r="L49" s="94">
        <f>L51</f>
        <v>-1011.9</v>
      </c>
      <c r="M49" s="94">
        <f>M50+M51</f>
        <v>0</v>
      </c>
      <c r="N49" s="94">
        <f>N50+N51</f>
        <v>-2464.4</v>
      </c>
      <c r="O49" s="94">
        <f>O50+O51</f>
        <v>-2464.4</v>
      </c>
      <c r="P49" s="94">
        <f>P51</f>
        <v>0</v>
      </c>
      <c r="Q49" s="94">
        <f>Q51</f>
        <v>-1232.2</v>
      </c>
      <c r="R49" s="94">
        <f>R51</f>
        <v>-1232.2</v>
      </c>
      <c r="S49" s="16"/>
      <c r="T49" s="16">
        <f aca="true" t="shared" si="28" ref="T49:U51">(Q49/N49)*100</f>
        <v>50</v>
      </c>
      <c r="U49" s="16">
        <f t="shared" si="28"/>
        <v>50</v>
      </c>
      <c r="V49" s="16"/>
      <c r="W49" s="16">
        <f aca="true" t="shared" si="29" ref="W49:X51">Q49/K49*100-100</f>
        <v>21.770925980828153</v>
      </c>
      <c r="X49" s="16">
        <f t="shared" si="29"/>
        <v>21.770925980828153</v>
      </c>
    </row>
    <row r="50" spans="2:24" ht="39" customHeight="1" hidden="1">
      <c r="B50" s="35" t="s">
        <v>26</v>
      </c>
      <c r="C50" s="36" t="s">
        <v>27</v>
      </c>
      <c r="D50" s="74"/>
      <c r="E50" s="74"/>
      <c r="F50" s="74"/>
      <c r="G50" s="74"/>
      <c r="H50" s="74"/>
      <c r="I50" s="74"/>
      <c r="J50" s="93">
        <v>0</v>
      </c>
      <c r="K50" s="93"/>
      <c r="L50" s="93">
        <f>SUM(J50+K50)</f>
        <v>0</v>
      </c>
      <c r="M50" s="93"/>
      <c r="N50" s="93"/>
      <c r="O50" s="93">
        <f>M50+N50</f>
        <v>0</v>
      </c>
      <c r="P50" s="93"/>
      <c r="Q50" s="93"/>
      <c r="R50" s="93">
        <f>P50+Q50</f>
        <v>0</v>
      </c>
      <c r="S50" s="16"/>
      <c r="T50" s="16" t="e">
        <f t="shared" si="28"/>
        <v>#DIV/0!</v>
      </c>
      <c r="U50" s="16" t="e">
        <f t="shared" si="28"/>
        <v>#DIV/0!</v>
      </c>
      <c r="V50" s="16"/>
      <c r="W50" s="16" t="e">
        <f t="shared" si="29"/>
        <v>#DIV/0!</v>
      </c>
      <c r="X50" s="16" t="e">
        <f t="shared" si="29"/>
        <v>#DIV/0!</v>
      </c>
    </row>
    <row r="51" spans="2:26" ht="37.5" customHeight="1">
      <c r="B51" s="35" t="s">
        <v>28</v>
      </c>
      <c r="C51" s="36" t="s">
        <v>29</v>
      </c>
      <c r="D51" s="74"/>
      <c r="E51" s="74"/>
      <c r="F51" s="74"/>
      <c r="G51" s="74"/>
      <c r="H51" s="74"/>
      <c r="I51" s="74"/>
      <c r="J51" s="93"/>
      <c r="K51" s="93">
        <v>-1011.9</v>
      </c>
      <c r="L51" s="93">
        <f>SUM(J51+K51)</f>
        <v>-1011.9</v>
      </c>
      <c r="M51" s="93">
        <v>0</v>
      </c>
      <c r="N51" s="93">
        <v>-2464.4</v>
      </c>
      <c r="O51" s="93">
        <f>M51+N51</f>
        <v>-2464.4</v>
      </c>
      <c r="P51" s="93"/>
      <c r="Q51" s="93">
        <v>-1232.2</v>
      </c>
      <c r="R51" s="93">
        <f>P51+Q51</f>
        <v>-1232.2</v>
      </c>
      <c r="S51" s="16"/>
      <c r="T51" s="16">
        <f t="shared" si="28"/>
        <v>50</v>
      </c>
      <c r="U51" s="16">
        <f t="shared" si="28"/>
        <v>50</v>
      </c>
      <c r="V51" s="16"/>
      <c r="W51" s="16">
        <f t="shared" si="29"/>
        <v>21.770925980828153</v>
      </c>
      <c r="X51" s="16">
        <f t="shared" si="29"/>
        <v>21.770925980828153</v>
      </c>
      <c r="Z51" s="95"/>
    </row>
    <row r="52" spans="2:24" ht="70.5" customHeight="1">
      <c r="B52" s="115" t="s">
        <v>98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2:24" ht="56.25" customHeight="1">
      <c r="B53" s="115" t="s">
        <v>99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2:24" ht="24.75" customHeight="1">
      <c r="B54" s="8"/>
      <c r="C54" s="8"/>
      <c r="D54" s="75"/>
      <c r="E54" s="75"/>
      <c r="F54" s="75"/>
      <c r="G54" s="75"/>
      <c r="H54" s="75"/>
      <c r="I54" s="75"/>
      <c r="J54" s="8"/>
      <c r="K54" s="8"/>
      <c r="L54" s="8"/>
      <c r="M54" s="8"/>
      <c r="N54" s="8"/>
      <c r="O54" s="8"/>
      <c r="P54" s="8"/>
      <c r="Q54" s="8"/>
      <c r="R54" s="8"/>
      <c r="S54" s="75"/>
      <c r="T54" s="75"/>
      <c r="U54" s="75"/>
      <c r="V54" s="75"/>
      <c r="W54" s="75"/>
      <c r="X54" s="75"/>
    </row>
    <row r="55" spans="1:24" s="1" customFormat="1" ht="36.75" customHeight="1">
      <c r="A55" s="29"/>
      <c r="B55" s="111" t="s">
        <v>39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7"/>
      <c r="Q55" s="7"/>
      <c r="R55" s="7"/>
      <c r="S55" s="7"/>
      <c r="T55" s="7"/>
      <c r="U55" s="7"/>
      <c r="V55" s="7"/>
      <c r="W55" s="7"/>
      <c r="X55" s="7"/>
    </row>
    <row r="56" spans="2:28" ht="52.5" customHeight="1">
      <c r="B56" s="106" t="s">
        <v>30</v>
      </c>
      <c r="C56" s="107"/>
      <c r="D56" s="53" t="s">
        <v>11</v>
      </c>
      <c r="E56" s="53"/>
      <c r="F56" s="53"/>
      <c r="G56" s="53"/>
      <c r="H56" s="53"/>
      <c r="I56" s="53"/>
      <c r="J56" s="98" t="s">
        <v>90</v>
      </c>
      <c r="K56" s="99"/>
      <c r="L56" s="100"/>
      <c r="M56" s="98" t="s">
        <v>91</v>
      </c>
      <c r="N56" s="99"/>
      <c r="O56" s="100"/>
      <c r="P56" s="82"/>
      <c r="Q56" s="82"/>
      <c r="R56" s="82"/>
      <c r="S56" s="76"/>
      <c r="T56" s="76"/>
      <c r="U56" s="76"/>
      <c r="V56" s="76"/>
      <c r="W56" s="76"/>
      <c r="X56" s="76"/>
      <c r="Y56" s="76"/>
      <c r="Z56" s="76"/>
      <c r="AA56" s="76"/>
      <c r="AB56" s="76"/>
    </row>
    <row r="57" spans="2:24" ht="36.75" customHeight="1">
      <c r="B57" s="104" t="s">
        <v>31</v>
      </c>
      <c r="C57" s="105"/>
      <c r="D57" s="77"/>
      <c r="E57" s="77"/>
      <c r="F57" s="77"/>
      <c r="G57" s="77"/>
      <c r="H57" s="77"/>
      <c r="I57" s="78"/>
      <c r="J57" s="101">
        <f>J58</f>
        <v>6071.3</v>
      </c>
      <c r="K57" s="102"/>
      <c r="L57" s="103"/>
      <c r="M57" s="101">
        <f>M58</f>
        <v>5544.96826</v>
      </c>
      <c r="N57" s="102"/>
      <c r="O57" s="103"/>
      <c r="Q57" s="83"/>
      <c r="R57" s="83"/>
      <c r="S57" s="47"/>
      <c r="T57" s="47"/>
      <c r="U57" s="47"/>
      <c r="V57" s="79"/>
      <c r="W57" s="79"/>
      <c r="X57" s="79"/>
    </row>
    <row r="58" spans="2:24" ht="26.25" customHeight="1">
      <c r="B58" s="104" t="s">
        <v>32</v>
      </c>
      <c r="C58" s="105"/>
      <c r="D58" s="77"/>
      <c r="E58" s="77"/>
      <c r="F58" s="77"/>
      <c r="G58" s="77"/>
      <c r="H58" s="77"/>
      <c r="I58" s="77"/>
      <c r="J58" s="101">
        <f>J59</f>
        <v>6071.3</v>
      </c>
      <c r="K58" s="102"/>
      <c r="L58" s="103"/>
      <c r="M58" s="101">
        <f>M59</f>
        <v>5544.96826</v>
      </c>
      <c r="N58" s="102"/>
      <c r="O58" s="103"/>
      <c r="Q58" s="84"/>
      <c r="R58" s="84"/>
      <c r="S58" s="47"/>
      <c r="T58" s="47"/>
      <c r="U58" s="47"/>
      <c r="V58" s="47"/>
      <c r="W58" s="47"/>
      <c r="X58" s="47"/>
    </row>
    <row r="59" spans="2:24" ht="76.5" customHeight="1">
      <c r="B59" s="104" t="s">
        <v>34</v>
      </c>
      <c r="C59" s="105"/>
      <c r="D59" s="77"/>
      <c r="E59" s="77"/>
      <c r="F59" s="77"/>
      <c r="G59" s="77"/>
      <c r="H59" s="77"/>
      <c r="I59" s="77"/>
      <c r="J59" s="101">
        <f>J60</f>
        <v>6071.3</v>
      </c>
      <c r="K59" s="102"/>
      <c r="L59" s="103"/>
      <c r="M59" s="101">
        <f>M60</f>
        <v>5544.96826</v>
      </c>
      <c r="N59" s="102"/>
      <c r="O59" s="103"/>
      <c r="Q59" s="84"/>
      <c r="R59" s="84"/>
      <c r="S59" s="47"/>
      <c r="T59" s="47"/>
      <c r="U59" s="47"/>
      <c r="V59" s="47"/>
      <c r="W59" s="47"/>
      <c r="X59" s="47"/>
    </row>
    <row r="60" spans="2:24" ht="58.5" customHeight="1">
      <c r="B60" s="104" t="s">
        <v>33</v>
      </c>
      <c r="C60" s="105"/>
      <c r="D60" s="77"/>
      <c r="E60" s="77"/>
      <c r="F60" s="77"/>
      <c r="G60" s="77"/>
      <c r="H60" s="77"/>
      <c r="I60" s="77"/>
      <c r="J60" s="108">
        <v>6071.3</v>
      </c>
      <c r="K60" s="109"/>
      <c r="L60" s="110"/>
      <c r="M60" s="101">
        <v>5544.96826</v>
      </c>
      <c r="N60" s="102"/>
      <c r="O60" s="103"/>
      <c r="Q60" s="84"/>
      <c r="R60" s="84"/>
      <c r="S60" s="47"/>
      <c r="T60" s="47"/>
      <c r="U60" s="47"/>
      <c r="V60" s="47"/>
      <c r="W60" s="47"/>
      <c r="X60" s="47"/>
    </row>
    <row r="61" spans="2:24" ht="28.5" customHeight="1">
      <c r="B61" s="42"/>
      <c r="C61" s="42"/>
      <c r="D61" s="80"/>
      <c r="E61" s="80"/>
      <c r="F61" s="80"/>
      <c r="G61" s="80"/>
      <c r="H61" s="80"/>
      <c r="I61" s="80"/>
      <c r="J61" s="45"/>
      <c r="K61" s="45"/>
      <c r="L61" s="45"/>
      <c r="M61" s="45"/>
      <c r="N61" s="45"/>
      <c r="O61" s="45"/>
      <c r="S61" s="47"/>
      <c r="T61" s="47"/>
      <c r="U61" s="47"/>
      <c r="V61" s="47"/>
      <c r="W61" s="47"/>
      <c r="X61" s="47"/>
    </row>
    <row r="62" spans="19:24" ht="12.75">
      <c r="S62" s="47"/>
      <c r="T62" s="47"/>
      <c r="U62" s="47"/>
      <c r="V62" s="47"/>
      <c r="W62" s="47"/>
      <c r="X62" s="47"/>
    </row>
    <row r="63" spans="10:24" ht="18.75">
      <c r="J63" s="97"/>
      <c r="K63" s="2"/>
      <c r="L63" s="2"/>
      <c r="M63" s="2"/>
      <c r="N63" s="2"/>
      <c r="O63" s="2"/>
      <c r="P63" s="2"/>
      <c r="Q63" s="2"/>
      <c r="S63" s="47"/>
      <c r="T63" s="47"/>
      <c r="U63" s="47"/>
      <c r="V63" s="47"/>
      <c r="W63" s="47"/>
      <c r="X63" s="47"/>
    </row>
    <row r="64" spans="1:22" s="90" customFormat="1" ht="31.5">
      <c r="A64" s="88"/>
      <c r="B64" s="89"/>
      <c r="C64" s="89"/>
      <c r="J64" s="91" t="s">
        <v>100</v>
      </c>
      <c r="K64" s="92"/>
      <c r="L64" s="92"/>
      <c r="M64" s="92"/>
      <c r="N64" s="92"/>
      <c r="O64" s="92"/>
      <c r="P64" s="92"/>
      <c r="Q64" s="89"/>
      <c r="R64" s="89"/>
      <c r="V64" s="92" t="s">
        <v>101</v>
      </c>
    </row>
    <row r="65" spans="10:17" ht="18.75">
      <c r="J65" s="97"/>
      <c r="K65" s="2"/>
      <c r="L65" s="2"/>
      <c r="M65" s="2"/>
      <c r="N65" s="2"/>
      <c r="O65" s="2"/>
      <c r="P65" s="2"/>
      <c r="Q65" s="2"/>
    </row>
  </sheetData>
  <sheetProtection/>
  <mergeCells count="41">
    <mergeCell ref="B5:X5"/>
    <mergeCell ref="V46:X46"/>
    <mergeCell ref="C46:C47"/>
    <mergeCell ref="S6:U6"/>
    <mergeCell ref="V6:X6"/>
    <mergeCell ref="B37:X37"/>
    <mergeCell ref="B45:X45"/>
    <mergeCell ref="B46:B47"/>
    <mergeCell ref="M6:O6"/>
    <mergeCell ref="J59:L59"/>
    <mergeCell ref="B9:X9"/>
    <mergeCell ref="B2:X2"/>
    <mergeCell ref="C6:C7"/>
    <mergeCell ref="B6:B7"/>
    <mergeCell ref="I6:L6"/>
    <mergeCell ref="P6:R6"/>
    <mergeCell ref="I46:L46"/>
    <mergeCell ref="M56:O56"/>
    <mergeCell ref="S1:X1"/>
    <mergeCell ref="C3:V3"/>
    <mergeCell ref="M59:O59"/>
    <mergeCell ref="P46:R46"/>
    <mergeCell ref="S46:U46"/>
    <mergeCell ref="B59:C59"/>
    <mergeCell ref="B53:X53"/>
    <mergeCell ref="B52:X52"/>
    <mergeCell ref="B57:C57"/>
    <mergeCell ref="I47:J47"/>
    <mergeCell ref="B55:O55"/>
    <mergeCell ref="J57:L57"/>
    <mergeCell ref="M57:O57"/>
    <mergeCell ref="M58:O58"/>
    <mergeCell ref="B58:C58"/>
    <mergeCell ref="I7:J7"/>
    <mergeCell ref="M46:O46"/>
    <mergeCell ref="J56:L56"/>
    <mergeCell ref="J58:L58"/>
    <mergeCell ref="B60:C60"/>
    <mergeCell ref="B56:C56"/>
    <mergeCell ref="J60:L60"/>
    <mergeCell ref="M60:O60"/>
  </mergeCells>
  <printOptions/>
  <pageMargins left="0.2" right="0" top="0.36" bottom="0.22" header="0.31496062992125984" footer="0"/>
  <pageSetup fitToHeight="3" horizontalDpi="600" verticalDpi="600" orientation="landscape" paperSize="9" scale="40" r:id="rId1"/>
  <rowBreaks count="1" manualBreakCount="1">
    <brk id="54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Майковська Юлія Миколаївна</cp:lastModifiedBy>
  <cp:lastPrinted>2018-09-28T06:32:46Z</cp:lastPrinted>
  <dcterms:created xsi:type="dcterms:W3CDTF">2002-07-22T10:53:13Z</dcterms:created>
  <dcterms:modified xsi:type="dcterms:W3CDTF">2018-09-28T06:32:54Z</dcterms:modified>
  <cp:category/>
  <cp:version/>
  <cp:contentType/>
  <cp:contentStatus/>
</cp:coreProperties>
</file>