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Липень\СМР\Доопрацьовано\"/>
    </mc:Choice>
  </mc:AlternateContent>
  <bookViews>
    <workbookView xWindow="0" yWindow="0" windowWidth="19200" windowHeight="11460" tabRatio="495"/>
  </bookViews>
  <sheets>
    <sheet name="дод 3" sheetId="1" r:id="rId1"/>
    <sheet name="дод 4" sheetId="3" r:id="rId2"/>
  </sheets>
  <definedNames>
    <definedName name="_xlnm.Print_Titles" localSheetId="0">'дод 3'!$15:$17</definedName>
    <definedName name="_xlnm.Print_Titles" localSheetId="1">'дод 4'!$16:$18</definedName>
    <definedName name="_xlnm.Print_Area" localSheetId="0">'дод 3'!$A$1:$P$277</definedName>
    <definedName name="_xlnm.Print_Area" localSheetId="1">'дод 4'!$A$1:$O$208</definedName>
  </definedNames>
  <calcPr calcId="162913"/>
</workbook>
</file>

<file path=xl/calcChain.xml><?xml version="1.0" encoding="utf-8"?>
<calcChain xmlns="http://schemas.openxmlformats.org/spreadsheetml/2006/main">
  <c r="F217" i="1" l="1"/>
  <c r="F221" i="1"/>
  <c r="I42" i="1" l="1"/>
  <c r="I41" i="1"/>
  <c r="O46" i="3" l="1"/>
  <c r="N46" i="3"/>
  <c r="M46" i="3"/>
  <c r="L46" i="3"/>
  <c r="K46" i="3"/>
  <c r="J46" i="3"/>
  <c r="I46" i="3"/>
  <c r="H46" i="3"/>
  <c r="G46" i="3"/>
  <c r="F46" i="3"/>
  <c r="E46" i="3"/>
  <c r="D46" i="3"/>
  <c r="P267" i="1"/>
  <c r="O267" i="1"/>
  <c r="N267" i="1"/>
  <c r="M267" i="1"/>
  <c r="L267" i="1"/>
  <c r="K267" i="1"/>
  <c r="J267" i="1"/>
  <c r="I267" i="1"/>
  <c r="H267" i="1"/>
  <c r="G267" i="1"/>
  <c r="F267" i="1"/>
  <c r="E267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E64" i="1"/>
  <c r="P64" i="1"/>
  <c r="O64" i="1"/>
  <c r="N64" i="1"/>
  <c r="M64" i="1"/>
  <c r="L64" i="1"/>
  <c r="K64" i="1"/>
  <c r="J64" i="1"/>
  <c r="I64" i="1"/>
  <c r="H64" i="1"/>
  <c r="G64" i="1"/>
  <c r="F64" i="1"/>
  <c r="P63" i="1"/>
  <c r="O63" i="1"/>
  <c r="N63" i="1"/>
  <c r="M63" i="1"/>
  <c r="L63" i="1"/>
  <c r="K63" i="1"/>
  <c r="J63" i="1"/>
  <c r="I63" i="1"/>
  <c r="H63" i="1"/>
  <c r="G63" i="1"/>
  <c r="F63" i="1"/>
  <c r="E63" i="1"/>
  <c r="P66" i="1"/>
  <c r="O66" i="1"/>
  <c r="N66" i="1"/>
  <c r="M66" i="1"/>
  <c r="L66" i="1"/>
  <c r="K66" i="1"/>
  <c r="J66" i="1"/>
  <c r="I66" i="1"/>
  <c r="H66" i="1"/>
  <c r="G66" i="1"/>
  <c r="F66" i="1"/>
  <c r="E66" i="1"/>
  <c r="P65" i="1"/>
  <c r="O65" i="1"/>
  <c r="N65" i="1"/>
  <c r="M65" i="1"/>
  <c r="L65" i="1"/>
  <c r="K65" i="1"/>
  <c r="J65" i="1"/>
  <c r="I65" i="1"/>
  <c r="H65" i="1"/>
  <c r="G65" i="1"/>
  <c r="F65" i="1"/>
  <c r="E65" i="1"/>
  <c r="P59" i="1"/>
  <c r="O59" i="1"/>
  <c r="N59" i="1"/>
  <c r="M59" i="1"/>
  <c r="L59" i="1"/>
  <c r="K59" i="1"/>
  <c r="J59" i="1"/>
  <c r="I59" i="1"/>
  <c r="H59" i="1"/>
  <c r="G59" i="1"/>
  <c r="F59" i="1"/>
  <c r="E59" i="1"/>
  <c r="P60" i="1"/>
  <c r="O60" i="1"/>
  <c r="N60" i="1"/>
  <c r="M60" i="1"/>
  <c r="L60" i="1"/>
  <c r="K60" i="1"/>
  <c r="J60" i="1"/>
  <c r="I60" i="1"/>
  <c r="H60" i="1"/>
  <c r="G60" i="1"/>
  <c r="F60" i="1"/>
  <c r="E60" i="1"/>
  <c r="P62" i="1"/>
  <c r="O62" i="1"/>
  <c r="N62" i="1"/>
  <c r="M62" i="1"/>
  <c r="L62" i="1"/>
  <c r="K62" i="1"/>
  <c r="J62" i="1"/>
  <c r="I62" i="1"/>
  <c r="H62" i="1"/>
  <c r="G62" i="1"/>
  <c r="F62" i="1"/>
  <c r="E62" i="1"/>
  <c r="E72" i="1"/>
  <c r="J83" i="1"/>
  <c r="P83" i="1" s="1"/>
  <c r="F82" i="1"/>
  <c r="E83" i="1"/>
  <c r="J253" i="1" l="1"/>
  <c r="P253" i="1"/>
  <c r="O21" i="1" l="1"/>
  <c r="K21" i="1"/>
  <c r="O58" i="1"/>
  <c r="N58" i="1"/>
  <c r="M58" i="1"/>
  <c r="L58" i="1"/>
  <c r="K58" i="1"/>
  <c r="I58" i="1"/>
  <c r="H58" i="1"/>
  <c r="G58" i="1"/>
  <c r="F58" i="1"/>
  <c r="F166" i="1" l="1"/>
  <c r="F112" i="1" l="1"/>
  <c r="F70" i="1" l="1"/>
  <c r="E262" i="1" l="1"/>
  <c r="N159" i="3" l="1"/>
  <c r="M159" i="3"/>
  <c r="L159" i="3"/>
  <c r="K159" i="3"/>
  <c r="J159" i="3"/>
  <c r="H159" i="3"/>
  <c r="G159" i="3"/>
  <c r="F159" i="3"/>
  <c r="E159" i="3"/>
  <c r="K199" i="1" l="1"/>
  <c r="O196" i="1"/>
  <c r="K196" i="1"/>
  <c r="F196" i="1"/>
  <c r="O198" i="1"/>
  <c r="K198" i="1"/>
  <c r="O193" i="1"/>
  <c r="K193" i="1"/>
  <c r="O199" i="1"/>
  <c r="F197" i="1"/>
  <c r="F256" i="1"/>
  <c r="F245" i="1"/>
  <c r="F237" i="1"/>
  <c r="F189" i="1"/>
  <c r="F177" i="1"/>
  <c r="F139" i="1"/>
  <c r="F111" i="1"/>
  <c r="F67" i="1"/>
  <c r="O56" i="1" l="1"/>
  <c r="K56" i="1"/>
  <c r="F56" i="1"/>
  <c r="O186" i="1" l="1"/>
  <c r="N186" i="1"/>
  <c r="M186" i="1"/>
  <c r="L186" i="1"/>
  <c r="K186" i="1"/>
  <c r="I186" i="1"/>
  <c r="H186" i="1"/>
  <c r="G186" i="1"/>
  <c r="F186" i="1"/>
  <c r="J207" i="1"/>
  <c r="E207" i="1"/>
  <c r="P207" i="1" l="1"/>
  <c r="O135" i="1" l="1"/>
  <c r="N135" i="1"/>
  <c r="M135" i="1"/>
  <c r="L135" i="1"/>
  <c r="K135" i="1"/>
  <c r="I135" i="1"/>
  <c r="H135" i="1"/>
  <c r="G135" i="1"/>
  <c r="F135" i="1"/>
  <c r="O191" i="1" l="1"/>
  <c r="K191" i="1"/>
  <c r="O70" i="1"/>
  <c r="K70" i="1"/>
  <c r="O118" i="1" l="1"/>
  <c r="K118" i="1"/>
  <c r="O112" i="1"/>
  <c r="K112" i="1"/>
  <c r="F80" i="1"/>
  <c r="F77" i="1"/>
  <c r="F37" i="1"/>
  <c r="F36" i="1"/>
  <c r="O35" i="1"/>
  <c r="K35" i="1"/>
  <c r="F35" i="1"/>
  <c r="F31" i="1"/>
  <c r="F26" i="1"/>
  <c r="F93" i="1" l="1"/>
  <c r="O146" i="3"/>
  <c r="N146" i="3"/>
  <c r="M146" i="3"/>
  <c r="L146" i="3"/>
  <c r="K146" i="3"/>
  <c r="J146" i="3"/>
  <c r="I146" i="3"/>
  <c r="H146" i="3"/>
  <c r="G146" i="3"/>
  <c r="F146" i="3"/>
  <c r="E146" i="3"/>
  <c r="D146" i="3"/>
  <c r="O219" i="1"/>
  <c r="N219" i="1"/>
  <c r="M219" i="1"/>
  <c r="L219" i="1"/>
  <c r="K219" i="1"/>
  <c r="J219" i="1"/>
  <c r="I219" i="1"/>
  <c r="H219" i="1"/>
  <c r="G219" i="1"/>
  <c r="F219" i="1"/>
  <c r="J229" i="1"/>
  <c r="P229" i="1"/>
  <c r="E229" i="1"/>
  <c r="E227" i="1"/>
  <c r="O94" i="1"/>
  <c r="K94" i="1"/>
  <c r="I43" i="1"/>
  <c r="F145" i="1"/>
  <c r="F142" i="1"/>
  <c r="F242" i="1"/>
  <c r="N20" i="3"/>
  <c r="M20" i="3"/>
  <c r="L20" i="3"/>
  <c r="K20" i="3"/>
  <c r="J20" i="3"/>
  <c r="H20" i="3"/>
  <c r="G20" i="3"/>
  <c r="F20" i="3"/>
  <c r="E20" i="3"/>
  <c r="O251" i="1"/>
  <c r="N251" i="1"/>
  <c r="M251" i="1"/>
  <c r="L251" i="1"/>
  <c r="K251" i="1"/>
  <c r="I251" i="1"/>
  <c r="H251" i="1"/>
  <c r="G251" i="1"/>
  <c r="F251" i="1"/>
  <c r="E251" i="1"/>
  <c r="P252" i="1"/>
  <c r="P251" i="1" s="1"/>
  <c r="O252" i="1"/>
  <c r="N252" i="1"/>
  <c r="M252" i="1"/>
  <c r="L252" i="1"/>
  <c r="K252" i="1"/>
  <c r="J252" i="1"/>
  <c r="J251" i="1" s="1"/>
  <c r="I252" i="1"/>
  <c r="H252" i="1"/>
  <c r="G252" i="1"/>
  <c r="F252" i="1"/>
  <c r="E252" i="1"/>
  <c r="E253" i="1"/>
  <c r="G237" i="1"/>
  <c r="O227" i="1"/>
  <c r="K227" i="1"/>
  <c r="O46" i="1"/>
  <c r="K46" i="1"/>
  <c r="F91" i="1"/>
  <c r="F27" i="1"/>
  <c r="O44" i="1"/>
  <c r="K44" i="1"/>
  <c r="N213" i="1" l="1"/>
  <c r="L213" i="1"/>
  <c r="O213" i="1"/>
  <c r="F68" i="1"/>
  <c r="O222" i="1"/>
  <c r="K222" i="1"/>
  <c r="O228" i="1"/>
  <c r="K228" i="1"/>
  <c r="O192" i="1"/>
  <c r="K192" i="1"/>
  <c r="F192" i="1"/>
  <c r="O150" i="1"/>
  <c r="K150" i="1"/>
  <c r="F150" i="1"/>
  <c r="F157" i="1"/>
  <c r="F156" i="1"/>
  <c r="F141" i="1"/>
  <c r="O131" i="1"/>
  <c r="K131" i="1"/>
  <c r="O95" i="1"/>
  <c r="K95" i="1"/>
  <c r="O73" i="1"/>
  <c r="K73" i="1"/>
  <c r="F73" i="1"/>
  <c r="F21" i="1"/>
  <c r="F143" i="1"/>
  <c r="O89" i="1"/>
  <c r="K89" i="1"/>
  <c r="N53" i="3" l="1"/>
  <c r="N29" i="3" s="1"/>
  <c r="M53" i="3"/>
  <c r="M29" i="3" s="1"/>
  <c r="L53" i="3"/>
  <c r="L29" i="3" s="1"/>
  <c r="K53" i="3"/>
  <c r="K29" i="3" s="1"/>
  <c r="J53" i="3"/>
  <c r="J29" i="3" s="1"/>
  <c r="H53" i="3"/>
  <c r="H29" i="3" s="1"/>
  <c r="G53" i="3"/>
  <c r="G29" i="3" s="1"/>
  <c r="F53" i="3"/>
  <c r="F29" i="3" s="1"/>
  <c r="E53" i="3"/>
  <c r="E29" i="3" s="1"/>
  <c r="N52" i="3"/>
  <c r="M52" i="3"/>
  <c r="L52" i="3"/>
  <c r="K52" i="3"/>
  <c r="J52" i="3"/>
  <c r="H52" i="3"/>
  <c r="G52" i="3"/>
  <c r="F52" i="3"/>
  <c r="E52" i="3"/>
  <c r="J89" i="1"/>
  <c r="J90" i="1"/>
  <c r="E89" i="1"/>
  <c r="D52" i="3" s="1"/>
  <c r="E90" i="1"/>
  <c r="D53" i="3" s="1"/>
  <c r="D29" i="3" s="1"/>
  <c r="H68" i="1"/>
  <c r="N150" i="3"/>
  <c r="M150" i="3"/>
  <c r="L150" i="3"/>
  <c r="K150" i="3"/>
  <c r="J150" i="3"/>
  <c r="H150" i="3"/>
  <c r="G150" i="3"/>
  <c r="F150" i="3"/>
  <c r="E150" i="3"/>
  <c r="N149" i="3"/>
  <c r="M149" i="3"/>
  <c r="L149" i="3"/>
  <c r="K149" i="3"/>
  <c r="J149" i="3"/>
  <c r="H149" i="3"/>
  <c r="G149" i="3"/>
  <c r="F149" i="3"/>
  <c r="E149" i="3"/>
  <c r="O106" i="1"/>
  <c r="N106" i="1"/>
  <c r="M106" i="1"/>
  <c r="L106" i="1"/>
  <c r="K106" i="1"/>
  <c r="I106" i="1"/>
  <c r="H106" i="1"/>
  <c r="G106" i="1"/>
  <c r="F106" i="1"/>
  <c r="O104" i="1"/>
  <c r="N104" i="1"/>
  <c r="M104" i="1"/>
  <c r="L104" i="1"/>
  <c r="K104" i="1"/>
  <c r="I104" i="1"/>
  <c r="H104" i="1"/>
  <c r="G104" i="1"/>
  <c r="F104" i="1"/>
  <c r="J129" i="1"/>
  <c r="J130" i="1"/>
  <c r="E129" i="1"/>
  <c r="E130" i="1"/>
  <c r="E106" i="1" s="1"/>
  <c r="O96" i="1"/>
  <c r="K96" i="1"/>
  <c r="F167" i="1"/>
  <c r="P130" i="1" l="1"/>
  <c r="P106" i="1" s="1"/>
  <c r="P90" i="1"/>
  <c r="O53" i="3" s="1"/>
  <c r="O29" i="3" s="1"/>
  <c r="P129" i="1"/>
  <c r="J106" i="1"/>
  <c r="P89" i="1"/>
  <c r="O52" i="3" s="1"/>
  <c r="I53" i="3"/>
  <c r="I29" i="3" s="1"/>
  <c r="I52" i="3"/>
  <c r="O97" i="1"/>
  <c r="K97" i="1"/>
  <c r="O81" i="1"/>
  <c r="F81" i="1"/>
  <c r="F179" i="1" l="1"/>
  <c r="D200" i="1" l="1"/>
  <c r="O195" i="3" l="1"/>
  <c r="O193" i="3" s="1"/>
  <c r="N195" i="3"/>
  <c r="N193" i="3" s="1"/>
  <c r="M195" i="3"/>
  <c r="M193" i="3" s="1"/>
  <c r="L195" i="3"/>
  <c r="L193" i="3" s="1"/>
  <c r="K195" i="3"/>
  <c r="K193" i="3" s="1"/>
  <c r="J195" i="3"/>
  <c r="J193" i="3" s="1"/>
  <c r="I195" i="3"/>
  <c r="I193" i="3" s="1"/>
  <c r="H195" i="3"/>
  <c r="H193" i="3" s="1"/>
  <c r="G195" i="3"/>
  <c r="G193" i="3" s="1"/>
  <c r="F195" i="3"/>
  <c r="F193" i="3" s="1"/>
  <c r="E195" i="3"/>
  <c r="E193" i="3" s="1"/>
  <c r="D195" i="3"/>
  <c r="D193" i="3" s="1"/>
  <c r="J100" i="1"/>
  <c r="E100" i="1"/>
  <c r="P100" i="1" s="1"/>
  <c r="F114" i="1" l="1"/>
  <c r="G82" i="1" l="1"/>
  <c r="G81" i="1"/>
  <c r="N164" i="3" l="1"/>
  <c r="N161" i="3" s="1"/>
  <c r="N135" i="3" s="1"/>
  <c r="N203" i="3" s="1"/>
  <c r="O276" i="1" s="1"/>
  <c r="M164" i="3"/>
  <c r="M161" i="3" s="1"/>
  <c r="M135" i="3" s="1"/>
  <c r="M203" i="3" s="1"/>
  <c r="N276" i="1" s="1"/>
  <c r="L164" i="3"/>
  <c r="L161" i="3" s="1"/>
  <c r="L135" i="3" s="1"/>
  <c r="L203" i="3" s="1"/>
  <c r="M276" i="1" s="1"/>
  <c r="K164" i="3"/>
  <c r="K161" i="3" s="1"/>
  <c r="K135" i="3" s="1"/>
  <c r="K203" i="3" s="1"/>
  <c r="L276" i="1" s="1"/>
  <c r="J164" i="3"/>
  <c r="J161" i="3" s="1"/>
  <c r="J135" i="3" s="1"/>
  <c r="J203" i="3" s="1"/>
  <c r="K276" i="1" s="1"/>
  <c r="H164" i="3"/>
  <c r="H161" i="3" s="1"/>
  <c r="H135" i="3" s="1"/>
  <c r="H203" i="3" s="1"/>
  <c r="I276" i="1" s="1"/>
  <c r="G164" i="3"/>
  <c r="G161" i="3" s="1"/>
  <c r="G135" i="3" s="1"/>
  <c r="G203" i="3" s="1"/>
  <c r="H276" i="1" s="1"/>
  <c r="F164" i="3"/>
  <c r="F161" i="3" s="1"/>
  <c r="F135" i="3" s="1"/>
  <c r="F203" i="3" s="1"/>
  <c r="G276" i="1" s="1"/>
  <c r="E164" i="3"/>
  <c r="E161" i="3" s="1"/>
  <c r="E135" i="3" s="1"/>
  <c r="E203" i="3" s="1"/>
  <c r="F276" i="1" s="1"/>
  <c r="O268" i="1"/>
  <c r="N268" i="1"/>
  <c r="M268" i="1"/>
  <c r="L268" i="1"/>
  <c r="I268" i="1"/>
  <c r="H268" i="1"/>
  <c r="G268" i="1"/>
  <c r="F268" i="1"/>
  <c r="O110" i="1" l="1"/>
  <c r="N110" i="1"/>
  <c r="M110" i="1"/>
  <c r="L110" i="1"/>
  <c r="K110" i="1"/>
  <c r="K268" i="1" s="1"/>
  <c r="I110" i="1"/>
  <c r="H110" i="1"/>
  <c r="G110" i="1"/>
  <c r="F110" i="1"/>
  <c r="O220" i="1"/>
  <c r="N220" i="1"/>
  <c r="M220" i="1"/>
  <c r="L220" i="1"/>
  <c r="K220" i="1"/>
  <c r="I220" i="1"/>
  <c r="H220" i="1"/>
  <c r="G220" i="1"/>
  <c r="F220" i="1"/>
  <c r="E220" i="1"/>
  <c r="N198" i="3" l="1"/>
  <c r="M198" i="3"/>
  <c r="L198" i="3"/>
  <c r="K198" i="3"/>
  <c r="J198" i="3"/>
  <c r="H198" i="3"/>
  <c r="G198" i="3"/>
  <c r="F198" i="3"/>
  <c r="N194" i="3"/>
  <c r="N192" i="3" s="1"/>
  <c r="M194" i="3"/>
  <c r="M192" i="3" s="1"/>
  <c r="L194" i="3"/>
  <c r="L192" i="3" s="1"/>
  <c r="K194" i="3"/>
  <c r="K192" i="3" s="1"/>
  <c r="J194" i="3"/>
  <c r="J192" i="3" s="1"/>
  <c r="H194" i="3"/>
  <c r="H192" i="3" s="1"/>
  <c r="G194" i="3"/>
  <c r="G192" i="3" s="1"/>
  <c r="F194" i="3"/>
  <c r="F192" i="3" s="1"/>
  <c r="E194" i="3"/>
  <c r="E192" i="3" s="1"/>
  <c r="M197" i="3"/>
  <c r="L197" i="3"/>
  <c r="K197" i="3"/>
  <c r="H197" i="3"/>
  <c r="G197" i="3"/>
  <c r="F197" i="3"/>
  <c r="E197" i="3"/>
  <c r="J99" i="1"/>
  <c r="I194" i="3" s="1"/>
  <c r="I192" i="3" s="1"/>
  <c r="E99" i="1"/>
  <c r="P99" i="1" s="1"/>
  <c r="O194" i="3" s="1"/>
  <c r="O192" i="3" s="1"/>
  <c r="J101" i="1"/>
  <c r="E101" i="1"/>
  <c r="H81" i="1"/>
  <c r="E198" i="3"/>
  <c r="F30" i="1"/>
  <c r="P101" i="1" l="1"/>
  <c r="D194" i="3"/>
  <c r="D192" i="3" s="1"/>
  <c r="F257" i="1"/>
  <c r="I208" i="1"/>
  <c r="F208" i="1"/>
  <c r="I192" i="1"/>
  <c r="O127" i="1"/>
  <c r="K127" i="1"/>
  <c r="O68" i="1"/>
  <c r="K68" i="1"/>
  <c r="O30" i="1"/>
  <c r="K30" i="1"/>
  <c r="H30" i="1"/>
  <c r="G30" i="1"/>
  <c r="F22" i="1"/>
  <c r="H179" i="1"/>
  <c r="H178" i="1"/>
  <c r="F178" i="1"/>
  <c r="F116" i="1"/>
  <c r="H93" i="1"/>
  <c r="H85" i="1"/>
  <c r="F85" i="1"/>
  <c r="H84" i="1"/>
  <c r="F84" i="1"/>
  <c r="H80" i="1"/>
  <c r="H77" i="1"/>
  <c r="H53" i="1"/>
  <c r="F53" i="1"/>
  <c r="H51" i="1"/>
  <c r="F51" i="1"/>
  <c r="F38" i="1"/>
  <c r="H37" i="1"/>
  <c r="H35" i="1"/>
  <c r="H21" i="1"/>
  <c r="O232" i="1"/>
  <c r="K232" i="1"/>
  <c r="O209" i="1"/>
  <c r="K209" i="1"/>
  <c r="F182" i="1"/>
  <c r="O126" i="1"/>
  <c r="K126" i="1"/>
  <c r="F126" i="1"/>
  <c r="F49" i="1"/>
  <c r="F47" i="1"/>
  <c r="F44" i="1"/>
  <c r="F34" i="1"/>
  <c r="F33" i="1"/>
  <c r="F32" i="1"/>
  <c r="O239" i="1"/>
  <c r="L239" i="1"/>
  <c r="F190" i="1"/>
  <c r="M141" i="3" l="1"/>
  <c r="L141" i="3"/>
  <c r="K141" i="3"/>
  <c r="H141" i="3"/>
  <c r="G141" i="3"/>
  <c r="F141" i="3"/>
  <c r="E141" i="3"/>
  <c r="M144" i="3"/>
  <c r="L144" i="3"/>
  <c r="K144" i="3"/>
  <c r="H144" i="3"/>
  <c r="G144" i="3"/>
  <c r="F144" i="3"/>
  <c r="E144" i="3"/>
  <c r="N143" i="3" l="1"/>
  <c r="M143" i="3"/>
  <c r="L143" i="3"/>
  <c r="K143" i="3"/>
  <c r="J143" i="3"/>
  <c r="H143" i="3"/>
  <c r="G143" i="3"/>
  <c r="F143" i="3"/>
  <c r="E143" i="3"/>
  <c r="M142" i="3"/>
  <c r="L142" i="3"/>
  <c r="K142" i="3"/>
  <c r="H142" i="3"/>
  <c r="G142" i="3"/>
  <c r="F142" i="3"/>
  <c r="E142" i="3"/>
  <c r="M145" i="3"/>
  <c r="L145" i="3"/>
  <c r="K145" i="3"/>
  <c r="H145" i="3"/>
  <c r="G145" i="3"/>
  <c r="F145" i="3"/>
  <c r="E145" i="3"/>
  <c r="O80" i="1" l="1"/>
  <c r="K80" i="1"/>
  <c r="O36" i="1" l="1"/>
  <c r="K36" i="1"/>
  <c r="J168" i="1"/>
  <c r="E168" i="1"/>
  <c r="D143" i="3" s="1"/>
  <c r="O165" i="1"/>
  <c r="K165" i="1"/>
  <c r="J127" i="1"/>
  <c r="E127" i="1"/>
  <c r="O116" i="1"/>
  <c r="K116" i="1"/>
  <c r="O85" i="1"/>
  <c r="K85" i="1"/>
  <c r="O77" i="1"/>
  <c r="K77" i="1"/>
  <c r="N19" i="1"/>
  <c r="M19" i="1"/>
  <c r="I19" i="1"/>
  <c r="H19" i="1"/>
  <c r="E40" i="1"/>
  <c r="E39" i="1"/>
  <c r="D144" i="3" s="1"/>
  <c r="J40" i="1"/>
  <c r="P40" i="1" s="1"/>
  <c r="J39" i="1"/>
  <c r="P39" i="1" s="1"/>
  <c r="O37" i="1"/>
  <c r="K37" i="1"/>
  <c r="P127" i="1" l="1"/>
  <c r="P168" i="1"/>
  <c r="O143" i="3" s="1"/>
  <c r="I143" i="3"/>
  <c r="O249" i="1"/>
  <c r="K249" i="1"/>
  <c r="F246" i="1"/>
  <c r="O224" i="1"/>
  <c r="K224" i="1"/>
  <c r="O225" i="1"/>
  <c r="N141" i="3" s="1"/>
  <c r="K225" i="1"/>
  <c r="J141" i="3" s="1"/>
  <c r="N145" i="3"/>
  <c r="J145" i="3"/>
  <c r="G179" i="1"/>
  <c r="G181" i="1"/>
  <c r="F181" i="1"/>
  <c r="F97" i="1"/>
  <c r="E132" i="1" l="1"/>
  <c r="J132" i="1"/>
  <c r="J110" i="1" l="1"/>
  <c r="D164" i="3"/>
  <c r="D161" i="3" s="1"/>
  <c r="D135" i="3" s="1"/>
  <c r="D203" i="3" s="1"/>
  <c r="E276" i="1" s="1"/>
  <c r="E110" i="1"/>
  <c r="E268" i="1" s="1"/>
  <c r="P132" i="1"/>
  <c r="J233" i="1"/>
  <c r="J220" i="1" s="1"/>
  <c r="J268" i="1" l="1"/>
  <c r="I164" i="3"/>
  <c r="I161" i="3" s="1"/>
  <c r="I135" i="3" s="1"/>
  <c r="I203" i="3" s="1"/>
  <c r="J276" i="1" s="1"/>
  <c r="P110" i="1"/>
  <c r="P233" i="1"/>
  <c r="P220" i="1" s="1"/>
  <c r="N157" i="3"/>
  <c r="M157" i="3"/>
  <c r="L157" i="3"/>
  <c r="K157" i="3"/>
  <c r="J157" i="3"/>
  <c r="H157" i="3"/>
  <c r="G157" i="3"/>
  <c r="F157" i="3"/>
  <c r="E157" i="3"/>
  <c r="N110" i="3"/>
  <c r="M110" i="3"/>
  <c r="L110" i="3"/>
  <c r="K110" i="3"/>
  <c r="J110" i="3"/>
  <c r="H110" i="3"/>
  <c r="G110" i="3"/>
  <c r="F110" i="3"/>
  <c r="N98" i="3"/>
  <c r="M98" i="3"/>
  <c r="L98" i="3"/>
  <c r="K98" i="3"/>
  <c r="J98" i="3"/>
  <c r="H98" i="3"/>
  <c r="G98" i="3"/>
  <c r="F98" i="3"/>
  <c r="E98" i="3"/>
  <c r="N96" i="3"/>
  <c r="M96" i="3"/>
  <c r="L96" i="3"/>
  <c r="K96" i="3"/>
  <c r="J96" i="3"/>
  <c r="H96" i="3"/>
  <c r="G96" i="3"/>
  <c r="F96" i="3"/>
  <c r="E96" i="3"/>
  <c r="N87" i="3"/>
  <c r="M87" i="3"/>
  <c r="L87" i="3"/>
  <c r="K87" i="3"/>
  <c r="J87" i="3"/>
  <c r="H87" i="3"/>
  <c r="G87" i="3"/>
  <c r="F87" i="3"/>
  <c r="E87" i="3"/>
  <c r="N85" i="3"/>
  <c r="M85" i="3"/>
  <c r="L85" i="3"/>
  <c r="K85" i="3"/>
  <c r="J85" i="3"/>
  <c r="H85" i="3"/>
  <c r="G85" i="3"/>
  <c r="F85" i="3"/>
  <c r="E85" i="3"/>
  <c r="N81" i="3"/>
  <c r="M81" i="3"/>
  <c r="L81" i="3"/>
  <c r="K81" i="3"/>
  <c r="J81" i="3"/>
  <c r="H81" i="3"/>
  <c r="G81" i="3"/>
  <c r="F81" i="3"/>
  <c r="N71" i="3"/>
  <c r="M71" i="3"/>
  <c r="L71" i="3"/>
  <c r="K71" i="3"/>
  <c r="J71" i="3"/>
  <c r="H71" i="3"/>
  <c r="G71" i="3"/>
  <c r="F71" i="3"/>
  <c r="E71" i="3"/>
  <c r="N70" i="3"/>
  <c r="M70" i="3"/>
  <c r="L70" i="3"/>
  <c r="K70" i="3"/>
  <c r="J70" i="3"/>
  <c r="H70" i="3"/>
  <c r="G70" i="3"/>
  <c r="F70" i="3"/>
  <c r="E70" i="3"/>
  <c r="N68" i="3"/>
  <c r="M68" i="3"/>
  <c r="L68" i="3"/>
  <c r="K68" i="3"/>
  <c r="J68" i="3"/>
  <c r="H68" i="3"/>
  <c r="G68" i="3"/>
  <c r="F68" i="3"/>
  <c r="E68" i="3"/>
  <c r="N66" i="3"/>
  <c r="M66" i="3"/>
  <c r="L66" i="3"/>
  <c r="K66" i="3"/>
  <c r="J66" i="3"/>
  <c r="H66" i="3"/>
  <c r="G66" i="3"/>
  <c r="F66" i="3"/>
  <c r="E66" i="3"/>
  <c r="N64" i="3"/>
  <c r="M64" i="3"/>
  <c r="L64" i="3"/>
  <c r="K64" i="3"/>
  <c r="J64" i="3"/>
  <c r="I64" i="3"/>
  <c r="H64" i="3"/>
  <c r="G64" i="3"/>
  <c r="F64" i="3"/>
  <c r="E64" i="3"/>
  <c r="N62" i="3"/>
  <c r="M62" i="3"/>
  <c r="L62" i="3"/>
  <c r="K62" i="3"/>
  <c r="J62" i="3"/>
  <c r="H62" i="3"/>
  <c r="G62" i="3"/>
  <c r="F62" i="3"/>
  <c r="E62" i="3"/>
  <c r="N61" i="3"/>
  <c r="M61" i="3"/>
  <c r="L61" i="3"/>
  <c r="K61" i="3"/>
  <c r="J61" i="3"/>
  <c r="H61" i="3"/>
  <c r="G61" i="3"/>
  <c r="F61" i="3"/>
  <c r="N60" i="3"/>
  <c r="M60" i="3"/>
  <c r="L60" i="3"/>
  <c r="K60" i="3"/>
  <c r="J60" i="3"/>
  <c r="H60" i="3"/>
  <c r="G60" i="3"/>
  <c r="F60" i="3"/>
  <c r="E60" i="3"/>
  <c r="N51" i="3"/>
  <c r="M51" i="3"/>
  <c r="L51" i="3"/>
  <c r="K51" i="3"/>
  <c r="J51" i="3"/>
  <c r="H51" i="3"/>
  <c r="G51" i="3"/>
  <c r="F51" i="3"/>
  <c r="E51" i="3"/>
  <c r="N45" i="3"/>
  <c r="M45" i="3"/>
  <c r="L45" i="3"/>
  <c r="K45" i="3"/>
  <c r="J45" i="3"/>
  <c r="H45" i="3"/>
  <c r="G45" i="3"/>
  <c r="F45" i="3"/>
  <c r="E45" i="3"/>
  <c r="N41" i="3"/>
  <c r="M41" i="3"/>
  <c r="L41" i="3"/>
  <c r="K41" i="3"/>
  <c r="J41" i="3"/>
  <c r="H41" i="3"/>
  <c r="G41" i="3"/>
  <c r="F41" i="3"/>
  <c r="E41" i="3"/>
  <c r="N40" i="3"/>
  <c r="M40" i="3"/>
  <c r="L40" i="3"/>
  <c r="K40" i="3"/>
  <c r="J40" i="3"/>
  <c r="H40" i="3"/>
  <c r="G40" i="3"/>
  <c r="F40" i="3"/>
  <c r="E40" i="3"/>
  <c r="N38" i="3"/>
  <c r="M38" i="3"/>
  <c r="M28" i="3" s="1"/>
  <c r="L38" i="3"/>
  <c r="K38" i="3"/>
  <c r="K28" i="3" s="1"/>
  <c r="J38" i="3"/>
  <c r="H38" i="3"/>
  <c r="H28" i="3" s="1"/>
  <c r="G38" i="3"/>
  <c r="F38" i="3"/>
  <c r="F28" i="3" s="1"/>
  <c r="N37" i="3"/>
  <c r="M37" i="3"/>
  <c r="L37" i="3"/>
  <c r="K37" i="3"/>
  <c r="J37" i="3"/>
  <c r="H37" i="3"/>
  <c r="G37" i="3"/>
  <c r="F37" i="3"/>
  <c r="E37" i="3"/>
  <c r="N36" i="3"/>
  <c r="M36" i="3"/>
  <c r="L36" i="3"/>
  <c r="K36" i="3"/>
  <c r="J36" i="3"/>
  <c r="H36" i="3"/>
  <c r="G36" i="3"/>
  <c r="F36" i="3"/>
  <c r="E36" i="3"/>
  <c r="N35" i="3"/>
  <c r="N26" i="3" s="1"/>
  <c r="M35" i="3"/>
  <c r="M26" i="3" s="1"/>
  <c r="L35" i="3"/>
  <c r="L26" i="3" s="1"/>
  <c r="K35" i="3"/>
  <c r="K26" i="3" s="1"/>
  <c r="J35" i="3"/>
  <c r="J26" i="3" s="1"/>
  <c r="H35" i="3"/>
  <c r="H26" i="3" s="1"/>
  <c r="G35" i="3"/>
  <c r="G26" i="3" s="1"/>
  <c r="F35" i="3"/>
  <c r="F26" i="3" s="1"/>
  <c r="E35" i="3"/>
  <c r="E26" i="3" s="1"/>
  <c r="N34" i="3"/>
  <c r="M34" i="3"/>
  <c r="L34" i="3"/>
  <c r="K34" i="3"/>
  <c r="J34" i="3"/>
  <c r="H34" i="3"/>
  <c r="G34" i="3"/>
  <c r="F34" i="3"/>
  <c r="E34" i="3"/>
  <c r="N33" i="3"/>
  <c r="N24" i="3" s="1"/>
  <c r="N201" i="3" s="1"/>
  <c r="M33" i="3"/>
  <c r="M24" i="3" s="1"/>
  <c r="M201" i="3" s="1"/>
  <c r="L33" i="3"/>
  <c r="L24" i="3" s="1"/>
  <c r="L201" i="3" s="1"/>
  <c r="K33" i="3"/>
  <c r="K24" i="3" s="1"/>
  <c r="K201" i="3" s="1"/>
  <c r="J33" i="3"/>
  <c r="J24" i="3" s="1"/>
  <c r="J201" i="3" s="1"/>
  <c r="H33" i="3"/>
  <c r="H24" i="3" s="1"/>
  <c r="H201" i="3" s="1"/>
  <c r="G33" i="3"/>
  <c r="G24" i="3" s="1"/>
  <c r="G201" i="3" s="1"/>
  <c r="F33" i="3"/>
  <c r="F24" i="3" s="1"/>
  <c r="F201" i="3" s="1"/>
  <c r="E33" i="3"/>
  <c r="E24" i="3" s="1"/>
  <c r="E201" i="3" s="1"/>
  <c r="N31" i="3"/>
  <c r="N27" i="3" s="1"/>
  <c r="M31" i="3"/>
  <c r="M27" i="3" s="1"/>
  <c r="L31" i="3"/>
  <c r="L27" i="3" s="1"/>
  <c r="K31" i="3"/>
  <c r="K27" i="3" s="1"/>
  <c r="J31" i="3"/>
  <c r="J27" i="3" s="1"/>
  <c r="H31" i="3"/>
  <c r="G31" i="3"/>
  <c r="F31" i="3"/>
  <c r="E31" i="3"/>
  <c r="O61" i="1"/>
  <c r="N61" i="1"/>
  <c r="M61" i="1"/>
  <c r="L61" i="1"/>
  <c r="K61" i="1"/>
  <c r="I61" i="1"/>
  <c r="H61" i="1"/>
  <c r="G61" i="1"/>
  <c r="F61" i="1"/>
  <c r="J74" i="1"/>
  <c r="E74" i="1"/>
  <c r="J73" i="1"/>
  <c r="E73" i="1"/>
  <c r="J72" i="1"/>
  <c r="I34" i="3" s="1"/>
  <c r="J71" i="1"/>
  <c r="J61" i="1" s="1"/>
  <c r="E71" i="1"/>
  <c r="O187" i="1"/>
  <c r="N187" i="1"/>
  <c r="M187" i="1"/>
  <c r="L187" i="1"/>
  <c r="K187" i="1"/>
  <c r="I187" i="1"/>
  <c r="H187" i="1"/>
  <c r="G187" i="1"/>
  <c r="F187" i="1"/>
  <c r="O105" i="1"/>
  <c r="N105" i="1"/>
  <c r="M105" i="1"/>
  <c r="L105" i="1"/>
  <c r="K105" i="1"/>
  <c r="I105" i="1"/>
  <c r="H105" i="1"/>
  <c r="G105" i="1"/>
  <c r="F105" i="1"/>
  <c r="F23" i="3" l="1"/>
  <c r="H23" i="3"/>
  <c r="K23" i="3"/>
  <c r="M23" i="3"/>
  <c r="E23" i="3"/>
  <c r="G23" i="3"/>
  <c r="J23" i="3"/>
  <c r="L23" i="3"/>
  <c r="N23" i="3"/>
  <c r="P268" i="1"/>
  <c r="O164" i="3"/>
  <c r="O161" i="3" s="1"/>
  <c r="O135" i="3" s="1"/>
  <c r="O203" i="3" s="1"/>
  <c r="P276" i="1" s="1"/>
  <c r="E25" i="3"/>
  <c r="G25" i="3"/>
  <c r="F25" i="3"/>
  <c r="H25" i="3"/>
  <c r="K25" i="3"/>
  <c r="M25" i="3"/>
  <c r="E27" i="3"/>
  <c r="G27" i="3"/>
  <c r="F27" i="3"/>
  <c r="H27" i="3"/>
  <c r="I33" i="3"/>
  <c r="I24" i="3" s="1"/>
  <c r="I201" i="3" s="1"/>
  <c r="I35" i="3"/>
  <c r="I26" i="3" s="1"/>
  <c r="I36" i="3"/>
  <c r="J25" i="3"/>
  <c r="L25" i="3"/>
  <c r="N25" i="3"/>
  <c r="G28" i="3"/>
  <c r="J28" i="3"/>
  <c r="L28" i="3"/>
  <c r="N28" i="3"/>
  <c r="P71" i="1"/>
  <c r="D33" i="3"/>
  <c r="D24" i="3" s="1"/>
  <c r="D201" i="3" s="1"/>
  <c r="P72" i="1"/>
  <c r="D34" i="3"/>
  <c r="P73" i="1"/>
  <c r="D35" i="3"/>
  <c r="D26" i="3" s="1"/>
  <c r="P74" i="1"/>
  <c r="O36" i="3" s="1"/>
  <c r="D36" i="3"/>
  <c r="E61" i="1"/>
  <c r="O35" i="3" l="1"/>
  <c r="O26" i="3" s="1"/>
  <c r="O34" i="3"/>
  <c r="P61" i="1"/>
  <c r="O33" i="3"/>
  <c r="O24" i="3" s="1"/>
  <c r="O201" i="3" s="1"/>
  <c r="O188" i="1"/>
  <c r="N188" i="1"/>
  <c r="M188" i="1"/>
  <c r="L188" i="1"/>
  <c r="K188" i="1"/>
  <c r="I188" i="1"/>
  <c r="H188" i="1"/>
  <c r="G188" i="1"/>
  <c r="F188" i="1"/>
  <c r="O108" i="1" l="1"/>
  <c r="N108" i="1"/>
  <c r="M108" i="1"/>
  <c r="L108" i="1"/>
  <c r="K108" i="1"/>
  <c r="I108" i="1"/>
  <c r="H108" i="1"/>
  <c r="G108" i="1"/>
  <c r="F108" i="1"/>
  <c r="O107" i="1"/>
  <c r="N107" i="1"/>
  <c r="M107" i="1"/>
  <c r="L107" i="1"/>
  <c r="K107" i="1"/>
  <c r="I107" i="1"/>
  <c r="H107" i="1"/>
  <c r="G107" i="1"/>
  <c r="O266" i="1"/>
  <c r="N266" i="1"/>
  <c r="M266" i="1"/>
  <c r="L266" i="1"/>
  <c r="K266" i="1"/>
  <c r="I266" i="1"/>
  <c r="H266" i="1"/>
  <c r="G266" i="1"/>
  <c r="F266" i="1"/>
  <c r="O136" i="1" l="1"/>
  <c r="N136" i="1"/>
  <c r="M136" i="1"/>
  <c r="L136" i="1"/>
  <c r="K136" i="1"/>
  <c r="I136" i="1"/>
  <c r="H136" i="1"/>
  <c r="G136" i="1"/>
  <c r="O109" i="1"/>
  <c r="N109" i="1"/>
  <c r="M109" i="1"/>
  <c r="L109" i="1"/>
  <c r="K109" i="1"/>
  <c r="I109" i="1"/>
  <c r="H109" i="1"/>
  <c r="G109" i="1"/>
  <c r="F109" i="1"/>
  <c r="J115" i="1"/>
  <c r="E115" i="1"/>
  <c r="J114" i="1"/>
  <c r="I61" i="3" s="1"/>
  <c r="J113" i="1"/>
  <c r="I60" i="3" s="1"/>
  <c r="E113" i="1"/>
  <c r="D60" i="3" s="1"/>
  <c r="J119" i="1"/>
  <c r="I66" i="3" s="1"/>
  <c r="E119" i="1"/>
  <c r="D66" i="3" s="1"/>
  <c r="E117" i="1"/>
  <c r="F107" i="1" l="1"/>
  <c r="E61" i="3"/>
  <c r="P117" i="1"/>
  <c r="O64" i="3" s="1"/>
  <c r="D64" i="3"/>
  <c r="J108" i="1"/>
  <c r="I62" i="3"/>
  <c r="E108" i="1"/>
  <c r="D62" i="3"/>
  <c r="E105" i="1"/>
  <c r="J105" i="1"/>
  <c r="E114" i="1"/>
  <c r="P119" i="1"/>
  <c r="O66" i="3" s="1"/>
  <c r="P113" i="1"/>
  <c r="O60" i="3" s="1"/>
  <c r="P115" i="1"/>
  <c r="P108" i="1" l="1"/>
  <c r="O62" i="3"/>
  <c r="P114" i="1"/>
  <c r="O61" i="3" s="1"/>
  <c r="D61" i="3"/>
  <c r="P105" i="1"/>
  <c r="N152" i="3"/>
  <c r="N134" i="3" s="1"/>
  <c r="M152" i="3"/>
  <c r="M134" i="3" s="1"/>
  <c r="L152" i="3"/>
  <c r="L134" i="3" s="1"/>
  <c r="K152" i="3"/>
  <c r="K134" i="3" s="1"/>
  <c r="J152" i="3"/>
  <c r="J134" i="3" s="1"/>
  <c r="H152" i="3"/>
  <c r="H134" i="3" s="1"/>
  <c r="G152" i="3"/>
  <c r="G134" i="3" s="1"/>
  <c r="F152" i="3"/>
  <c r="F134" i="3" s="1"/>
  <c r="E152" i="3"/>
  <c r="E134" i="3" s="1"/>
  <c r="N139" i="3"/>
  <c r="N133" i="3" s="1"/>
  <c r="M139" i="3"/>
  <c r="M133" i="3" s="1"/>
  <c r="L139" i="3"/>
  <c r="L133" i="3" s="1"/>
  <c r="K139" i="3"/>
  <c r="K133" i="3" s="1"/>
  <c r="J139" i="3"/>
  <c r="J133" i="3" s="1"/>
  <c r="H139" i="3"/>
  <c r="H133" i="3" s="1"/>
  <c r="G139" i="3"/>
  <c r="G133" i="3" s="1"/>
  <c r="F139" i="3"/>
  <c r="F133" i="3" s="1"/>
  <c r="E139" i="3"/>
  <c r="E133" i="3" s="1"/>
  <c r="N57" i="3"/>
  <c r="M57" i="3"/>
  <c r="L57" i="3"/>
  <c r="K57" i="3"/>
  <c r="J57" i="3"/>
  <c r="H57" i="3"/>
  <c r="G57" i="3"/>
  <c r="F57" i="3"/>
  <c r="E57" i="3"/>
  <c r="N58" i="3"/>
  <c r="M58" i="3"/>
  <c r="L58" i="3"/>
  <c r="K58" i="3"/>
  <c r="J58" i="3"/>
  <c r="H58" i="3"/>
  <c r="G58" i="3"/>
  <c r="F58" i="3"/>
  <c r="E58" i="3"/>
  <c r="N56" i="3"/>
  <c r="M56" i="3"/>
  <c r="L56" i="3"/>
  <c r="K56" i="3"/>
  <c r="J56" i="3"/>
  <c r="H56" i="3"/>
  <c r="G56" i="3"/>
  <c r="F56" i="3"/>
  <c r="H55" i="3"/>
  <c r="H200" i="3" s="1"/>
  <c r="G55" i="3"/>
  <c r="G200" i="3" s="1"/>
  <c r="F55" i="3"/>
  <c r="F200" i="3" s="1"/>
  <c r="E55" i="3"/>
  <c r="E200" i="3" s="1"/>
  <c r="F75" i="3" l="1"/>
  <c r="H75" i="3"/>
  <c r="M75" i="3"/>
  <c r="K75" i="3"/>
  <c r="K55" i="3"/>
  <c r="K200" i="3" s="1"/>
  <c r="M55" i="3"/>
  <c r="M200" i="3" s="1"/>
  <c r="G75" i="3"/>
  <c r="J75" i="3"/>
  <c r="L75" i="3"/>
  <c r="N75" i="3"/>
  <c r="J55" i="3"/>
  <c r="J200" i="3" s="1"/>
  <c r="L55" i="3"/>
  <c r="L200" i="3" s="1"/>
  <c r="N55" i="3"/>
  <c r="N200" i="3" s="1"/>
  <c r="J206" i="1"/>
  <c r="E206" i="1"/>
  <c r="D157" i="3" s="1"/>
  <c r="J204" i="1"/>
  <c r="J187" i="1" s="1"/>
  <c r="E204" i="1"/>
  <c r="E187" i="1" s="1"/>
  <c r="J167" i="1"/>
  <c r="I110" i="3" s="1"/>
  <c r="J155" i="1"/>
  <c r="I98" i="3" s="1"/>
  <c r="E155" i="1"/>
  <c r="D98" i="3" s="1"/>
  <c r="J153" i="1"/>
  <c r="I96" i="3" s="1"/>
  <c r="E153" i="1"/>
  <c r="D96" i="3" s="1"/>
  <c r="J149" i="1"/>
  <c r="I87" i="3" s="1"/>
  <c r="E149" i="1"/>
  <c r="D87" i="3" s="1"/>
  <c r="J147" i="1"/>
  <c r="I85" i="3" s="1"/>
  <c r="E147" i="1"/>
  <c r="D85" i="3" s="1"/>
  <c r="J143" i="1"/>
  <c r="J124" i="1"/>
  <c r="I71" i="3" s="1"/>
  <c r="E124" i="1"/>
  <c r="D71" i="3" s="1"/>
  <c r="J123" i="1"/>
  <c r="E123" i="1"/>
  <c r="J121" i="1"/>
  <c r="I68" i="3" s="1"/>
  <c r="E121" i="1"/>
  <c r="D68" i="3" s="1"/>
  <c r="J96" i="1"/>
  <c r="I150" i="3" s="1"/>
  <c r="E96" i="1"/>
  <c r="D150" i="3" s="1"/>
  <c r="J88" i="1"/>
  <c r="E88" i="1"/>
  <c r="J82" i="1"/>
  <c r="E82" i="1"/>
  <c r="J79" i="1"/>
  <c r="I41" i="3" s="1"/>
  <c r="E79" i="1"/>
  <c r="D41" i="3" s="1"/>
  <c r="J78" i="1"/>
  <c r="I40" i="3" s="1"/>
  <c r="E78" i="1"/>
  <c r="D40" i="3" s="1"/>
  <c r="J76" i="1"/>
  <c r="F76" i="1"/>
  <c r="J75" i="1"/>
  <c r="E75" i="1"/>
  <c r="I45" i="3" l="1"/>
  <c r="D45" i="3"/>
  <c r="E38" i="3"/>
  <c r="E28" i="3" s="1"/>
  <c r="E143" i="1"/>
  <c r="D81" i="3" s="1"/>
  <c r="E81" i="3"/>
  <c r="E167" i="1"/>
  <c r="P167" i="1" s="1"/>
  <c r="O110" i="3" s="1"/>
  <c r="E110" i="3"/>
  <c r="D110" i="3"/>
  <c r="J136" i="1"/>
  <c r="I81" i="3"/>
  <c r="J188" i="1"/>
  <c r="I157" i="3"/>
  <c r="D37" i="3"/>
  <c r="D51" i="3"/>
  <c r="D25" i="3" s="1"/>
  <c r="E107" i="1"/>
  <c r="D70" i="3"/>
  <c r="I37" i="3"/>
  <c r="I23" i="3" s="1"/>
  <c r="I38" i="3"/>
  <c r="I28" i="3" s="1"/>
  <c r="I51" i="3"/>
  <c r="I25" i="3" s="1"/>
  <c r="J107" i="1"/>
  <c r="I70" i="3"/>
  <c r="P206" i="1"/>
  <c r="E188" i="1"/>
  <c r="P204" i="1"/>
  <c r="P187" i="1" s="1"/>
  <c r="E109" i="1"/>
  <c r="J109" i="1"/>
  <c r="E266" i="1"/>
  <c r="J266" i="1"/>
  <c r="E76" i="1"/>
  <c r="F136" i="1"/>
  <c r="P143" i="1"/>
  <c r="O81" i="3" s="1"/>
  <c r="P147" i="1"/>
  <c r="O85" i="3" s="1"/>
  <c r="P149" i="1"/>
  <c r="O87" i="3" s="1"/>
  <c r="P153" i="1"/>
  <c r="O96" i="3" s="1"/>
  <c r="P155" i="1"/>
  <c r="O98" i="3" s="1"/>
  <c r="P121" i="1"/>
  <c r="O68" i="3" s="1"/>
  <c r="P123" i="1"/>
  <c r="P124" i="1"/>
  <c r="O71" i="3" s="1"/>
  <c r="P78" i="1"/>
  <c r="O40" i="3" s="1"/>
  <c r="P79" i="1"/>
  <c r="O41" i="3" s="1"/>
  <c r="P82" i="1"/>
  <c r="P88" i="1"/>
  <c r="P96" i="1"/>
  <c r="P75" i="1"/>
  <c r="D23" i="3" l="1"/>
  <c r="O37" i="3"/>
  <c r="O150" i="3"/>
  <c r="E136" i="1"/>
  <c r="O45" i="3"/>
  <c r="P188" i="1"/>
  <c r="O157" i="3"/>
  <c r="P107" i="1"/>
  <c r="O70" i="3"/>
  <c r="O51" i="3"/>
  <c r="O25" i="3" s="1"/>
  <c r="D38" i="3"/>
  <c r="D28" i="3" s="1"/>
  <c r="P76" i="1"/>
  <c r="P266" i="1"/>
  <c r="P109" i="1"/>
  <c r="P136" i="1"/>
  <c r="J69" i="1"/>
  <c r="E69" i="1"/>
  <c r="O23" i="3" l="1"/>
  <c r="I31" i="3"/>
  <c r="I27" i="3" s="1"/>
  <c r="D31" i="3"/>
  <c r="D27" i="3" s="1"/>
  <c r="O38" i="3"/>
  <c r="O28" i="3" s="1"/>
  <c r="P69" i="1"/>
  <c r="C176" i="3"/>
  <c r="N179" i="3"/>
  <c r="N176" i="3" s="1"/>
  <c r="N174" i="3" s="1"/>
  <c r="N202" i="3" s="1"/>
  <c r="M179" i="3"/>
  <c r="M176" i="3" s="1"/>
  <c r="M174" i="3" s="1"/>
  <c r="M202" i="3" s="1"/>
  <c r="L179" i="3"/>
  <c r="L176" i="3" s="1"/>
  <c r="L174" i="3" s="1"/>
  <c r="L202" i="3" s="1"/>
  <c r="K179" i="3"/>
  <c r="K176" i="3" s="1"/>
  <c r="K174" i="3" s="1"/>
  <c r="K202" i="3" s="1"/>
  <c r="J179" i="3"/>
  <c r="J176" i="3" s="1"/>
  <c r="J174" i="3" s="1"/>
  <c r="J202" i="3" s="1"/>
  <c r="H179" i="3"/>
  <c r="H176" i="3" s="1"/>
  <c r="H174" i="3" s="1"/>
  <c r="H202" i="3" s="1"/>
  <c r="G179" i="3"/>
  <c r="G176" i="3" s="1"/>
  <c r="G174" i="3" s="1"/>
  <c r="G202" i="3" s="1"/>
  <c r="F179" i="3"/>
  <c r="F176" i="3" s="1"/>
  <c r="F174" i="3" s="1"/>
  <c r="F202" i="3" s="1"/>
  <c r="E179" i="3"/>
  <c r="E176" i="3" s="1"/>
  <c r="E174" i="3" s="1"/>
  <c r="D52" i="1"/>
  <c r="O20" i="1"/>
  <c r="N20" i="1"/>
  <c r="M20" i="1"/>
  <c r="L20" i="1"/>
  <c r="K20" i="1"/>
  <c r="I20" i="1"/>
  <c r="H20" i="1"/>
  <c r="G20" i="1"/>
  <c r="F20" i="1"/>
  <c r="J52" i="1"/>
  <c r="J20" i="1" s="1"/>
  <c r="E52" i="1"/>
  <c r="E20" i="1" s="1"/>
  <c r="O31" i="3" l="1"/>
  <c r="O27" i="3" s="1"/>
  <c r="I179" i="3"/>
  <c r="I176" i="3" s="1"/>
  <c r="I174" i="3" s="1"/>
  <c r="P52" i="1"/>
  <c r="D179" i="3"/>
  <c r="D176" i="3" s="1"/>
  <c r="D174" i="3" s="1"/>
  <c r="P20" i="1" l="1"/>
  <c r="O179" i="3"/>
  <c r="O176" i="3" s="1"/>
  <c r="O174" i="3" s="1"/>
  <c r="E126" i="1" l="1"/>
  <c r="J56" i="1"/>
  <c r="E56" i="1"/>
  <c r="P56" i="1" l="1"/>
  <c r="G21" i="1" l="1"/>
  <c r="G19" i="1" s="1"/>
  <c r="G242" i="1"/>
  <c r="J200" i="1" l="1"/>
  <c r="E200" i="1"/>
  <c r="C200" i="1"/>
  <c r="P200" i="1" l="1"/>
  <c r="O195" i="1"/>
  <c r="K195" i="1"/>
  <c r="I195" i="1"/>
  <c r="G139" i="1"/>
  <c r="F120" i="1" l="1"/>
  <c r="G111" i="1"/>
  <c r="G256" i="1" l="1"/>
  <c r="G245" i="1"/>
  <c r="N144" i="3"/>
  <c r="J144" i="3"/>
  <c r="G217" i="1"/>
  <c r="F211" i="1"/>
  <c r="G189" i="1"/>
  <c r="F180" i="1"/>
  <c r="O178" i="1"/>
  <c r="K178" i="1"/>
  <c r="G177" i="1"/>
  <c r="G172" i="1"/>
  <c r="F172" i="1"/>
  <c r="F165" i="1"/>
  <c r="H165" i="1"/>
  <c r="F151" i="1"/>
  <c r="F122" i="1"/>
  <c r="J94" i="1"/>
  <c r="E94" i="1"/>
  <c r="D94" i="1"/>
  <c r="C94" i="1"/>
  <c r="G67" i="1"/>
  <c r="P94" i="1" l="1"/>
  <c r="F50" i="1"/>
  <c r="O50" i="1"/>
  <c r="K50" i="1"/>
  <c r="F194" i="1"/>
  <c r="E177" i="3" l="1"/>
  <c r="F177" i="3"/>
  <c r="G177" i="3"/>
  <c r="H177" i="3"/>
  <c r="J177" i="3"/>
  <c r="K177" i="3"/>
  <c r="L177" i="3"/>
  <c r="M177" i="3"/>
  <c r="N177" i="3"/>
  <c r="J211" i="1"/>
  <c r="E211" i="1"/>
  <c r="C211" i="1"/>
  <c r="D211" i="1"/>
  <c r="B211" i="1"/>
  <c r="P211" i="1" l="1"/>
  <c r="E181" i="3" l="1"/>
  <c r="F181" i="3"/>
  <c r="G181" i="3"/>
  <c r="H181" i="3"/>
  <c r="J181" i="3"/>
  <c r="K181" i="3"/>
  <c r="L181" i="3"/>
  <c r="M181" i="3"/>
  <c r="N181" i="3"/>
  <c r="J212" i="1"/>
  <c r="E212" i="1"/>
  <c r="C212" i="1"/>
  <c r="D212" i="1"/>
  <c r="B212" i="1"/>
  <c r="P212" i="1" l="1"/>
  <c r="E154" i="3" l="1"/>
  <c r="F154" i="3"/>
  <c r="G154" i="3"/>
  <c r="H154" i="3"/>
  <c r="J154" i="3"/>
  <c r="K154" i="3"/>
  <c r="L154" i="3"/>
  <c r="M154" i="3"/>
  <c r="N154" i="3"/>
  <c r="E155" i="3"/>
  <c r="F155" i="3"/>
  <c r="G155" i="3"/>
  <c r="H155" i="3"/>
  <c r="J155" i="3"/>
  <c r="K155" i="3"/>
  <c r="L155" i="3"/>
  <c r="M155" i="3"/>
  <c r="N155" i="3"/>
  <c r="E42" i="1"/>
  <c r="E43" i="1"/>
  <c r="D155" i="3" s="1"/>
  <c r="J41" i="1"/>
  <c r="J42" i="1"/>
  <c r="I154" i="3" s="1"/>
  <c r="J43" i="1"/>
  <c r="I155" i="3" s="1"/>
  <c r="C42" i="1"/>
  <c r="D42" i="1"/>
  <c r="D43" i="1"/>
  <c r="B43" i="1"/>
  <c r="B42" i="1"/>
  <c r="P43" i="1" l="1"/>
  <c r="O155" i="3" s="1"/>
  <c r="P42" i="1"/>
  <c r="O154" i="3" s="1"/>
  <c r="D154" i="3"/>
  <c r="O226" i="1" l="1"/>
  <c r="N142" i="3" s="1"/>
  <c r="K226" i="1"/>
  <c r="J142" i="3" s="1"/>
  <c r="O197" i="1" l="1"/>
  <c r="K197" i="1"/>
  <c r="G68" i="1" l="1"/>
  <c r="E156" i="3" l="1"/>
  <c r="F156" i="3"/>
  <c r="G156" i="3"/>
  <c r="H156" i="3"/>
  <c r="J156" i="3"/>
  <c r="K156" i="3"/>
  <c r="L156" i="3"/>
  <c r="M156" i="3"/>
  <c r="N156" i="3"/>
  <c r="J205" i="1"/>
  <c r="I156" i="3" s="1"/>
  <c r="E205" i="1"/>
  <c r="D205" i="1"/>
  <c r="B205" i="1"/>
  <c r="P205" i="1" l="1"/>
  <c r="O156" i="3" s="1"/>
  <c r="D156" i="3"/>
  <c r="N147" i="3"/>
  <c r="M147" i="3"/>
  <c r="L147" i="3"/>
  <c r="K147" i="3"/>
  <c r="J147" i="3"/>
  <c r="H147" i="3"/>
  <c r="G147" i="3"/>
  <c r="F147" i="3"/>
  <c r="E147" i="3"/>
  <c r="J128" i="1"/>
  <c r="E128" i="1"/>
  <c r="D128" i="1"/>
  <c r="C128" i="1"/>
  <c r="B128" i="1"/>
  <c r="D230" i="1"/>
  <c r="C230" i="1"/>
  <c r="B230" i="1"/>
  <c r="D201" i="1"/>
  <c r="C201" i="1"/>
  <c r="B201" i="1"/>
  <c r="P128" i="1" l="1"/>
  <c r="J230" i="1"/>
  <c r="E230" i="1"/>
  <c r="J201" i="1"/>
  <c r="E201" i="1"/>
  <c r="D147" i="3" s="1"/>
  <c r="F193" i="1"/>
  <c r="P230" i="1" l="1"/>
  <c r="I147" i="3"/>
  <c r="P201" i="1"/>
  <c r="O147" i="3" s="1"/>
  <c r="O223" i="1" l="1"/>
  <c r="L48" i="1" l="1"/>
  <c r="L19" i="1" s="1"/>
  <c r="N169" i="3" l="1"/>
  <c r="M169" i="3"/>
  <c r="L169" i="3"/>
  <c r="J169" i="3"/>
  <c r="H169" i="3"/>
  <c r="G169" i="3"/>
  <c r="F169" i="3"/>
  <c r="E169" i="3"/>
  <c r="K244" i="1" l="1"/>
  <c r="L236" i="1"/>
  <c r="L260" i="1" l="1"/>
  <c r="J234" i="1"/>
  <c r="E234" i="1"/>
  <c r="L210" i="1"/>
  <c r="O203" i="1"/>
  <c r="J203" i="1" s="1"/>
  <c r="K203" i="1"/>
  <c r="E203" i="1"/>
  <c r="O179" i="1"/>
  <c r="K179" i="1"/>
  <c r="K176" i="1" s="1"/>
  <c r="P234" i="1" l="1"/>
  <c r="P203" i="1"/>
  <c r="K169" i="3"/>
  <c r="E102" i="1"/>
  <c r="D198" i="3" s="1"/>
  <c r="J102" i="1"/>
  <c r="I198" i="3" s="1"/>
  <c r="L98" i="1"/>
  <c r="O93" i="1"/>
  <c r="K93" i="1"/>
  <c r="P102" i="1" l="1"/>
  <c r="O198" i="3" s="1"/>
  <c r="E95" i="1" l="1"/>
  <c r="F25" i="1"/>
  <c r="J95" i="1" l="1"/>
  <c r="P95" i="1" l="1"/>
  <c r="I149" i="3"/>
  <c r="J231" i="1"/>
  <c r="E231" i="1"/>
  <c r="D149" i="3" s="1"/>
  <c r="P231" i="1" l="1"/>
  <c r="O149" i="3" s="1"/>
  <c r="F158" i="1" l="1"/>
  <c r="G221" i="1"/>
  <c r="N172" i="3" l="1"/>
  <c r="N171" i="3" s="1"/>
  <c r="M172" i="3"/>
  <c r="M171" i="3" s="1"/>
  <c r="L172" i="3"/>
  <c r="L171" i="3" s="1"/>
  <c r="K172" i="3"/>
  <c r="K171" i="3" s="1"/>
  <c r="J172" i="3"/>
  <c r="J171" i="3" s="1"/>
  <c r="H172" i="3"/>
  <c r="H171" i="3" s="1"/>
  <c r="G172" i="3"/>
  <c r="G171" i="3" s="1"/>
  <c r="F172" i="3"/>
  <c r="F171" i="3" s="1"/>
  <c r="E172" i="3"/>
  <c r="E171" i="3" s="1"/>
  <c r="J133" i="1"/>
  <c r="I172" i="3" s="1"/>
  <c r="I171" i="3" s="1"/>
  <c r="E133" i="1"/>
  <c r="D172" i="3" s="1"/>
  <c r="D171" i="3" s="1"/>
  <c r="P133" i="1" l="1"/>
  <c r="D141" i="1"/>
  <c r="O172" i="3" l="1"/>
  <c r="O171" i="3" s="1"/>
  <c r="D227" i="1" l="1"/>
  <c r="B227" i="1"/>
  <c r="J227" i="1"/>
  <c r="I144" i="3" s="1"/>
  <c r="P227" i="1" l="1"/>
  <c r="O144" i="3" s="1"/>
  <c r="O19" i="1" l="1"/>
  <c r="K19" i="1"/>
  <c r="D169" i="1" l="1"/>
  <c r="F170" i="3"/>
  <c r="G170" i="3"/>
  <c r="H170" i="3"/>
  <c r="J170" i="3"/>
  <c r="K170" i="3"/>
  <c r="L170" i="3"/>
  <c r="M170" i="3"/>
  <c r="N170" i="3"/>
  <c r="F131" i="3"/>
  <c r="G131" i="3"/>
  <c r="H131" i="3"/>
  <c r="J131" i="3"/>
  <c r="K131" i="3"/>
  <c r="L131" i="3"/>
  <c r="M131" i="3"/>
  <c r="N131" i="3"/>
  <c r="G255" i="1"/>
  <c r="H255" i="1"/>
  <c r="I255" i="1"/>
  <c r="K255" i="1"/>
  <c r="L255" i="1"/>
  <c r="M255" i="1"/>
  <c r="N255" i="1"/>
  <c r="O255" i="1"/>
  <c r="G244" i="1"/>
  <c r="H244" i="1"/>
  <c r="L244" i="1"/>
  <c r="M244" i="1"/>
  <c r="N244" i="1"/>
  <c r="O244" i="1"/>
  <c r="G236" i="1"/>
  <c r="H236" i="1"/>
  <c r="I236" i="1"/>
  <c r="K236" i="1"/>
  <c r="M236" i="1"/>
  <c r="N236" i="1"/>
  <c r="O236" i="1"/>
  <c r="G176" i="1"/>
  <c r="H176" i="1"/>
  <c r="I176" i="1"/>
  <c r="L176" i="1"/>
  <c r="M176" i="1"/>
  <c r="N176" i="1"/>
  <c r="G171" i="1"/>
  <c r="H171" i="1"/>
  <c r="I171" i="1"/>
  <c r="K171" i="1"/>
  <c r="L171" i="1"/>
  <c r="M171" i="1"/>
  <c r="N171" i="1"/>
  <c r="O171" i="1"/>
  <c r="G103" i="1"/>
  <c r="H103" i="1"/>
  <c r="I103" i="1"/>
  <c r="L103" i="1"/>
  <c r="M103" i="1"/>
  <c r="N103" i="1"/>
  <c r="O214" i="1" l="1"/>
  <c r="N197" i="3" s="1"/>
  <c r="K214" i="1"/>
  <c r="J197" i="3" s="1"/>
  <c r="F247" i="1" l="1"/>
  <c r="I247" i="1"/>
  <c r="I244" i="1" s="1"/>
  <c r="F250" i="1" l="1"/>
  <c r="E170" i="3" s="1"/>
  <c r="F244" i="1" l="1"/>
  <c r="F236" i="1"/>
  <c r="F171" i="1"/>
  <c r="F103" i="1"/>
  <c r="O176" i="1" l="1"/>
  <c r="D214" i="1" l="1"/>
  <c r="F45" i="1" l="1"/>
  <c r="F19" i="1" s="1"/>
  <c r="F261" i="1" l="1"/>
  <c r="F255" i="1" s="1"/>
  <c r="F176" i="1" l="1"/>
  <c r="O103" i="1" l="1"/>
  <c r="K103" i="1"/>
  <c r="E184" i="3"/>
  <c r="F184" i="3"/>
  <c r="G184" i="3"/>
  <c r="H184" i="3"/>
  <c r="J184" i="3"/>
  <c r="K184" i="3"/>
  <c r="L184" i="3"/>
  <c r="M184" i="3"/>
  <c r="N184" i="3"/>
  <c r="J184" i="1"/>
  <c r="E184" i="1"/>
  <c r="C184" i="1"/>
  <c r="D184" i="1"/>
  <c r="B184" i="1"/>
  <c r="P184" i="1" l="1"/>
  <c r="E21" i="3"/>
  <c r="F21" i="3"/>
  <c r="G21" i="3"/>
  <c r="H21" i="3"/>
  <c r="J21" i="3"/>
  <c r="K21" i="3"/>
  <c r="L21" i="3"/>
  <c r="M21" i="3"/>
  <c r="N21" i="3"/>
  <c r="E30" i="3"/>
  <c r="F30" i="3"/>
  <c r="G30" i="3"/>
  <c r="H30" i="3"/>
  <c r="K30" i="3"/>
  <c r="L30" i="3"/>
  <c r="M30" i="3"/>
  <c r="N30" i="3"/>
  <c r="E32" i="3"/>
  <c r="F32" i="3"/>
  <c r="G32" i="3"/>
  <c r="H32" i="3"/>
  <c r="K32" i="3"/>
  <c r="L32" i="3"/>
  <c r="M32" i="3"/>
  <c r="E39" i="3"/>
  <c r="F39" i="3"/>
  <c r="G39" i="3"/>
  <c r="H39" i="3"/>
  <c r="J39" i="3"/>
  <c r="K39" i="3"/>
  <c r="L39" i="3"/>
  <c r="M39" i="3"/>
  <c r="N39" i="3"/>
  <c r="E42" i="3"/>
  <c r="F42" i="3"/>
  <c r="G42" i="3"/>
  <c r="H42" i="3"/>
  <c r="J42" i="3"/>
  <c r="K42" i="3"/>
  <c r="L42" i="3"/>
  <c r="M42" i="3"/>
  <c r="N42" i="3"/>
  <c r="E43" i="3"/>
  <c r="F43" i="3"/>
  <c r="G43" i="3"/>
  <c r="H43" i="3"/>
  <c r="J43" i="3"/>
  <c r="K43" i="3"/>
  <c r="L43" i="3"/>
  <c r="M43" i="3"/>
  <c r="E44" i="3"/>
  <c r="F44" i="3"/>
  <c r="G44" i="3"/>
  <c r="H44" i="3"/>
  <c r="J44" i="3"/>
  <c r="K44" i="3"/>
  <c r="L44" i="3"/>
  <c r="M44" i="3"/>
  <c r="N44" i="3"/>
  <c r="E47" i="3"/>
  <c r="F47" i="3"/>
  <c r="G47" i="3"/>
  <c r="H47" i="3"/>
  <c r="J47" i="3"/>
  <c r="K47" i="3"/>
  <c r="L47" i="3"/>
  <c r="M47" i="3"/>
  <c r="N47" i="3"/>
  <c r="E48" i="3"/>
  <c r="F48" i="3"/>
  <c r="G48" i="3"/>
  <c r="H48" i="3"/>
  <c r="J48" i="3"/>
  <c r="K48" i="3"/>
  <c r="L48" i="3"/>
  <c r="M48" i="3"/>
  <c r="N48" i="3"/>
  <c r="E49" i="3"/>
  <c r="F49" i="3"/>
  <c r="G49" i="3"/>
  <c r="H49" i="3"/>
  <c r="J49" i="3"/>
  <c r="K49" i="3"/>
  <c r="L49" i="3"/>
  <c r="M49" i="3"/>
  <c r="N49" i="3"/>
  <c r="E50" i="3"/>
  <c r="F50" i="3"/>
  <c r="G50" i="3"/>
  <c r="H50" i="3"/>
  <c r="J50" i="3"/>
  <c r="K50" i="3"/>
  <c r="L50" i="3"/>
  <c r="M50" i="3"/>
  <c r="N50" i="3"/>
  <c r="E59" i="3"/>
  <c r="F59" i="3"/>
  <c r="G59" i="3"/>
  <c r="H59" i="3"/>
  <c r="J59" i="3"/>
  <c r="K59" i="3"/>
  <c r="L59" i="3"/>
  <c r="M59" i="3"/>
  <c r="N59" i="3"/>
  <c r="E63" i="3"/>
  <c r="F63" i="3"/>
  <c r="G63" i="3"/>
  <c r="H63" i="3"/>
  <c r="J63" i="3"/>
  <c r="K63" i="3"/>
  <c r="L63" i="3"/>
  <c r="M63" i="3"/>
  <c r="N63" i="3"/>
  <c r="E65" i="3"/>
  <c r="F65" i="3"/>
  <c r="G65" i="3"/>
  <c r="H65" i="3"/>
  <c r="J65" i="3"/>
  <c r="K65" i="3"/>
  <c r="L65" i="3"/>
  <c r="M65" i="3"/>
  <c r="N65" i="3"/>
  <c r="E67" i="3"/>
  <c r="F67" i="3"/>
  <c r="G67" i="3"/>
  <c r="H67" i="3"/>
  <c r="J67" i="3"/>
  <c r="K67" i="3"/>
  <c r="L67" i="3"/>
  <c r="M67" i="3"/>
  <c r="N67" i="3"/>
  <c r="E69" i="3"/>
  <c r="F69" i="3"/>
  <c r="G69" i="3"/>
  <c r="H69" i="3"/>
  <c r="J69" i="3"/>
  <c r="K69" i="3"/>
  <c r="L69" i="3"/>
  <c r="M69" i="3"/>
  <c r="N69" i="3"/>
  <c r="E72" i="3"/>
  <c r="F72" i="3"/>
  <c r="G72" i="3"/>
  <c r="H72" i="3"/>
  <c r="J72" i="3"/>
  <c r="K72" i="3"/>
  <c r="L72" i="3"/>
  <c r="M72" i="3"/>
  <c r="N72" i="3"/>
  <c r="E73" i="3"/>
  <c r="F73" i="3"/>
  <c r="G73" i="3"/>
  <c r="H73" i="3"/>
  <c r="J73" i="3"/>
  <c r="K73" i="3"/>
  <c r="L73" i="3"/>
  <c r="M73" i="3"/>
  <c r="N73" i="3"/>
  <c r="E78" i="3"/>
  <c r="F78" i="3"/>
  <c r="G78" i="3"/>
  <c r="H78" i="3"/>
  <c r="K78" i="3"/>
  <c r="L78" i="3"/>
  <c r="M78" i="3"/>
  <c r="E79" i="3"/>
  <c r="F79" i="3"/>
  <c r="G79" i="3"/>
  <c r="H79" i="3"/>
  <c r="J79" i="3"/>
  <c r="K79" i="3"/>
  <c r="L79" i="3"/>
  <c r="M79" i="3"/>
  <c r="N79" i="3"/>
  <c r="E80" i="3"/>
  <c r="F80" i="3"/>
  <c r="G80" i="3"/>
  <c r="H80" i="3"/>
  <c r="J80" i="3"/>
  <c r="K80" i="3"/>
  <c r="L80" i="3"/>
  <c r="M80" i="3"/>
  <c r="N80" i="3"/>
  <c r="E82" i="3"/>
  <c r="F82" i="3"/>
  <c r="G82" i="3"/>
  <c r="H82" i="3"/>
  <c r="J82" i="3"/>
  <c r="K82" i="3"/>
  <c r="L82" i="3"/>
  <c r="M82" i="3"/>
  <c r="N82" i="3"/>
  <c r="E83" i="3"/>
  <c r="F83" i="3"/>
  <c r="G83" i="3"/>
  <c r="H83" i="3"/>
  <c r="J83" i="3"/>
  <c r="K83" i="3"/>
  <c r="L83" i="3"/>
  <c r="M83" i="3"/>
  <c r="N83" i="3"/>
  <c r="E84" i="3"/>
  <c r="F84" i="3"/>
  <c r="G84" i="3"/>
  <c r="H84" i="3"/>
  <c r="J84" i="3"/>
  <c r="K84" i="3"/>
  <c r="L84" i="3"/>
  <c r="M84" i="3"/>
  <c r="N84" i="3"/>
  <c r="E86" i="3"/>
  <c r="F86" i="3"/>
  <c r="G86" i="3"/>
  <c r="H86" i="3"/>
  <c r="J86" i="3"/>
  <c r="K86" i="3"/>
  <c r="L86" i="3"/>
  <c r="M86" i="3"/>
  <c r="N86" i="3"/>
  <c r="E88" i="3"/>
  <c r="F88" i="3"/>
  <c r="G88" i="3"/>
  <c r="H88" i="3"/>
  <c r="J88" i="3"/>
  <c r="K88" i="3"/>
  <c r="L88" i="3"/>
  <c r="M88" i="3"/>
  <c r="N88" i="3"/>
  <c r="E89" i="3"/>
  <c r="F89" i="3"/>
  <c r="G89" i="3"/>
  <c r="H89" i="3"/>
  <c r="J89" i="3"/>
  <c r="K89" i="3"/>
  <c r="L89" i="3"/>
  <c r="M89" i="3"/>
  <c r="N89" i="3"/>
  <c r="E90" i="3"/>
  <c r="F90" i="3"/>
  <c r="G90" i="3"/>
  <c r="H90" i="3"/>
  <c r="J90" i="3"/>
  <c r="K90" i="3"/>
  <c r="L90" i="3"/>
  <c r="M90" i="3"/>
  <c r="N90" i="3"/>
  <c r="E91" i="3"/>
  <c r="F91" i="3"/>
  <c r="G91" i="3"/>
  <c r="H91" i="3"/>
  <c r="J91" i="3"/>
  <c r="K91" i="3"/>
  <c r="L91" i="3"/>
  <c r="M91" i="3"/>
  <c r="N91" i="3"/>
  <c r="E92" i="3"/>
  <c r="F92" i="3"/>
  <c r="G92" i="3"/>
  <c r="H92" i="3"/>
  <c r="J92" i="3"/>
  <c r="K92" i="3"/>
  <c r="L92" i="3"/>
  <c r="M92" i="3"/>
  <c r="N92" i="3"/>
  <c r="E93" i="3"/>
  <c r="F93" i="3"/>
  <c r="G93" i="3"/>
  <c r="H93" i="3"/>
  <c r="J93" i="3"/>
  <c r="K93" i="3"/>
  <c r="L93" i="3"/>
  <c r="M93" i="3"/>
  <c r="N93" i="3"/>
  <c r="E94" i="3"/>
  <c r="F94" i="3"/>
  <c r="G94" i="3"/>
  <c r="H94" i="3"/>
  <c r="J94" i="3"/>
  <c r="K94" i="3"/>
  <c r="L94" i="3"/>
  <c r="M94" i="3"/>
  <c r="N94" i="3"/>
  <c r="E95" i="3"/>
  <c r="F95" i="3"/>
  <c r="G95" i="3"/>
  <c r="H95" i="3"/>
  <c r="J95" i="3"/>
  <c r="K95" i="3"/>
  <c r="L95" i="3"/>
  <c r="M95" i="3"/>
  <c r="N95" i="3"/>
  <c r="E97" i="3"/>
  <c r="F97" i="3"/>
  <c r="G97" i="3"/>
  <c r="H97" i="3"/>
  <c r="J97" i="3"/>
  <c r="K97" i="3"/>
  <c r="L97" i="3"/>
  <c r="M97" i="3"/>
  <c r="N97" i="3"/>
  <c r="F99" i="3"/>
  <c r="G99" i="3"/>
  <c r="H99" i="3"/>
  <c r="J99" i="3"/>
  <c r="K99" i="3"/>
  <c r="L99" i="3"/>
  <c r="M99" i="3"/>
  <c r="N99" i="3"/>
  <c r="E100" i="3"/>
  <c r="F100" i="3"/>
  <c r="G100" i="3"/>
  <c r="H100" i="3"/>
  <c r="J100" i="3"/>
  <c r="K100" i="3"/>
  <c r="L100" i="3"/>
  <c r="M100" i="3"/>
  <c r="N100" i="3"/>
  <c r="E101" i="3"/>
  <c r="F101" i="3"/>
  <c r="G101" i="3"/>
  <c r="H101" i="3"/>
  <c r="J101" i="3"/>
  <c r="K101" i="3"/>
  <c r="L101" i="3"/>
  <c r="M101" i="3"/>
  <c r="N101" i="3"/>
  <c r="E102" i="3"/>
  <c r="F102" i="3"/>
  <c r="G102" i="3"/>
  <c r="H102" i="3"/>
  <c r="J102" i="3"/>
  <c r="K102" i="3"/>
  <c r="L102" i="3"/>
  <c r="M102" i="3"/>
  <c r="N102" i="3"/>
  <c r="E103" i="3"/>
  <c r="F103" i="3"/>
  <c r="G103" i="3"/>
  <c r="H103" i="3"/>
  <c r="J103" i="3"/>
  <c r="K103" i="3"/>
  <c r="L103" i="3"/>
  <c r="M103" i="3"/>
  <c r="N103" i="3"/>
  <c r="E108" i="3"/>
  <c r="F108" i="3"/>
  <c r="G108" i="3"/>
  <c r="H108" i="3"/>
  <c r="J108" i="3"/>
  <c r="K108" i="3"/>
  <c r="L108" i="3"/>
  <c r="M108" i="3"/>
  <c r="N108" i="3"/>
  <c r="E109" i="3"/>
  <c r="F109" i="3"/>
  <c r="G109" i="3"/>
  <c r="H109" i="3"/>
  <c r="J109" i="3"/>
  <c r="K109" i="3"/>
  <c r="L109" i="3"/>
  <c r="M109" i="3"/>
  <c r="N109" i="3"/>
  <c r="E112" i="3"/>
  <c r="F112" i="3"/>
  <c r="G112" i="3"/>
  <c r="H112" i="3"/>
  <c r="J112" i="3"/>
  <c r="K112" i="3"/>
  <c r="L112" i="3"/>
  <c r="M112" i="3"/>
  <c r="N112" i="3"/>
  <c r="E113" i="3"/>
  <c r="F113" i="3"/>
  <c r="G113" i="3"/>
  <c r="H113" i="3"/>
  <c r="J113" i="3"/>
  <c r="K113" i="3"/>
  <c r="L113" i="3"/>
  <c r="M113" i="3"/>
  <c r="N113" i="3"/>
  <c r="E114" i="3"/>
  <c r="F114" i="3"/>
  <c r="G114" i="3"/>
  <c r="H114" i="3"/>
  <c r="J114" i="3"/>
  <c r="K114" i="3"/>
  <c r="L114" i="3"/>
  <c r="M114" i="3"/>
  <c r="N114" i="3"/>
  <c r="E115" i="3"/>
  <c r="F115" i="3"/>
  <c r="G115" i="3"/>
  <c r="H115" i="3"/>
  <c r="J115" i="3"/>
  <c r="K115" i="3"/>
  <c r="L115" i="3"/>
  <c r="M115" i="3"/>
  <c r="N115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7" i="3"/>
  <c r="E136" i="3" s="1"/>
  <c r="F137" i="3"/>
  <c r="F136" i="3" s="1"/>
  <c r="G137" i="3"/>
  <c r="G136" i="3" s="1"/>
  <c r="H137" i="3"/>
  <c r="H136" i="3" s="1"/>
  <c r="J137" i="3"/>
  <c r="J136" i="3" s="1"/>
  <c r="K137" i="3"/>
  <c r="K136" i="3" s="1"/>
  <c r="L137" i="3"/>
  <c r="L136" i="3" s="1"/>
  <c r="M137" i="3"/>
  <c r="M136" i="3" s="1"/>
  <c r="N137" i="3"/>
  <c r="N136" i="3" s="1"/>
  <c r="E140" i="3"/>
  <c r="F140" i="3"/>
  <c r="G140" i="3"/>
  <c r="H140" i="3"/>
  <c r="J140" i="3"/>
  <c r="K140" i="3"/>
  <c r="K138" i="3" s="1"/>
  <c r="L140" i="3"/>
  <c r="M140" i="3"/>
  <c r="M138" i="3" s="1"/>
  <c r="N140" i="3"/>
  <c r="E148" i="3"/>
  <c r="F148" i="3"/>
  <c r="G148" i="3"/>
  <c r="H148" i="3"/>
  <c r="J148" i="3"/>
  <c r="K148" i="3"/>
  <c r="L148" i="3"/>
  <c r="M148" i="3"/>
  <c r="N148" i="3"/>
  <c r="E153" i="3"/>
  <c r="E151" i="3" s="1"/>
  <c r="F153" i="3"/>
  <c r="F151" i="3" s="1"/>
  <c r="G153" i="3"/>
  <c r="G151" i="3" s="1"/>
  <c r="H153" i="3"/>
  <c r="H151" i="3" s="1"/>
  <c r="J153" i="3"/>
  <c r="J151" i="3" s="1"/>
  <c r="K153" i="3"/>
  <c r="K151" i="3" s="1"/>
  <c r="L153" i="3"/>
  <c r="L151" i="3" s="1"/>
  <c r="M153" i="3"/>
  <c r="M151" i="3" s="1"/>
  <c r="N153" i="3"/>
  <c r="N151" i="3" s="1"/>
  <c r="E158" i="3"/>
  <c r="F158" i="3"/>
  <c r="G158" i="3"/>
  <c r="H158" i="3"/>
  <c r="J158" i="3"/>
  <c r="K158" i="3"/>
  <c r="L158" i="3"/>
  <c r="M158" i="3"/>
  <c r="N158" i="3"/>
  <c r="E162" i="3"/>
  <c r="F162" i="3"/>
  <c r="G162" i="3"/>
  <c r="H162" i="3"/>
  <c r="J162" i="3"/>
  <c r="K162" i="3"/>
  <c r="L162" i="3"/>
  <c r="M162" i="3"/>
  <c r="N162" i="3"/>
  <c r="E163" i="3"/>
  <c r="F163" i="3"/>
  <c r="G163" i="3"/>
  <c r="H163" i="3"/>
  <c r="J163" i="3"/>
  <c r="K163" i="3"/>
  <c r="L163" i="3"/>
  <c r="M163" i="3"/>
  <c r="E165" i="3"/>
  <c r="F165" i="3"/>
  <c r="G165" i="3"/>
  <c r="H165" i="3"/>
  <c r="J165" i="3"/>
  <c r="K165" i="3"/>
  <c r="L165" i="3"/>
  <c r="M165" i="3"/>
  <c r="N165" i="3"/>
  <c r="E166" i="3"/>
  <c r="F166" i="3"/>
  <c r="G166" i="3"/>
  <c r="H166" i="3"/>
  <c r="J166" i="3"/>
  <c r="K166" i="3"/>
  <c r="L166" i="3"/>
  <c r="M166" i="3"/>
  <c r="N166" i="3"/>
  <c r="E167" i="3"/>
  <c r="F167" i="3"/>
  <c r="G167" i="3"/>
  <c r="H167" i="3"/>
  <c r="J167" i="3"/>
  <c r="K167" i="3"/>
  <c r="L167" i="3"/>
  <c r="M167" i="3"/>
  <c r="N167" i="3"/>
  <c r="F168" i="3"/>
  <c r="G168" i="3"/>
  <c r="H168" i="3"/>
  <c r="J168" i="3"/>
  <c r="K168" i="3"/>
  <c r="L168" i="3"/>
  <c r="M168" i="3"/>
  <c r="N168" i="3"/>
  <c r="E178" i="3"/>
  <c r="F178" i="3"/>
  <c r="G178" i="3"/>
  <c r="H178" i="3"/>
  <c r="J178" i="3"/>
  <c r="K178" i="3"/>
  <c r="L178" i="3"/>
  <c r="M178" i="3"/>
  <c r="N178" i="3"/>
  <c r="E180" i="3"/>
  <c r="F180" i="3"/>
  <c r="G180" i="3"/>
  <c r="H180" i="3"/>
  <c r="J180" i="3"/>
  <c r="K180" i="3"/>
  <c r="L180" i="3"/>
  <c r="M180" i="3"/>
  <c r="N180" i="3"/>
  <c r="E183" i="3"/>
  <c r="E182" i="3" s="1"/>
  <c r="F183" i="3"/>
  <c r="F182" i="3" s="1"/>
  <c r="G183" i="3"/>
  <c r="H183" i="3"/>
  <c r="J183" i="3"/>
  <c r="K183" i="3"/>
  <c r="K182" i="3" s="1"/>
  <c r="L183" i="3"/>
  <c r="M183" i="3"/>
  <c r="M182" i="3" s="1"/>
  <c r="N183" i="3"/>
  <c r="E186" i="3"/>
  <c r="E185" i="3" s="1"/>
  <c r="F186" i="3"/>
  <c r="F185" i="3" s="1"/>
  <c r="G186" i="3"/>
  <c r="G185" i="3" s="1"/>
  <c r="H186" i="3"/>
  <c r="H185" i="3" s="1"/>
  <c r="J186" i="3"/>
  <c r="J185" i="3" s="1"/>
  <c r="K186" i="3"/>
  <c r="K185" i="3" s="1"/>
  <c r="L186" i="3"/>
  <c r="L185" i="3" s="1"/>
  <c r="M186" i="3"/>
  <c r="M185" i="3" s="1"/>
  <c r="N186" i="3"/>
  <c r="N185" i="3" s="1"/>
  <c r="E187" i="3"/>
  <c r="F187" i="3"/>
  <c r="G187" i="3"/>
  <c r="H187" i="3"/>
  <c r="J187" i="3"/>
  <c r="K187" i="3"/>
  <c r="L187" i="3"/>
  <c r="M187" i="3"/>
  <c r="N187" i="3"/>
  <c r="D188" i="3"/>
  <c r="E188" i="3"/>
  <c r="F188" i="3"/>
  <c r="G188" i="3"/>
  <c r="H188" i="3"/>
  <c r="J188" i="3"/>
  <c r="K188" i="3"/>
  <c r="L188" i="3"/>
  <c r="M188" i="3"/>
  <c r="N188" i="3"/>
  <c r="E191" i="3"/>
  <c r="E190" i="3" s="1"/>
  <c r="F191" i="3"/>
  <c r="F190" i="3" s="1"/>
  <c r="G191" i="3"/>
  <c r="G190" i="3" s="1"/>
  <c r="H191" i="3"/>
  <c r="H190" i="3" s="1"/>
  <c r="J191" i="3"/>
  <c r="J190" i="3" s="1"/>
  <c r="K191" i="3"/>
  <c r="K190" i="3" s="1"/>
  <c r="L191" i="3"/>
  <c r="L190" i="3" s="1"/>
  <c r="L189" i="3" s="1"/>
  <c r="M191" i="3"/>
  <c r="M190" i="3" s="1"/>
  <c r="N191" i="3"/>
  <c r="N190" i="3" s="1"/>
  <c r="N189" i="3" s="1"/>
  <c r="E196" i="3"/>
  <c r="F196" i="3"/>
  <c r="G196" i="3"/>
  <c r="H196" i="3"/>
  <c r="J196" i="3"/>
  <c r="K196" i="3"/>
  <c r="L196" i="3"/>
  <c r="M196" i="3"/>
  <c r="N196" i="3"/>
  <c r="J68" i="1"/>
  <c r="J257" i="1"/>
  <c r="J258" i="1"/>
  <c r="J259" i="1"/>
  <c r="I183" i="3" s="1"/>
  <c r="J260" i="1"/>
  <c r="J261" i="1"/>
  <c r="I187" i="3" s="1"/>
  <c r="J262" i="1"/>
  <c r="I188" i="3" s="1"/>
  <c r="J263" i="1"/>
  <c r="I191" i="3" s="1"/>
  <c r="I190" i="3" s="1"/>
  <c r="J256" i="1"/>
  <c r="J246" i="1"/>
  <c r="I137" i="3" s="1"/>
  <c r="I136" i="3" s="1"/>
  <c r="J247" i="1"/>
  <c r="J248" i="1"/>
  <c r="I165" i="3" s="1"/>
  <c r="J249" i="1"/>
  <c r="I166" i="3" s="1"/>
  <c r="J250" i="1"/>
  <c r="J245" i="1"/>
  <c r="J242" i="1"/>
  <c r="J222" i="1"/>
  <c r="J223" i="1"/>
  <c r="I130" i="3" s="1"/>
  <c r="J224" i="1"/>
  <c r="J225" i="1"/>
  <c r="I141" i="3" s="1"/>
  <c r="J226" i="1"/>
  <c r="I142" i="3" s="1"/>
  <c r="J228" i="1"/>
  <c r="J237" i="1"/>
  <c r="I20" i="3" s="1"/>
  <c r="J238" i="1"/>
  <c r="J239" i="1"/>
  <c r="J221" i="1"/>
  <c r="J217" i="1"/>
  <c r="J190" i="1"/>
  <c r="J191" i="1"/>
  <c r="J192" i="1"/>
  <c r="I125" i="3" s="1"/>
  <c r="J193" i="1"/>
  <c r="I126" i="3" s="1"/>
  <c r="J194" i="1"/>
  <c r="I127" i="3" s="1"/>
  <c r="J195" i="1"/>
  <c r="J196" i="1"/>
  <c r="J197" i="1"/>
  <c r="J198" i="1"/>
  <c r="J199" i="1"/>
  <c r="J202" i="1"/>
  <c r="I148" i="3" s="1"/>
  <c r="J208" i="1"/>
  <c r="J209" i="1"/>
  <c r="J213" i="1"/>
  <c r="J214" i="1"/>
  <c r="J189" i="1"/>
  <c r="J179" i="1"/>
  <c r="I112" i="3" s="1"/>
  <c r="J180" i="1"/>
  <c r="J181" i="1"/>
  <c r="J182" i="1"/>
  <c r="J183" i="1"/>
  <c r="J177" i="1"/>
  <c r="J173" i="1"/>
  <c r="I89" i="3" s="1"/>
  <c r="J174" i="1"/>
  <c r="I90" i="3" s="1"/>
  <c r="J172" i="1"/>
  <c r="J141" i="1"/>
  <c r="J142" i="1"/>
  <c r="J144" i="1"/>
  <c r="I82" i="3" s="1"/>
  <c r="J145" i="1"/>
  <c r="J146" i="1"/>
  <c r="I84" i="3" s="1"/>
  <c r="J148" i="1"/>
  <c r="I86" i="3" s="1"/>
  <c r="J150" i="1"/>
  <c r="I88" i="3" s="1"/>
  <c r="J151" i="1"/>
  <c r="I94" i="3" s="1"/>
  <c r="J152" i="1"/>
  <c r="I95" i="3" s="1"/>
  <c r="J154" i="1"/>
  <c r="I97" i="3" s="1"/>
  <c r="J156" i="1"/>
  <c r="I99" i="3" s="1"/>
  <c r="J157" i="1"/>
  <c r="I100" i="3" s="1"/>
  <c r="J158" i="1"/>
  <c r="I101" i="3" s="1"/>
  <c r="J159" i="1"/>
  <c r="I102" i="3" s="1"/>
  <c r="J160" i="1"/>
  <c r="J165" i="1"/>
  <c r="J166" i="1"/>
  <c r="J169" i="1"/>
  <c r="J139" i="1"/>
  <c r="J112" i="1"/>
  <c r="J116" i="1"/>
  <c r="J118" i="1"/>
  <c r="I65" i="3" s="1"/>
  <c r="J120" i="1"/>
  <c r="I67" i="3" s="1"/>
  <c r="J122" i="1"/>
  <c r="I69" i="3" s="1"/>
  <c r="J125" i="1"/>
  <c r="I72" i="3" s="1"/>
  <c r="J126" i="1"/>
  <c r="I73" i="3" s="1"/>
  <c r="J111" i="1"/>
  <c r="J77" i="1"/>
  <c r="J80" i="1"/>
  <c r="J81" i="1"/>
  <c r="J84" i="1"/>
  <c r="I47" i="3" s="1"/>
  <c r="J85" i="1"/>
  <c r="I48" i="3" s="1"/>
  <c r="J86" i="1"/>
  <c r="I49" i="3" s="1"/>
  <c r="J87" i="1"/>
  <c r="J91" i="1"/>
  <c r="J92" i="1"/>
  <c r="J93" i="1"/>
  <c r="J97" i="1"/>
  <c r="J98" i="1"/>
  <c r="J67" i="1"/>
  <c r="J22" i="1"/>
  <c r="J23" i="1"/>
  <c r="J24" i="1"/>
  <c r="J25" i="1"/>
  <c r="I91" i="3" s="1"/>
  <c r="J26" i="1"/>
  <c r="I92" i="3" s="1"/>
  <c r="J27" i="1"/>
  <c r="J28" i="1"/>
  <c r="J29" i="1"/>
  <c r="J30" i="1"/>
  <c r="J31" i="1"/>
  <c r="J32" i="1"/>
  <c r="J33" i="1"/>
  <c r="I117" i="3" s="1"/>
  <c r="J34" i="1"/>
  <c r="I118" i="3" s="1"/>
  <c r="J35" i="1"/>
  <c r="J36" i="1"/>
  <c r="I120" i="3" s="1"/>
  <c r="J37" i="1"/>
  <c r="I121" i="3" s="1"/>
  <c r="J38" i="1"/>
  <c r="I122" i="3" s="1"/>
  <c r="I153" i="3"/>
  <c r="I151" i="3" s="1"/>
  <c r="J44" i="1"/>
  <c r="J45" i="1"/>
  <c r="J46" i="1"/>
  <c r="J47" i="1"/>
  <c r="I168" i="3" s="1"/>
  <c r="J48" i="1"/>
  <c r="J49" i="1"/>
  <c r="J50" i="1"/>
  <c r="I177" i="3" s="1"/>
  <c r="J51" i="1"/>
  <c r="I178" i="3" s="1"/>
  <c r="J53" i="1"/>
  <c r="J54" i="1"/>
  <c r="J55" i="1"/>
  <c r="I186" i="3" s="1"/>
  <c r="I185" i="3" s="1"/>
  <c r="J21" i="1"/>
  <c r="J189" i="3" l="1"/>
  <c r="G189" i="3"/>
  <c r="E189" i="3"/>
  <c r="H138" i="3"/>
  <c r="F138" i="3"/>
  <c r="L22" i="3"/>
  <c r="H22" i="3"/>
  <c r="F22" i="3"/>
  <c r="M22" i="3"/>
  <c r="K22" i="3"/>
  <c r="G22" i="3"/>
  <c r="E22" i="3"/>
  <c r="I159" i="3"/>
  <c r="I158" i="3" s="1"/>
  <c r="J186" i="1"/>
  <c r="M74" i="3"/>
  <c r="K74" i="3"/>
  <c r="G74" i="3"/>
  <c r="L74" i="3"/>
  <c r="H74" i="3"/>
  <c r="F74" i="3"/>
  <c r="I197" i="3"/>
  <c r="I196" i="3" s="1"/>
  <c r="I189" i="3" s="1"/>
  <c r="M189" i="3"/>
  <c r="K189" i="3"/>
  <c r="H189" i="3"/>
  <c r="F189" i="3"/>
  <c r="I145" i="3"/>
  <c r="N138" i="3"/>
  <c r="L138" i="3"/>
  <c r="J138" i="3"/>
  <c r="G138" i="3"/>
  <c r="E138" i="3"/>
  <c r="J19" i="1"/>
  <c r="I50" i="3"/>
  <c r="I59" i="3"/>
  <c r="I79" i="3"/>
  <c r="I63" i="3"/>
  <c r="I42" i="3"/>
  <c r="I39" i="3"/>
  <c r="I30" i="3"/>
  <c r="I44" i="3"/>
  <c r="I181" i="3"/>
  <c r="I180" i="3" s="1"/>
  <c r="I128" i="3"/>
  <c r="I21" i="3"/>
  <c r="I124" i="3"/>
  <c r="I131" i="3"/>
  <c r="J255" i="1"/>
  <c r="I170" i="3"/>
  <c r="K160" i="3"/>
  <c r="N123" i="3"/>
  <c r="L123" i="3"/>
  <c r="J123" i="3"/>
  <c r="G123" i="3"/>
  <c r="M123" i="3"/>
  <c r="K123" i="3"/>
  <c r="H123" i="3"/>
  <c r="F123" i="3"/>
  <c r="N54" i="3"/>
  <c r="L54" i="3"/>
  <c r="J54" i="3"/>
  <c r="G54" i="3"/>
  <c r="E54" i="3"/>
  <c r="M54" i="3"/>
  <c r="K54" i="3"/>
  <c r="H54" i="3"/>
  <c r="F54" i="3"/>
  <c r="J244" i="1"/>
  <c r="J236" i="1"/>
  <c r="J235" i="1" s="1"/>
  <c r="J232" i="1"/>
  <c r="J171" i="1"/>
  <c r="I115" i="3"/>
  <c r="I113" i="3"/>
  <c r="I167" i="3"/>
  <c r="I114" i="3"/>
  <c r="E121" i="3"/>
  <c r="E116" i="3" s="1"/>
  <c r="I140" i="3"/>
  <c r="L175" i="3"/>
  <c r="J175" i="3"/>
  <c r="G175" i="3"/>
  <c r="I109" i="3"/>
  <c r="I80" i="3"/>
  <c r="I184" i="3"/>
  <c r="I182" i="3" s="1"/>
  <c r="I162" i="3"/>
  <c r="I119" i="3"/>
  <c r="I116" i="3" s="1"/>
  <c r="I93" i="3"/>
  <c r="I103" i="3"/>
  <c r="N163" i="3"/>
  <c r="N160" i="3" s="1"/>
  <c r="N175" i="3"/>
  <c r="H175" i="3"/>
  <c r="M175" i="3"/>
  <c r="M173" i="3" s="1"/>
  <c r="K175" i="3"/>
  <c r="K173" i="3" s="1"/>
  <c r="F175" i="3"/>
  <c r="F173" i="3" s="1"/>
  <c r="E175" i="3"/>
  <c r="E173" i="3" s="1"/>
  <c r="L19" i="3"/>
  <c r="I129" i="3"/>
  <c r="I175" i="3"/>
  <c r="M116" i="3"/>
  <c r="F116" i="3"/>
  <c r="I108" i="3"/>
  <c r="I83" i="3"/>
  <c r="N182" i="3"/>
  <c r="L182" i="3"/>
  <c r="J182" i="3"/>
  <c r="H182" i="3"/>
  <c r="G182" i="3"/>
  <c r="M160" i="3"/>
  <c r="F160" i="3"/>
  <c r="K116" i="3"/>
  <c r="L111" i="3"/>
  <c r="H111" i="3"/>
  <c r="N19" i="3"/>
  <c r="J19" i="3"/>
  <c r="H19" i="3"/>
  <c r="G19" i="3"/>
  <c r="M19" i="3"/>
  <c r="K19" i="3"/>
  <c r="F19" i="3"/>
  <c r="E19" i="3"/>
  <c r="L160" i="3"/>
  <c r="H160" i="3"/>
  <c r="G160" i="3"/>
  <c r="N111" i="3"/>
  <c r="J111" i="3"/>
  <c r="G111" i="3"/>
  <c r="M111" i="3"/>
  <c r="K111" i="3"/>
  <c r="F111" i="3"/>
  <c r="E111" i="3"/>
  <c r="N116" i="3"/>
  <c r="L116" i="3"/>
  <c r="J116" i="3"/>
  <c r="H116" i="3"/>
  <c r="G116" i="3"/>
  <c r="J210" i="1"/>
  <c r="I138" i="3" l="1"/>
  <c r="I54" i="3"/>
  <c r="I19" i="3"/>
  <c r="I169" i="3"/>
  <c r="I123" i="3"/>
  <c r="K132" i="3"/>
  <c r="K199" i="3" s="1"/>
  <c r="H132" i="3"/>
  <c r="M132" i="3"/>
  <c r="M199" i="3" s="1"/>
  <c r="G132" i="3"/>
  <c r="L132" i="3"/>
  <c r="F132" i="3"/>
  <c r="F199" i="3" s="1"/>
  <c r="N132" i="3"/>
  <c r="I111" i="3"/>
  <c r="L173" i="3"/>
  <c r="G173" i="3"/>
  <c r="N173" i="3"/>
  <c r="J173" i="3"/>
  <c r="I173" i="3"/>
  <c r="H173" i="3"/>
  <c r="E259" i="1"/>
  <c r="D183" i="3" s="1"/>
  <c r="D259" i="1"/>
  <c r="B259" i="1"/>
  <c r="E131" i="3" l="1"/>
  <c r="E123" i="3" s="1"/>
  <c r="G199" i="3"/>
  <c r="L199" i="3"/>
  <c r="H199" i="3"/>
  <c r="E168" i="3"/>
  <c r="E160" i="3" s="1"/>
  <c r="E132" i="3" s="1"/>
  <c r="J131" i="1"/>
  <c r="J104" i="1" s="1"/>
  <c r="P259" i="1"/>
  <c r="O183" i="3" s="1"/>
  <c r="I163" i="3" l="1"/>
  <c r="I160" i="3" s="1"/>
  <c r="I132" i="3" s="1"/>
  <c r="J103" i="1"/>
  <c r="E202" i="1" l="1"/>
  <c r="C202" i="1"/>
  <c r="D202" i="1"/>
  <c r="B202" i="1"/>
  <c r="D148" i="3" l="1"/>
  <c r="P202" i="1"/>
  <c r="O148" i="3" s="1"/>
  <c r="E99" i="3" l="1"/>
  <c r="E74" i="3" s="1"/>
  <c r="J30" i="3"/>
  <c r="E199" i="3" l="1"/>
  <c r="N32" i="3"/>
  <c r="J32" i="3"/>
  <c r="J22" i="3" s="1"/>
  <c r="J70" i="1"/>
  <c r="J58" i="1" s="1"/>
  <c r="I32" i="3" l="1"/>
  <c r="N43" i="3"/>
  <c r="N22" i="3" s="1"/>
  <c r="J178" i="1"/>
  <c r="J176" i="1" s="1"/>
  <c r="D48" i="1"/>
  <c r="D239" i="1"/>
  <c r="D210" i="1"/>
  <c r="C180" i="1"/>
  <c r="D180" i="1"/>
  <c r="B180" i="1"/>
  <c r="D173" i="1"/>
  <c r="D85" i="1"/>
  <c r="P262" i="1"/>
  <c r="O188" i="3" s="1"/>
  <c r="E257" i="1"/>
  <c r="E258" i="1"/>
  <c r="E260" i="1"/>
  <c r="E261" i="1"/>
  <c r="D187" i="3" s="1"/>
  <c r="E263" i="1"/>
  <c r="D191" i="3" s="1"/>
  <c r="D190" i="3" s="1"/>
  <c r="E256" i="1"/>
  <c r="K254" i="1"/>
  <c r="L254" i="1"/>
  <c r="M254" i="1"/>
  <c r="N254" i="1"/>
  <c r="O254" i="1"/>
  <c r="F254" i="1"/>
  <c r="G254" i="1"/>
  <c r="H254" i="1"/>
  <c r="I254" i="1"/>
  <c r="E246" i="1"/>
  <c r="D137" i="3" s="1"/>
  <c r="D136" i="3" s="1"/>
  <c r="E247" i="1"/>
  <c r="E248" i="1"/>
  <c r="D165" i="3" s="1"/>
  <c r="E249" i="1"/>
  <c r="D166" i="3" s="1"/>
  <c r="E250" i="1"/>
  <c r="E245" i="1"/>
  <c r="K243" i="1"/>
  <c r="L243" i="1"/>
  <c r="M243" i="1"/>
  <c r="N243" i="1"/>
  <c r="O243" i="1"/>
  <c r="F243" i="1"/>
  <c r="G243" i="1"/>
  <c r="H243" i="1"/>
  <c r="I243" i="1"/>
  <c r="J241" i="1"/>
  <c r="J240" i="1" s="1"/>
  <c r="E242" i="1"/>
  <c r="K241" i="1"/>
  <c r="K240" i="1" s="1"/>
  <c r="L241" i="1"/>
  <c r="L240" i="1" s="1"/>
  <c r="M241" i="1"/>
  <c r="M240" i="1" s="1"/>
  <c r="N241" i="1"/>
  <c r="N240" i="1" s="1"/>
  <c r="O241" i="1"/>
  <c r="O240" i="1" s="1"/>
  <c r="F241" i="1"/>
  <c r="F240" i="1" s="1"/>
  <c r="G241" i="1"/>
  <c r="G240" i="1" s="1"/>
  <c r="H241" i="1"/>
  <c r="H240" i="1" s="1"/>
  <c r="I241" i="1"/>
  <c r="I240" i="1" s="1"/>
  <c r="E241" i="1"/>
  <c r="E240" i="1" s="1"/>
  <c r="E238" i="1"/>
  <c r="E239" i="1"/>
  <c r="E237" i="1"/>
  <c r="K235" i="1"/>
  <c r="L235" i="1"/>
  <c r="M235" i="1"/>
  <c r="N235" i="1"/>
  <c r="O235" i="1"/>
  <c r="F235" i="1"/>
  <c r="G235" i="1"/>
  <c r="H235" i="1"/>
  <c r="I235" i="1"/>
  <c r="E222" i="1"/>
  <c r="E223" i="1"/>
  <c r="D130" i="3" s="1"/>
  <c r="E224" i="1"/>
  <c r="E225" i="1"/>
  <c r="D141" i="3" s="1"/>
  <c r="E226" i="1"/>
  <c r="D142" i="3" s="1"/>
  <c r="E228" i="1"/>
  <c r="E232" i="1"/>
  <c r="E221" i="1"/>
  <c r="E219" i="1" s="1"/>
  <c r="K218" i="1"/>
  <c r="M218" i="1"/>
  <c r="N218" i="1"/>
  <c r="O218" i="1"/>
  <c r="F218" i="1"/>
  <c r="G218" i="1"/>
  <c r="H218" i="1"/>
  <c r="I218" i="1"/>
  <c r="J216" i="1"/>
  <c r="J215" i="1" s="1"/>
  <c r="E217" i="1"/>
  <c r="E216" i="1" s="1"/>
  <c r="E215" i="1" s="1"/>
  <c r="K216" i="1"/>
  <c r="K215" i="1" s="1"/>
  <c r="L216" i="1"/>
  <c r="L215" i="1" s="1"/>
  <c r="M216" i="1"/>
  <c r="M215" i="1" s="1"/>
  <c r="N216" i="1"/>
  <c r="N215" i="1" s="1"/>
  <c r="O216" i="1"/>
  <c r="O215" i="1" s="1"/>
  <c r="F216" i="1"/>
  <c r="F215" i="1" s="1"/>
  <c r="G216" i="1"/>
  <c r="G215" i="1" s="1"/>
  <c r="H216" i="1"/>
  <c r="H215" i="1" s="1"/>
  <c r="I216" i="1"/>
  <c r="I215" i="1" s="1"/>
  <c r="E190" i="1"/>
  <c r="E191" i="1"/>
  <c r="D124" i="3" s="1"/>
  <c r="E192" i="1"/>
  <c r="E193" i="1"/>
  <c r="D126" i="3" s="1"/>
  <c r="E194" i="1"/>
  <c r="E195" i="1"/>
  <c r="E196" i="1"/>
  <c r="E197" i="1"/>
  <c r="E198" i="1"/>
  <c r="E199" i="1"/>
  <c r="P199" i="1" s="1"/>
  <c r="E208" i="1"/>
  <c r="E209" i="1"/>
  <c r="P209" i="1" s="1"/>
  <c r="E210" i="1"/>
  <c r="P210" i="1" s="1"/>
  <c r="E213" i="1"/>
  <c r="P213" i="1" s="1"/>
  <c r="E214" i="1"/>
  <c r="E189" i="1"/>
  <c r="K185" i="1"/>
  <c r="L185" i="1"/>
  <c r="M185" i="1"/>
  <c r="N185" i="1"/>
  <c r="O185" i="1"/>
  <c r="F185" i="1"/>
  <c r="G185" i="1"/>
  <c r="H185" i="1"/>
  <c r="I185" i="1"/>
  <c r="E178" i="1"/>
  <c r="D43" i="3" s="1"/>
  <c r="E179" i="1"/>
  <c r="D112" i="3" s="1"/>
  <c r="E180" i="1"/>
  <c r="E181" i="1"/>
  <c r="E182" i="1"/>
  <c r="E183" i="1"/>
  <c r="E177" i="1"/>
  <c r="K175" i="1"/>
  <c r="L175" i="1"/>
  <c r="M175" i="1"/>
  <c r="N175" i="1"/>
  <c r="F175" i="1"/>
  <c r="G175" i="1"/>
  <c r="H175" i="1"/>
  <c r="I175" i="1"/>
  <c r="E173" i="1"/>
  <c r="D89" i="3" s="1"/>
  <c r="E174" i="1"/>
  <c r="D90" i="3" s="1"/>
  <c r="E172" i="1"/>
  <c r="K170" i="1"/>
  <c r="L170" i="1"/>
  <c r="M170" i="1"/>
  <c r="N170" i="1"/>
  <c r="O170" i="1"/>
  <c r="F170" i="1"/>
  <c r="G170" i="1"/>
  <c r="H170" i="1"/>
  <c r="I170" i="1"/>
  <c r="E140" i="1"/>
  <c r="D78" i="3" s="1"/>
  <c r="E141" i="1"/>
  <c r="E142" i="1"/>
  <c r="E144" i="1"/>
  <c r="D82" i="3" s="1"/>
  <c r="E145" i="1"/>
  <c r="E146" i="1"/>
  <c r="D84" i="3" s="1"/>
  <c r="E148" i="1"/>
  <c r="D86" i="3" s="1"/>
  <c r="E150" i="1"/>
  <c r="D88" i="3" s="1"/>
  <c r="E151" i="1"/>
  <c r="D94" i="3" s="1"/>
  <c r="E152" i="1"/>
  <c r="E154" i="1"/>
  <c r="D97" i="3" s="1"/>
  <c r="E156" i="1"/>
  <c r="D99" i="3" s="1"/>
  <c r="E157" i="1"/>
  <c r="D100" i="3" s="1"/>
  <c r="E158" i="1"/>
  <c r="D101" i="3" s="1"/>
  <c r="E159" i="1"/>
  <c r="D102" i="3" s="1"/>
  <c r="E160" i="1"/>
  <c r="E165" i="1"/>
  <c r="E166" i="1"/>
  <c r="E169" i="1"/>
  <c r="E139" i="1"/>
  <c r="L134" i="1"/>
  <c r="M134" i="1"/>
  <c r="N134" i="1"/>
  <c r="F134" i="1"/>
  <c r="G134" i="1"/>
  <c r="H134" i="1"/>
  <c r="I134" i="1"/>
  <c r="E112" i="1"/>
  <c r="E116" i="1"/>
  <c r="E118" i="1"/>
  <c r="D65" i="3" s="1"/>
  <c r="E120" i="1"/>
  <c r="D67" i="3" s="1"/>
  <c r="E122" i="1"/>
  <c r="D69" i="3" s="1"/>
  <c r="E125" i="1"/>
  <c r="D72" i="3" s="1"/>
  <c r="D73" i="3"/>
  <c r="E131" i="1"/>
  <c r="E111" i="1"/>
  <c r="K57" i="1"/>
  <c r="L57" i="1"/>
  <c r="M57" i="1"/>
  <c r="N57" i="1"/>
  <c r="O57" i="1"/>
  <c r="F57" i="1"/>
  <c r="G57" i="1"/>
  <c r="H57" i="1"/>
  <c r="I57" i="1"/>
  <c r="E68" i="1"/>
  <c r="E70" i="1"/>
  <c r="E77" i="1"/>
  <c r="E80" i="1"/>
  <c r="E81" i="1"/>
  <c r="E84" i="1"/>
  <c r="D47" i="3" s="1"/>
  <c r="E85" i="1"/>
  <c r="D48" i="3" s="1"/>
  <c r="E86" i="1"/>
  <c r="D49" i="3" s="1"/>
  <c r="E87" i="1"/>
  <c r="E91" i="1"/>
  <c r="E92" i="1"/>
  <c r="E93" i="1"/>
  <c r="E97" i="1"/>
  <c r="E98" i="1"/>
  <c r="P98" i="1" s="1"/>
  <c r="E67" i="1"/>
  <c r="E22" i="1"/>
  <c r="D21" i="3" s="1"/>
  <c r="E23" i="1"/>
  <c r="E24" i="1"/>
  <c r="E25" i="1"/>
  <c r="D91" i="3" s="1"/>
  <c r="E26" i="1"/>
  <c r="D92" i="3" s="1"/>
  <c r="E27" i="1"/>
  <c r="E28" i="1"/>
  <c r="E29" i="1"/>
  <c r="E30" i="1"/>
  <c r="E31" i="1"/>
  <c r="E32" i="1"/>
  <c r="E33" i="1"/>
  <c r="D117" i="3" s="1"/>
  <c r="E34" i="1"/>
  <c r="D118" i="3" s="1"/>
  <c r="E35" i="1"/>
  <c r="E36" i="1"/>
  <c r="D120" i="3" s="1"/>
  <c r="E37" i="1"/>
  <c r="D121" i="3" s="1"/>
  <c r="E38" i="1"/>
  <c r="D122" i="3" s="1"/>
  <c r="E41" i="1"/>
  <c r="D153" i="3" s="1"/>
  <c r="D151" i="3" s="1"/>
  <c r="E44" i="1"/>
  <c r="E45" i="1"/>
  <c r="E46" i="1"/>
  <c r="E47" i="1"/>
  <c r="D168" i="3" s="1"/>
  <c r="E48" i="1"/>
  <c r="E49" i="1"/>
  <c r="E50" i="1"/>
  <c r="D177" i="3" s="1"/>
  <c r="E51" i="1"/>
  <c r="D178" i="3" s="1"/>
  <c r="E53" i="1"/>
  <c r="E54" i="1"/>
  <c r="E55" i="1"/>
  <c r="D186" i="3" s="1"/>
  <c r="D185" i="3" s="1"/>
  <c r="E21" i="1"/>
  <c r="K18" i="1"/>
  <c r="M18" i="1"/>
  <c r="N18" i="1"/>
  <c r="O18" i="1"/>
  <c r="F18" i="1"/>
  <c r="G18" i="1"/>
  <c r="H18" i="1"/>
  <c r="I18" i="1"/>
  <c r="L18" i="1"/>
  <c r="E58" i="1" l="1"/>
  <c r="D159" i="3"/>
  <c r="D158" i="3" s="1"/>
  <c r="E186" i="1"/>
  <c r="I264" i="1"/>
  <c r="G264" i="1"/>
  <c r="E135" i="1"/>
  <c r="E134" i="1" s="1"/>
  <c r="F264" i="1"/>
  <c r="M264" i="1"/>
  <c r="H264" i="1"/>
  <c r="N264" i="1"/>
  <c r="D20" i="3"/>
  <c r="D19" i="3" s="1"/>
  <c r="E104" i="1"/>
  <c r="E103" i="1" s="1"/>
  <c r="E19" i="1"/>
  <c r="E18" i="1" s="1"/>
  <c r="E57" i="1"/>
  <c r="D197" i="3"/>
  <c r="D196" i="3" s="1"/>
  <c r="D189" i="3" s="1"/>
  <c r="E218" i="1"/>
  <c r="D145" i="3"/>
  <c r="P166" i="1"/>
  <c r="D50" i="3"/>
  <c r="D59" i="3"/>
  <c r="P190" i="1"/>
  <c r="D79" i="3"/>
  <c r="D63" i="3"/>
  <c r="D44" i="3"/>
  <c r="D30" i="3"/>
  <c r="E185" i="1"/>
  <c r="D42" i="3"/>
  <c r="D39" i="3"/>
  <c r="D127" i="3"/>
  <c r="D181" i="3"/>
  <c r="D180" i="3" s="1"/>
  <c r="D128" i="3"/>
  <c r="D169" i="3"/>
  <c r="D32" i="3"/>
  <c r="D131" i="3"/>
  <c r="E255" i="1"/>
  <c r="E254" i="1" s="1"/>
  <c r="D170" i="3"/>
  <c r="P214" i="1"/>
  <c r="D125" i="3"/>
  <c r="E236" i="1"/>
  <c r="E235" i="1" s="1"/>
  <c r="E244" i="1"/>
  <c r="E243" i="1" s="1"/>
  <c r="D129" i="3"/>
  <c r="E176" i="1"/>
  <c r="E175" i="1" s="1"/>
  <c r="E171" i="1"/>
  <c r="E170" i="1" s="1"/>
  <c r="D167" i="3"/>
  <c r="D95" i="3"/>
  <c r="D162" i="3"/>
  <c r="P189" i="1"/>
  <c r="O175" i="1"/>
  <c r="D114" i="3"/>
  <c r="D163" i="3"/>
  <c r="D103" i="3"/>
  <c r="D140" i="3"/>
  <c r="D184" i="3"/>
  <c r="D182" i="3" s="1"/>
  <c r="D115" i="3"/>
  <c r="D113" i="3"/>
  <c r="I43" i="3"/>
  <c r="I22" i="3" s="1"/>
  <c r="J175" i="1"/>
  <c r="D175" i="3"/>
  <c r="D109" i="3"/>
  <c r="D119" i="3"/>
  <c r="D116" i="3" s="1"/>
  <c r="D93" i="3"/>
  <c r="P169" i="1"/>
  <c r="D108" i="3"/>
  <c r="D83" i="3"/>
  <c r="D80" i="3"/>
  <c r="P21" i="1"/>
  <c r="P54" i="1"/>
  <c r="P51" i="1"/>
  <c r="O178" i="3" s="1"/>
  <c r="P49" i="1"/>
  <c r="P47" i="1"/>
  <c r="O168" i="3" s="1"/>
  <c r="P45" i="1"/>
  <c r="P93" i="1"/>
  <c r="P91" i="1"/>
  <c r="P87" i="1"/>
  <c r="P86" i="1"/>
  <c r="O49" i="3" s="1"/>
  <c r="P85" i="1"/>
  <c r="O48" i="3" s="1"/>
  <c r="P80" i="1"/>
  <c r="P77" i="1"/>
  <c r="O39" i="3" s="1"/>
  <c r="P70" i="1"/>
  <c r="O32" i="3" s="1"/>
  <c r="P111" i="1"/>
  <c r="P159" i="1"/>
  <c r="O102" i="3" s="1"/>
  <c r="P157" i="1"/>
  <c r="O100" i="3" s="1"/>
  <c r="P154" i="1"/>
  <c r="O97" i="3" s="1"/>
  <c r="P151" i="1"/>
  <c r="O94" i="3" s="1"/>
  <c r="P148" i="1"/>
  <c r="O86" i="3" s="1"/>
  <c r="P145" i="1"/>
  <c r="P142" i="1"/>
  <c r="P197" i="1"/>
  <c r="P195" i="1"/>
  <c r="P192" i="1"/>
  <c r="O125" i="3" s="1"/>
  <c r="P225" i="1"/>
  <c r="O141" i="3" s="1"/>
  <c r="P263" i="1"/>
  <c r="O191" i="3" s="1"/>
  <c r="O190" i="3" s="1"/>
  <c r="P55" i="1"/>
  <c r="O186" i="3" s="1"/>
  <c r="O185" i="3" s="1"/>
  <c r="P53" i="1"/>
  <c r="P50" i="1"/>
  <c r="O177" i="3" s="1"/>
  <c r="P48" i="1"/>
  <c r="J160" i="3" s="1"/>
  <c r="J132" i="3" s="1"/>
  <c r="P46" i="1"/>
  <c r="O167" i="3" s="1"/>
  <c r="P44" i="1"/>
  <c r="P97" i="1"/>
  <c r="P92" i="1"/>
  <c r="P84" i="1"/>
  <c r="O47" i="3" s="1"/>
  <c r="P81" i="1"/>
  <c r="O44" i="3" s="1"/>
  <c r="P139" i="1"/>
  <c r="P160" i="1"/>
  <c r="P158" i="1"/>
  <c r="O101" i="3" s="1"/>
  <c r="P156" i="1"/>
  <c r="O99" i="3" s="1"/>
  <c r="P152" i="1"/>
  <c r="O95" i="3" s="1"/>
  <c r="P150" i="1"/>
  <c r="O88" i="3" s="1"/>
  <c r="P146" i="1"/>
  <c r="O84" i="3" s="1"/>
  <c r="P144" i="1"/>
  <c r="O82" i="3" s="1"/>
  <c r="P141" i="1"/>
  <c r="P196" i="1"/>
  <c r="P194" i="1"/>
  <c r="P193" i="1"/>
  <c r="O126" i="3" s="1"/>
  <c r="P226" i="1"/>
  <c r="O142" i="3" s="1"/>
  <c r="P256" i="1"/>
  <c r="J185" i="1"/>
  <c r="P208" i="1"/>
  <c r="P237" i="1"/>
  <c r="P238" i="1"/>
  <c r="P248" i="1"/>
  <c r="O165" i="3" s="1"/>
  <c r="J243" i="1"/>
  <c r="P260" i="1"/>
  <c r="P257" i="1"/>
  <c r="P174" i="1"/>
  <c r="O90" i="3" s="1"/>
  <c r="P173" i="1"/>
  <c r="O89" i="3" s="1"/>
  <c r="P41" i="1"/>
  <c r="O153" i="3" s="1"/>
  <c r="O151" i="3" s="1"/>
  <c r="P35" i="1"/>
  <c r="P33" i="1"/>
  <c r="O117" i="3" s="1"/>
  <c r="P31" i="1"/>
  <c r="P29" i="1"/>
  <c r="P27" i="1"/>
  <c r="P25" i="1"/>
  <c r="O91" i="3" s="1"/>
  <c r="P23" i="1"/>
  <c r="P177" i="1"/>
  <c r="P232" i="1"/>
  <c r="P242" i="1"/>
  <c r="P241" i="1" s="1"/>
  <c r="P240" i="1" s="1"/>
  <c r="P249" i="1"/>
  <c r="O166" i="3" s="1"/>
  <c r="P247" i="1"/>
  <c r="P246" i="1"/>
  <c r="O137" i="3" s="1"/>
  <c r="O136" i="3" s="1"/>
  <c r="P250" i="1"/>
  <c r="P198" i="1"/>
  <c r="P38" i="1"/>
  <c r="O122" i="3" s="1"/>
  <c r="P36" i="1"/>
  <c r="O120" i="3" s="1"/>
  <c r="P34" i="1"/>
  <c r="O118" i="3" s="1"/>
  <c r="P32" i="1"/>
  <c r="P28" i="1"/>
  <c r="P26" i="1"/>
  <c r="O92" i="3" s="1"/>
  <c r="P24" i="1"/>
  <c r="P131" i="1"/>
  <c r="P126" i="1"/>
  <c r="O73" i="3" s="1"/>
  <c r="P125" i="1"/>
  <c r="O72" i="3" s="1"/>
  <c r="P122" i="1"/>
  <c r="O69" i="3" s="1"/>
  <c r="P120" i="1"/>
  <c r="O67" i="3" s="1"/>
  <c r="P118" i="1"/>
  <c r="O65" i="3" s="1"/>
  <c r="P116" i="1"/>
  <c r="P112" i="1"/>
  <c r="J170" i="1"/>
  <c r="P182" i="1"/>
  <c r="P183" i="1"/>
  <c r="P179" i="1"/>
  <c r="P228" i="1"/>
  <c r="O145" i="3" s="1"/>
  <c r="P224" i="1"/>
  <c r="P22" i="1"/>
  <c r="O21" i="3" s="1"/>
  <c r="P30" i="1"/>
  <c r="P191" i="1"/>
  <c r="O124" i="3" s="1"/>
  <c r="P239" i="1"/>
  <c r="P37" i="1"/>
  <c r="O121" i="3" s="1"/>
  <c r="P68" i="1"/>
  <c r="O30" i="3" s="1"/>
  <c r="P172" i="1"/>
  <c r="P181" i="1"/>
  <c r="P180" i="1"/>
  <c r="P258" i="1"/>
  <c r="P221" i="1"/>
  <c r="P219" i="1" s="1"/>
  <c r="P222" i="1"/>
  <c r="P261" i="1"/>
  <c r="O187" i="3" s="1"/>
  <c r="J254" i="1"/>
  <c r="J57" i="1"/>
  <c r="P245" i="1"/>
  <c r="P217" i="1"/>
  <c r="P216" i="1" s="1"/>
  <c r="P215" i="1" s="1"/>
  <c r="P67" i="1"/>
  <c r="P58" i="1" s="1"/>
  <c r="J18" i="1"/>
  <c r="P165" i="1"/>
  <c r="P178" i="1"/>
  <c r="O43" i="3" s="1"/>
  <c r="D22" i="3" l="1"/>
  <c r="O159" i="3"/>
  <c r="O158" i="3" s="1"/>
  <c r="P186" i="1"/>
  <c r="D74" i="3"/>
  <c r="O20" i="3"/>
  <c r="O19" i="3" s="1"/>
  <c r="E264" i="1"/>
  <c r="D138" i="3"/>
  <c r="P104" i="1"/>
  <c r="R30" i="1"/>
  <c r="O112" i="3"/>
  <c r="R177" i="1"/>
  <c r="O197" i="3"/>
  <c r="O196" i="3" s="1"/>
  <c r="O189" i="3" s="1"/>
  <c r="P57" i="1"/>
  <c r="P103" i="1"/>
  <c r="P19" i="1"/>
  <c r="O50" i="3"/>
  <c r="O103" i="3"/>
  <c r="O59" i="3"/>
  <c r="D54" i="3"/>
  <c r="O79" i="3"/>
  <c r="O63" i="3"/>
  <c r="O42" i="3"/>
  <c r="O22" i="3" s="1"/>
  <c r="O127" i="3"/>
  <c r="O181" i="3"/>
  <c r="O180" i="3" s="1"/>
  <c r="O128" i="3"/>
  <c r="O169" i="3"/>
  <c r="O170" i="3"/>
  <c r="O131" i="3"/>
  <c r="D123" i="3"/>
  <c r="P255" i="1"/>
  <c r="P244" i="1"/>
  <c r="P236" i="1"/>
  <c r="P176" i="1"/>
  <c r="P171" i="1"/>
  <c r="O140" i="3"/>
  <c r="O138" i="3" s="1"/>
  <c r="D160" i="3"/>
  <c r="O108" i="3"/>
  <c r="D173" i="3"/>
  <c r="D111" i="3"/>
  <c r="O162" i="3"/>
  <c r="O184" i="3"/>
  <c r="O182" i="3" s="1"/>
  <c r="O175" i="3"/>
  <c r="O129" i="3"/>
  <c r="O115" i="3"/>
  <c r="O114" i="3"/>
  <c r="O109" i="3"/>
  <c r="O83" i="3"/>
  <c r="O119" i="3"/>
  <c r="O116" i="3" s="1"/>
  <c r="O113" i="3"/>
  <c r="O163" i="3"/>
  <c r="O80" i="3"/>
  <c r="O93" i="3"/>
  <c r="L218" i="1"/>
  <c r="D132" i="3" l="1"/>
  <c r="D199" i="3" s="1"/>
  <c r="L264" i="1"/>
  <c r="O54" i="3"/>
  <c r="O173" i="3"/>
  <c r="O160" i="3"/>
  <c r="O111" i="3"/>
  <c r="P223" i="1"/>
  <c r="J218" i="1"/>
  <c r="O132" i="3" l="1"/>
  <c r="O130" i="3"/>
  <c r="O123" i="3" s="1"/>
  <c r="O140" i="1" l="1"/>
  <c r="K140" i="1"/>
  <c r="J78" i="3" l="1"/>
  <c r="J74" i="3" s="1"/>
  <c r="K134" i="1"/>
  <c r="K264" i="1" s="1"/>
  <c r="N78" i="3"/>
  <c r="N74" i="3" s="1"/>
  <c r="O134" i="1"/>
  <c r="O264" i="1" s="1"/>
  <c r="J140" i="1"/>
  <c r="J135" i="1" s="1"/>
  <c r="N199" i="3" l="1"/>
  <c r="J199" i="3"/>
  <c r="I78" i="3"/>
  <c r="I74" i="3" s="1"/>
  <c r="P140" i="1"/>
  <c r="P135" i="1" s="1"/>
  <c r="P18" i="1"/>
  <c r="P235" i="1"/>
  <c r="P254" i="1"/>
  <c r="I199" i="3" l="1"/>
  <c r="O78" i="3"/>
  <c r="O74" i="3" s="1"/>
  <c r="P134" i="1"/>
  <c r="J134" i="1"/>
  <c r="J264" i="1" s="1"/>
  <c r="P243" i="1"/>
  <c r="P218" i="1"/>
  <c r="P185" i="1"/>
  <c r="P175" i="1"/>
  <c r="P170" i="1"/>
  <c r="P264" i="1" l="1"/>
  <c r="O199" i="3"/>
  <c r="C51" i="1" l="1"/>
  <c r="C258" i="1" l="1"/>
  <c r="D258" i="1"/>
  <c r="B258" i="1"/>
  <c r="C209" i="1"/>
  <c r="D209" i="1"/>
  <c r="B209" i="1"/>
  <c r="C144" i="1" l="1"/>
  <c r="D144" i="1"/>
  <c r="B144" i="1"/>
  <c r="C30" i="1"/>
  <c r="D30" i="1"/>
  <c r="B30" i="1"/>
  <c r="C92" i="1"/>
  <c r="B92" i="1"/>
  <c r="B122" i="1"/>
  <c r="C122" i="1"/>
  <c r="D122" i="1"/>
  <c r="B152" i="1"/>
  <c r="C152" i="1"/>
  <c r="D152" i="1"/>
  <c r="B154" i="1"/>
  <c r="C154" i="1"/>
  <c r="D154" i="1"/>
  <c r="C148" i="1"/>
  <c r="D148" i="1"/>
  <c r="B148" i="1"/>
  <c r="C239" i="1"/>
  <c r="B239" i="1"/>
  <c r="C238" i="1"/>
  <c r="D238" i="1"/>
  <c r="B238" i="1"/>
  <c r="D126" i="1"/>
  <c r="C126" i="1"/>
  <c r="B126" i="1"/>
  <c r="C125" i="1"/>
  <c r="D125" i="1"/>
  <c r="B125" i="1"/>
  <c r="C48" i="1"/>
  <c r="B48" i="1"/>
  <c r="C169" i="1"/>
  <c r="B169" i="1"/>
  <c r="C165" i="1"/>
  <c r="D165" i="1"/>
  <c r="C166" i="1"/>
  <c r="B166" i="1"/>
  <c r="B165" i="1"/>
  <c r="C160" i="1"/>
  <c r="D160" i="1"/>
  <c r="B160" i="1"/>
  <c r="C159" i="1"/>
  <c r="D159" i="1"/>
  <c r="B159" i="1"/>
  <c r="C158" i="1"/>
  <c r="D158" i="1"/>
  <c r="B158" i="1"/>
  <c r="C157" i="1"/>
  <c r="D157" i="1"/>
  <c r="B157" i="1"/>
  <c r="C156" i="1"/>
  <c r="D156" i="1"/>
  <c r="B156" i="1"/>
  <c r="C151" i="1"/>
  <c r="D151" i="1"/>
  <c r="B151" i="1"/>
  <c r="C150" i="1"/>
  <c r="D150" i="1"/>
  <c r="B150" i="1"/>
  <c r="C146" i="1"/>
  <c r="D146" i="1"/>
  <c r="B146" i="1"/>
  <c r="C145" i="1"/>
  <c r="D145" i="1"/>
  <c r="B145" i="1"/>
  <c r="C142" i="1"/>
  <c r="D142" i="1"/>
  <c r="B142" i="1"/>
  <c r="C141" i="1"/>
  <c r="B141" i="1"/>
  <c r="C140" i="1"/>
  <c r="D140" i="1"/>
  <c r="B140" i="1"/>
  <c r="C131" i="1"/>
  <c r="B131" i="1"/>
  <c r="C120" i="1"/>
  <c r="D120" i="1"/>
  <c r="B120" i="1"/>
  <c r="C118" i="1"/>
  <c r="D118" i="1"/>
  <c r="B118" i="1"/>
  <c r="C116" i="1"/>
  <c r="B116" i="1"/>
  <c r="C112" i="1"/>
  <c r="B112" i="1"/>
  <c r="C98" i="1"/>
  <c r="D98" i="1"/>
  <c r="B98" i="1"/>
  <c r="C97" i="1"/>
  <c r="B97" i="1"/>
  <c r="C93" i="1"/>
  <c r="D93" i="1"/>
  <c r="B93" i="1"/>
  <c r="D91" i="1"/>
  <c r="C91" i="1"/>
  <c r="B91" i="1"/>
  <c r="C85" i="1"/>
  <c r="C86" i="1"/>
  <c r="D86" i="1"/>
  <c r="B86" i="1"/>
  <c r="B85" i="1"/>
  <c r="C84" i="1"/>
  <c r="D84" i="1"/>
  <c r="B84" i="1"/>
  <c r="C81" i="1"/>
  <c r="D81" i="1"/>
  <c r="B81" i="1"/>
  <c r="C80" i="1"/>
  <c r="D80" i="1"/>
  <c r="B80" i="1"/>
  <c r="C77" i="1"/>
  <c r="D77" i="1"/>
  <c r="B77" i="1"/>
  <c r="C70" i="1"/>
  <c r="D70" i="1"/>
  <c r="B70" i="1"/>
  <c r="C68" i="1"/>
  <c r="B68" i="1"/>
  <c r="C55" i="1"/>
  <c r="D55" i="1"/>
  <c r="B55" i="1"/>
  <c r="C54" i="1"/>
  <c r="D54" i="1"/>
  <c r="B54" i="1"/>
  <c r="C53" i="1"/>
  <c r="D53" i="1"/>
  <c r="B53" i="1"/>
  <c r="D51" i="1"/>
  <c r="B51" i="1"/>
  <c r="C50" i="1"/>
  <c r="D50" i="1"/>
  <c r="B50" i="1"/>
  <c r="C49" i="1"/>
  <c r="D49" i="1"/>
  <c r="B49" i="1"/>
  <c r="C47" i="1"/>
  <c r="D47" i="1"/>
  <c r="B47" i="1"/>
  <c r="C46" i="1"/>
  <c r="D46" i="1"/>
  <c r="B46" i="1"/>
  <c r="C45" i="1"/>
  <c r="D45" i="1"/>
  <c r="B45" i="1"/>
  <c r="C44" i="1"/>
  <c r="B44" i="1"/>
  <c r="C41" i="1"/>
  <c r="D41" i="1"/>
  <c r="B41" i="1"/>
  <c r="C28" i="1"/>
  <c r="D28" i="1"/>
  <c r="C29" i="1"/>
  <c r="B29" i="1"/>
  <c r="B28" i="1"/>
  <c r="C31" i="1"/>
  <c r="D31" i="1"/>
  <c r="C32" i="1"/>
  <c r="D32" i="1"/>
  <c r="B32" i="1"/>
  <c r="B31" i="1"/>
  <c r="C38" i="1"/>
  <c r="D38" i="1"/>
  <c r="B38" i="1"/>
  <c r="C37" i="1"/>
  <c r="D37" i="1"/>
  <c r="B37" i="1"/>
  <c r="C36" i="1"/>
  <c r="D36" i="1"/>
  <c r="B36" i="1"/>
  <c r="C35" i="1"/>
  <c r="D35" i="1"/>
  <c r="B35" i="1"/>
  <c r="C34" i="1"/>
  <c r="D34" i="1"/>
  <c r="B34" i="1"/>
  <c r="C33" i="1"/>
  <c r="D33" i="1"/>
  <c r="B33" i="1"/>
  <c r="C27" i="1"/>
  <c r="B27" i="1"/>
  <c r="C26" i="1"/>
  <c r="D26" i="1"/>
  <c r="B26" i="1"/>
  <c r="C25" i="1"/>
  <c r="D25" i="1"/>
  <c r="B25" i="1"/>
  <c r="C24" i="1"/>
  <c r="D24" i="1"/>
  <c r="B24" i="1"/>
  <c r="C23" i="1"/>
  <c r="B23" i="1"/>
  <c r="C22" i="1"/>
  <c r="D22" i="1"/>
  <c r="B22" i="1"/>
  <c r="D174" i="1"/>
  <c r="C174" i="1"/>
  <c r="B174" i="1"/>
  <c r="C178" i="1"/>
  <c r="D178" i="1"/>
  <c r="B178" i="1"/>
  <c r="C179" i="1"/>
  <c r="D179" i="1"/>
  <c r="B179" i="1"/>
  <c r="C181" i="1"/>
  <c r="D181" i="1"/>
  <c r="C182" i="1"/>
  <c r="D182" i="1"/>
  <c r="B182" i="1"/>
  <c r="B181" i="1"/>
  <c r="C183" i="1"/>
  <c r="B183" i="1"/>
  <c r="C190" i="1"/>
  <c r="D190" i="1"/>
  <c r="B190" i="1"/>
  <c r="C194" i="1"/>
  <c r="D194" i="1"/>
  <c r="B194" i="1"/>
  <c r="C193" i="1"/>
  <c r="D193" i="1"/>
  <c r="B193" i="1"/>
  <c r="C192" i="1"/>
  <c r="D192" i="1"/>
  <c r="B192" i="1"/>
  <c r="C191" i="1"/>
  <c r="D191" i="1"/>
  <c r="B191" i="1"/>
  <c r="C195" i="1"/>
  <c r="D195" i="1"/>
  <c r="B195" i="1"/>
  <c r="C196" i="1"/>
  <c r="D196" i="1"/>
  <c r="B196" i="1"/>
  <c r="C197" i="1"/>
  <c r="D197" i="1"/>
  <c r="B197" i="1"/>
  <c r="C198" i="1"/>
  <c r="D198" i="1"/>
  <c r="B198" i="1"/>
  <c r="C199" i="1"/>
  <c r="D199" i="1"/>
  <c r="B199" i="1"/>
  <c r="C208" i="1"/>
  <c r="B208" i="1"/>
  <c r="C213" i="1"/>
  <c r="D213" i="1"/>
  <c r="B213" i="1"/>
  <c r="C214" i="1"/>
  <c r="B214" i="1"/>
  <c r="C222" i="1"/>
  <c r="D222" i="1"/>
  <c r="B222" i="1"/>
  <c r="C223" i="1"/>
  <c r="D223" i="1"/>
  <c r="B223" i="1"/>
  <c r="C224" i="1"/>
  <c r="D224" i="1"/>
  <c r="B224" i="1"/>
  <c r="C226" i="1"/>
  <c r="D226" i="1"/>
  <c r="B226" i="1"/>
  <c r="C225" i="1"/>
  <c r="D225" i="1"/>
  <c r="B225" i="1"/>
  <c r="C228" i="1"/>
  <c r="D228" i="1"/>
  <c r="B228" i="1"/>
  <c r="C232" i="1"/>
  <c r="B232" i="1"/>
  <c r="C246" i="1"/>
  <c r="D246" i="1"/>
  <c r="B246" i="1"/>
  <c r="C247" i="1"/>
  <c r="D247" i="1"/>
  <c r="B247" i="1"/>
  <c r="C248" i="1"/>
  <c r="D248" i="1"/>
  <c r="B248" i="1"/>
  <c r="C249" i="1"/>
  <c r="D249" i="1"/>
  <c r="B249" i="1"/>
  <c r="C250" i="1"/>
  <c r="D250" i="1"/>
  <c r="B250" i="1"/>
  <c r="C257" i="1"/>
  <c r="B257" i="1"/>
  <c r="C260" i="1"/>
  <c r="D260" i="1"/>
  <c r="B260" i="1"/>
  <c r="C261" i="1"/>
  <c r="D261" i="1"/>
  <c r="B261" i="1"/>
  <c r="C262" i="1"/>
  <c r="D262" i="1"/>
  <c r="B262" i="1"/>
  <c r="C263" i="1"/>
  <c r="D263" i="1"/>
  <c r="B263" i="1"/>
  <c r="C256" i="1"/>
  <c r="B256" i="1"/>
  <c r="C245" i="1"/>
  <c r="B245" i="1"/>
  <c r="C242" i="1"/>
  <c r="B242" i="1"/>
  <c r="C237" i="1"/>
  <c r="B237" i="1"/>
  <c r="C221" i="1"/>
  <c r="B221" i="1"/>
  <c r="C217" i="1"/>
  <c r="B217" i="1"/>
  <c r="C189" i="1"/>
  <c r="B189" i="1"/>
  <c r="C177" i="1"/>
  <c r="B177" i="1"/>
  <c r="C172" i="1"/>
  <c r="B172" i="1"/>
  <c r="C139" i="1"/>
  <c r="B139" i="1"/>
  <c r="C111" i="1"/>
  <c r="B111" i="1"/>
  <c r="C67" i="1"/>
  <c r="B67" i="1"/>
  <c r="C21" i="1"/>
  <c r="B21" i="1"/>
  <c r="D256" i="1"/>
  <c r="D245" i="1"/>
  <c r="D242" i="1"/>
  <c r="D237" i="1"/>
  <c r="D221" i="1"/>
  <c r="D217" i="1"/>
  <c r="D189" i="1"/>
  <c r="D177" i="1"/>
  <c r="D172" i="1"/>
  <c r="D139" i="1"/>
  <c r="D111" i="1"/>
  <c r="D67" i="1"/>
  <c r="D21" i="1"/>
  <c r="E56" i="3" l="1"/>
  <c r="E75" i="3" l="1"/>
  <c r="E202" i="3" s="1"/>
  <c r="D56" i="3" l="1"/>
  <c r="I56" i="3"/>
  <c r="O56" i="3" l="1"/>
  <c r="D57" i="3" l="1"/>
  <c r="D58" i="3"/>
  <c r="D55" i="3" l="1"/>
  <c r="I58" i="3"/>
  <c r="I57" i="3"/>
  <c r="O58" i="3"/>
  <c r="D75" i="3" l="1"/>
  <c r="O57" i="3"/>
  <c r="I55" i="3"/>
  <c r="O55" i="3" l="1"/>
  <c r="I75" i="3"/>
  <c r="O75" i="3" l="1"/>
  <c r="I152" i="3"/>
  <c r="I134" i="3" s="1"/>
  <c r="I202" i="3" s="1"/>
  <c r="D152" i="3"/>
  <c r="D134" i="3" s="1"/>
  <c r="D202" i="3" s="1"/>
  <c r="O152" i="3" l="1"/>
  <c r="O134" i="3" s="1"/>
  <c r="O202" i="3" s="1"/>
  <c r="D139" i="3" l="1"/>
  <c r="D133" i="3" s="1"/>
  <c r="D200" i="3" s="1"/>
  <c r="I139" i="3" l="1"/>
  <c r="I133" i="3" s="1"/>
  <c r="I200" i="3" s="1"/>
  <c r="O139" i="3"/>
  <c r="O133" i="3" s="1"/>
  <c r="O200" i="3" s="1"/>
</calcChain>
</file>

<file path=xl/sharedStrings.xml><?xml version="1.0" encoding="utf-8"?>
<sst xmlns="http://schemas.openxmlformats.org/spreadsheetml/2006/main" count="775" uniqueCount="528">
  <si>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</si>
  <si>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</si>
  <si>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</si>
  <si>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</si>
  <si>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</si>
  <si>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</si>
  <si>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</si>
  <si>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</si>
  <si>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</si>
  <si>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</si>
  <si>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</si>
  <si>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</si>
  <si>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</si>
  <si>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</si>
  <si>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</si>
  <si>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</si>
  <si>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</si>
  <si>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</si>
  <si>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</si>
  <si>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</si>
  <si>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</si>
  <si>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</si>
  <si>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</si>
  <si>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</si>
  <si>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</si>
  <si>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</si>
  <si>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</si>
  <si>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</si>
  <si>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</si>
  <si>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</si>
  <si>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</si>
  <si>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</si>
  <si>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</si>
  <si>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</si>
  <si>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</si>
  <si>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</si>
  <si>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</si>
  <si>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</si>
  <si>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</si>
  <si>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</si>
  <si>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</si>
  <si>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</si>
  <si>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</si>
  <si>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</si>
  <si>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</si>
  <si>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</si>
  <si>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</si>
  <si>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</si>
  <si>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</si>
  <si>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</si>
  <si>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</si>
  <si>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</si>
  <si>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</si>
  <si>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</si>
  <si>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</si>
  <si>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</si>
  <si>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</si>
  <si>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</si>
  <si>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</si>
  <si>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</si>
  <si>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</si>
  <si>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</si>
  <si>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</si>
  <si>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</si>
  <si>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</si>
  <si>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</si>
  <si>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</si>
  <si>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</si>
  <si>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</si>
  <si>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</si>
  <si>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</si>
  <si>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</si>
  <si>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</si>
  <si>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</si>
  <si>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</si>
  <si>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</si>
  <si>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</si>
  <si>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</si>
  <si>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</si>
  <si>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</si>
  <si>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</si>
  <si>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</si>
  <si>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</si>
  <si>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</si>
  <si>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</si>
  <si>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</si>
  <si>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</si>
  <si>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</si>
  <si>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</si>
  <si>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</si>
  <si>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</si>
  <si>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</si>
  <si>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</si>
  <si>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</si>
  <si>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</si>
  <si>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</si>
  <si>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</si>
  <si>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</si>
  <si>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</si>
  <si>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</si>
  <si>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</si>
  <si>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</si>
  <si>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</si>
  <si>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</si>
  <si>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</si>
  <si>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</si>
  <si>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</si>
  <si>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</si>
  <si>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</si>
  <si>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</si>
  <si>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</si>
  <si>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</si>
  <si>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</si>
  <si>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</si>
  <si>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</si>
  <si>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</si>
  <si>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</si>
  <si>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</si>
  <si>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</si>
  <si>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</si>
  <si>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</si>
  <si>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</si>
  <si>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</si>
  <si>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</si>
  <si>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</si>
  <si>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</si>
  <si>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</si>
  <si>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</si>
  <si>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</si>
  <si>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1150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</si>
  <si>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</si>
  <si>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</si>
  <si>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</si>
  <si>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</si>
  <si>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</si>
  <si>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</si>
  <si>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</si>
  <si>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</si>
  <si>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</si>
  <si>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</si>
  <si>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</si>
  <si>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</si>
  <si>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</si>
  <si>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</si>
  <si>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</si>
  <si>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</si>
  <si>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</si>
  <si>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</si>
  <si>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</si>
  <si>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</si>
  <si>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</si>
  <si>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</si>
  <si>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</si>
  <si>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</si>
  <si>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</si>
  <si>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</si>
  <si>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</si>
  <si>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</si>
  <si>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</si>
  <si>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</si>
  <si>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</si>
  <si>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</si>
  <si>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</si>
  <si>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</si>
  <si>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</si>
  <si>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</si>
  <si>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</si>
  <si>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</si>
  <si>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</si>
  <si>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</si>
  <si>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</si>
  <si>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</si>
  <si>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</si>
  <si>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</si>
  <si>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</si>
  <si>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</si>
  <si>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</si>
  <si>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</si>
  <si>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</si>
  <si>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</si>
  <si>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</si>
  <si>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</si>
  <si>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</si>
  <si>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</si>
  <si>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</si>
  <si>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</si>
  <si>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</si>
  <si>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</si>
  <si>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</si>
  <si>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</si>
  <si>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</si>
  <si>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</si>
  <si>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</si>
  <si>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</si>
  <si>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</si>
  <si>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</si>
  <si>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</si>
  <si>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</si>
  <si>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</si>
  <si>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</si>
  <si>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</si>
  <si>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</si>
  <si>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</si>
  <si>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</si>
  <si>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</si>
  <si>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</si>
  <si>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</si>
  <si>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</si>
  <si>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</si>
  <si>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</si>
  <si>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</si>
  <si>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</si>
  <si>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</si>
  <si>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</si>
  <si>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</si>
  <si>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</si>
  <si>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</si>
  <si>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</si>
  <si>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</si>
  <si>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</si>
  <si>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</si>
  <si>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</si>
  <si>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</si>
  <si>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</si>
  <si>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</si>
  <si>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</si>
  <si>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</si>
  <si>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</si>
  <si>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</si>
  <si>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</si>
  <si>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</si>
  <si>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</si>
  <si>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</si>
  <si>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</si>
  <si>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</si>
  <si>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</si>
  <si>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</si>
  <si>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</si>
  <si>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</si>
  <si>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</si>
  <si>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</si>
  <si>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</si>
  <si>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</si>
  <si>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</si>
  <si>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</si>
  <si>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</si>
  <si>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</si>
  <si>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</si>
  <si>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</si>
  <si>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</si>
  <si>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</si>
  <si>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</si>
  <si>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</si>
  <si>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</si>
  <si>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</si>
  <si>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</si>
  <si>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</si>
  <si>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</si>
  <si>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</si>
  <si>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</si>
  <si>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</si>
  <si>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</si>
  <si>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</si>
  <si>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</si>
  <si>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</si>
  <si>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</si>
  <si>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</si>
  <si>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</si>
  <si>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</si>
  <si>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</si>
  <si>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</si>
  <si>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</si>
  <si>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</si>
  <si>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</si>
  <si>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</si>
  <si>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</si>
  <si>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</si>
  <si>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</si>
  <si>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</si>
  <si>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</si>
  <si>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</si>
  <si>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</si>
  <si>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</si>
  <si>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</si>
  <si>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</si>
  <si>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</si>
  <si>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</si>
  <si>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</si>
  <si>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</si>
  <si>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</si>
  <si>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</si>
  <si>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</si>
  <si>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</si>
  <si>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</si>
  <si>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</si>
  <si>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</si>
  <si>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</si>
  <si>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</si>
  <si>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</si>
  <si>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</si>
  <si>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</si>
  <si>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</si>
  <si>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</si>
  <si>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</si>
  <si>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</si>
  <si>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</si>
  <si>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</si>
  <si>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</si>
  <si>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</si>
  <si>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</si>
  <si>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</si>
  <si>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</si>
  <si>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</si>
  <si>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</si>
  <si>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</si>
  <si>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</si>
  <si>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</si>
  <si>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</si>
  <si>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</si>
  <si>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</si>
  <si>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</si>
  <si>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</si>
  <si>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</si>
  <si>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</si>
  <si>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</si>
  <si>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</si>
  <si>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</si>
  <si>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</si>
  <si>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</si>
  <si>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</si>
  <si>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</si>
  <si>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</si>
  <si>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</si>
  <si>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</si>
  <si>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</si>
  <si>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</si>
  <si>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</si>
  <si>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</si>
  <si>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0813191</t>
  </si>
  <si>
    <t>0813192</t>
  </si>
  <si>
    <t>0813210</t>
  </si>
  <si>
    <t>1616090</t>
  </si>
  <si>
    <t>0640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</si>
  <si>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</si>
  <si>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</si>
  <si>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</si>
  <si>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</si>
  <si>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</si>
  <si>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</si>
  <si>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0613242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</si>
  <si>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</si>
  <si>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</si>
  <si>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</si>
  <si>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</si>
  <si>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</si>
  <si>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</si>
  <si>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</si>
  <si>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</si>
  <si>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</si>
  <si>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</si>
  <si>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</si>
  <si>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</si>
  <si>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</si>
  <si>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</si>
  <si>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Будівництво інших об'єктів комунальної власності</t>
  </si>
  <si>
    <t>1170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</si>
  <si>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</si>
  <si>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</si>
  <si>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</si>
  <si>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0611170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</si>
  <si>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</si>
  <si>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</si>
  <si>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</si>
  <si>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</si>
  <si>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</si>
  <si>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</si>
  <si>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</si>
  <si>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</si>
  <si>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</si>
  <si>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</si>
  <si>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</si>
  <si>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</si>
  <si>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</si>
  <si>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</si>
  <si>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</si>
  <si>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</si>
  <si>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</si>
  <si>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</si>
  <si>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</si>
  <si>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</si>
  <si>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</si>
  <si>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</si>
  <si>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 xml:space="preserve">РОЗПОДІЛ
видатків бюджету Сумської міської об'єднаної територіальної громади на 2020 рік за головними розпорядниками бюджетних коштів </t>
  </si>
  <si>
    <t>0215032</t>
  </si>
  <si>
    <t>(грн)</t>
  </si>
  <si>
    <t>1517325</t>
  </si>
  <si>
    <t>Будівництво споруд, установ та закладів фізичної культури і спорту</t>
  </si>
  <si>
    <t>Надання пільг окремим категоріям громадян з оплати послуг зв'язку</t>
  </si>
  <si>
    <t>(18531000000)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</si>
  <si>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</si>
  <si>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</si>
  <si>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</si>
  <si>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</si>
  <si>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</si>
  <si>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</si>
  <si>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</si>
  <si>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</si>
  <si>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РОЗПОДІЛ
видатків бюджету Сумської міської об'єднаної територіальної громади на 2020 рік за програмною класифікацією видатків та кредитування місцевого бюджету</t>
  </si>
  <si>
    <t>1517363</t>
  </si>
  <si>
    <t>0617363</t>
  </si>
  <si>
    <t>0619800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</si>
  <si>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</si>
  <si>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</si>
  <si>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</si>
  <si>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9800</t>
  </si>
  <si>
    <t xml:space="preserve"> код бюджету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</si>
  <si>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</si>
  <si>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</si>
  <si>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</si>
  <si>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</si>
  <si>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 xml:space="preserve">                   Додаток № 3</t>
  </si>
  <si>
    <t>1217462</t>
  </si>
  <si>
    <t>до    рішення    Сумської    міської     ради</t>
  </si>
  <si>
    <t xml:space="preserve">«Про     внесення      змін      до     рішення </t>
  </si>
  <si>
    <t xml:space="preserve">Сумської               міської                    ради  </t>
  </si>
  <si>
    <t xml:space="preserve">від  24   грудня  2019   року  №  6248 - МР           </t>
  </si>
  <si>
    <t>Сумський міський голова</t>
  </si>
  <si>
    <t>О.М. Лисенко</t>
  </si>
  <si>
    <t xml:space="preserve"> __________________</t>
  </si>
  <si>
    <t>(зі змінами)»</t>
  </si>
  <si>
    <t xml:space="preserve">«Про бюджет Сумської міської об'єднаної 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</si>
  <si>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</si>
  <si>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</si>
  <si>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</si>
  <si>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</si>
  <si>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</si>
  <si>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 xml:space="preserve">                        Додаток № 3</t>
  </si>
  <si>
    <t>1218110</t>
  </si>
  <si>
    <t xml:space="preserve">територіальної   громади    на   2020   рік»  </t>
  </si>
  <si>
    <t>0617321</t>
  </si>
  <si>
    <t xml:space="preserve">територіальної   громади    на    2020   рік» </t>
  </si>
  <si>
    <t xml:space="preserve">    код бюджету</t>
  </si>
  <si>
    <t>0219800</t>
  </si>
  <si>
    <t xml:space="preserve">від  24   грудня   2019   року  №  6248 - МР           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</si>
  <si>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</si>
  <si>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</si>
  <si>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</si>
  <si>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</si>
  <si>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</si>
  <si>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</si>
  <si>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</si>
  <si>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</si>
  <si>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</si>
  <si>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</si>
  <si>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</si>
  <si>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</si>
  <si>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</si>
  <si>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</si>
  <si>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</si>
  <si>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</si>
  <si>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</si>
  <si>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</si>
  <si>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Відділ охорони здоров’я Сумської міської ради, у т.ч. за рахунок: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</si>
  <si>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</si>
  <si>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</si>
  <si>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</si>
  <si>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</si>
  <si>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дотації з місцевих бюджетів іншим місцевим бюджетам</t>
  </si>
  <si>
    <t>субвенцій з місцевих бюджетів іншим місцевим бюджетам</t>
  </si>
  <si>
    <t>Освіта, у т.ч. за рахунок:</t>
  </si>
  <si>
    <t>Надання дошкільної освіти,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</si>
  <si>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</si>
  <si>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</si>
  <si>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Підготовка кадрів закладами професійної (професійно-технічної) освіти та іншими закладами освіти, у т.ч. за рахунок:</t>
  </si>
  <si>
    <t>Забезпечення діяльності інклюзивно-ресурсних центрів, у т.ч. за рахунок:</t>
  </si>
  <si>
    <t>Охорона здоров’я, у т.ч. за рахунок:</t>
  </si>
  <si>
    <t>Багатопрофільна стаціонарна медична допомога населенню, у т.ч. за рахунок:</t>
  </si>
  <si>
    <t>Лікарсько-акушерська допомога вагітним, породіллям та новонародженим, у т.ч. за рахунок:</t>
  </si>
  <si>
    <t>Стоматологічна допомога населенню, у т.ч. за рахунок:</t>
  </si>
  <si>
    <t>Первинна медична допомога населенню, що надається центрами первинної медичної (медико-санітарної) допомоги, у т.ч. за рахунок:</t>
  </si>
  <si>
    <t>Централізовані заходи з лікування хворих на цукровий та нецукровий діабет, у т.ч. за рахунок:</t>
  </si>
  <si>
    <t>Соціальний захист та соціальне забезпечення,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</si>
  <si>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</si>
  <si>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</si>
  <si>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Інші заходи у сфері соціального захисту і соціального забезпечення, у т.ч. за рахунок:</t>
  </si>
  <si>
    <t>Економічна діяльність, у т.ч. за рахунок:</t>
  </si>
  <si>
    <t>Будівництво та регіональний розвиток, у т.ч. за рахунок:</t>
  </si>
  <si>
    <t>Транспорт та транспортна інфраструктура, дорожнє господарство, у т.ч. за рахунок:</t>
  </si>
  <si>
    <t>Інша діяльність, у т.ч. за рахунок:</t>
  </si>
  <si>
    <t>Всього видатків, у т.ч. за рахунок:</t>
  </si>
  <si>
    <t>Компенсаційні виплати на пільговий проїзд автомобільним транспортом окремим категоріям громадян,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</si>
  <si>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</si>
  <si>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</si>
  <si>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Заходи з організації рятування на водах, у т.ч. за рахунок:</t>
  </si>
  <si>
    <t>Управління  освіти і науки Сумської міської ради,                                   у т.ч. за рахунок:</t>
  </si>
  <si>
    <t>Забезпечення діяльності інклюзивно-ресурсних центрів,                                       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</si>
  <si>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</si>
  <si>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</si>
  <si>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</si>
  <si>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</si>
  <si>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</si>
  <si>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</si>
  <si>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</si>
  <si>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Будівництво установ та закладів соціальної сфери</t>
  </si>
  <si>
    <t>0619770</t>
  </si>
  <si>
    <t>0619310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</si>
  <si>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</si>
  <si>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</si>
  <si>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</si>
  <si>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</si>
  <si>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 xml:space="preserve">                        Додаток № 4</t>
  </si>
  <si>
    <t>Субвенція з місцевого бюджету на здійснення переданих видатків у сфері освіти за рахунок коштів освітньої субвенції, у т.ч. за рахунок:</t>
  </si>
  <si>
    <t>Субвенції з місцевого бюджету іншим місцевим бюджетам на здійснення програм у галузі освіти за рахунок субвенцій з державного бюджету, у т.ч. за рахунок:</t>
  </si>
  <si>
    <t>Заходи з енергозбереження</t>
  </si>
  <si>
    <t>0717363</t>
  </si>
  <si>
    <t>Виконання заходів в рамках реалізації програми "Спроможна школа для кращих результатів", у т.ч. за рахунок:</t>
  </si>
  <si>
    <t>0611180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</si>
  <si>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</si>
  <si>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</si>
  <si>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</si>
  <si>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</si>
  <si>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</si>
  <si>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</si>
  <si>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за рахунок залишку коштів освітньої субвенції, що утворився на початок бюджетного періоду</t>
  </si>
  <si>
    <t>від  29  липня   2020   року   № 7240 -  МР</t>
  </si>
  <si>
    <t>від  29  липня   2020    року   № 7240 -  МР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</si>
  <si>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</si>
  <si>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Виконавець: Співакова Л.І.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</si>
</sst>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49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5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191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8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/>
    <xf numFmtId="3" fontId="38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" fontId="24" fillId="0" borderId="7" xfId="0" applyNumberFormat="1" applyFont="1" applyFill="1" applyBorder="1" applyAlignment="1">
      <alignment horizontal="right" wrapText="1"/>
    </xf>
    <xf numFmtId="3" fontId="27" fillId="0" borderId="7" xfId="0" applyNumberFormat="1" applyFont="1" applyFill="1" applyBorder="1" applyAlignment="1" applyProtection="1">
      <alignment horizontal="center" vertical="center" wrapText="1"/>
    </xf>
    <xf numFmtId="4" fontId="27" fillId="0" borderId="7" xfId="0" applyNumberFormat="1" applyFont="1" applyFill="1" applyBorder="1" applyAlignment="1">
      <alignment horizontal="right" wrapText="1"/>
    </xf>
    <xf numFmtId="4" fontId="23" fillId="0" borderId="7" xfId="0" applyNumberFormat="1" applyFont="1" applyFill="1" applyBorder="1" applyAlignment="1">
      <alignment horizontal="right" wrapText="1"/>
    </xf>
    <xf numFmtId="4" fontId="23" fillId="0" borderId="7" xfId="29" applyNumberFormat="1" applyFont="1" applyFill="1" applyBorder="1" applyAlignment="1">
      <alignment horizontal="right" wrapText="1"/>
    </xf>
    <xf numFmtId="4" fontId="36" fillId="0" borderId="7" xfId="0" applyNumberFormat="1" applyFont="1" applyFill="1" applyBorder="1" applyAlignment="1">
      <alignment horizontal="right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 applyProtection="1">
      <alignment horizontal="center" vertical="center" wrapText="1"/>
    </xf>
    <xf numFmtId="1" fontId="27" fillId="0" borderId="7" xfId="0" applyNumberFormat="1" applyFont="1" applyFill="1" applyBorder="1" applyAlignment="1" applyProtection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left" vertic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3" fontId="39" fillId="0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 horizontal="center" vertical="center" textRotation="180"/>
    </xf>
    <xf numFmtId="0" fontId="37" fillId="0" borderId="0" xfId="0" applyNumberFormat="1" applyFont="1" applyFill="1" applyBorder="1" applyAlignment="1" applyProtection="1">
      <alignment horizontal="center" vertical="top" wrapText="1"/>
    </xf>
    <xf numFmtId="49" fontId="21" fillId="0" borderId="7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/>
    <xf numFmtId="1" fontId="21" fillId="0" borderId="0" xfId="0" applyNumberFormat="1" applyFont="1" applyFill="1" applyBorder="1" applyAlignment="1">
      <alignment vertical="center" textRotation="180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left" wrapText="1"/>
    </xf>
    <xf numFmtId="3" fontId="3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/>
    <xf numFmtId="3" fontId="28" fillId="0" borderId="0" xfId="0" applyNumberFormat="1" applyFont="1" applyFill="1" applyBorder="1" applyAlignment="1" applyProtection="1">
      <alignment horizontal="center"/>
    </xf>
    <xf numFmtId="3" fontId="28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Alignment="1">
      <alignment horizontal="left" vertical="center" textRotation="180"/>
    </xf>
    <xf numFmtId="1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 wrapText="1"/>
    </xf>
    <xf numFmtId="3" fontId="40" fillId="0" borderId="0" xfId="0" applyNumberFormat="1" applyFont="1" applyFill="1" applyBorder="1" applyAlignment="1" applyProtection="1">
      <alignment horizontal="center" vertical="top" wrapText="1"/>
    </xf>
    <xf numFmtId="3" fontId="33" fillId="0" borderId="0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 applyProtection="1"/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/>
    <xf numFmtId="4" fontId="45" fillId="0" borderId="0" xfId="0" applyNumberFormat="1" applyFont="1" applyFill="1" applyBorder="1" applyAlignment="1">
      <alignment horizontal="center" vertical="center"/>
    </xf>
    <xf numFmtId="165" fontId="45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49" fontId="43" fillId="0" borderId="0" xfId="0" applyNumberFormat="1" applyFont="1" applyFill="1" applyAlignment="1" applyProtection="1">
      <alignment vertical="center"/>
    </xf>
    <xf numFmtId="0" fontId="44" fillId="0" borderId="0" xfId="0" applyNumberFormat="1" applyFont="1" applyFill="1" applyAlignment="1" applyProtection="1">
      <alignment vertical="top"/>
    </xf>
    <xf numFmtId="0" fontId="46" fillId="0" borderId="0" xfId="0" applyNumberFormat="1" applyFont="1" applyFill="1" applyAlignment="1" applyProtection="1"/>
    <xf numFmtId="3" fontId="46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/>
    <xf numFmtId="3" fontId="46" fillId="0" borderId="0" xfId="0" applyNumberFormat="1" applyFont="1" applyFill="1" applyBorder="1" applyAlignment="1" applyProtection="1">
      <alignment horizontal="left"/>
    </xf>
    <xf numFmtId="3" fontId="46" fillId="0" borderId="0" xfId="0" applyNumberFormat="1" applyFont="1" applyFill="1" applyBorder="1" applyAlignment="1" applyProtection="1">
      <alignment horizontal="left" wrapText="1"/>
    </xf>
    <xf numFmtId="3" fontId="46" fillId="0" borderId="0" xfId="0" applyNumberFormat="1" applyFont="1" applyFill="1" applyBorder="1" applyAlignment="1">
      <alignment horizontal="center"/>
    </xf>
    <xf numFmtId="165" fontId="46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1" fontId="23" fillId="0" borderId="7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49" fontId="23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left" vertical="center" wrapText="1"/>
    </xf>
    <xf numFmtId="4" fontId="25" fillId="0" borderId="7" xfId="0" applyNumberFormat="1" applyFont="1" applyFill="1" applyBorder="1" applyAlignment="1">
      <alignment horizontal="right" wrapText="1"/>
    </xf>
    <xf numFmtId="49" fontId="25" fillId="0" borderId="7" xfId="0" applyNumberFormat="1" applyFont="1" applyFill="1" applyBorder="1" applyAlignment="1" applyProtection="1">
      <alignment horizontal="center" vertical="center" wrapText="1"/>
    </xf>
    <xf numFmtId="1" fontId="25" fillId="0" borderId="7" xfId="0" applyNumberFormat="1" applyFont="1" applyFill="1" applyBorder="1" applyAlignment="1" applyProtection="1">
      <alignment horizontal="center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4" fontId="47" fillId="0" borderId="7" xfId="0" applyNumberFormat="1" applyFont="1" applyFill="1" applyBorder="1" applyAlignment="1">
      <alignment horizontal="right" wrapText="1"/>
    </xf>
    <xf numFmtId="3" fontId="25" fillId="0" borderId="7" xfId="0" applyNumberFormat="1" applyFont="1" applyFill="1" applyBorder="1" applyAlignment="1" applyProtection="1">
      <alignment horizontal="left" vertical="center" wrapText="1"/>
    </xf>
    <xf numFmtId="3" fontId="25" fillId="0" borderId="7" xfId="0" applyNumberFormat="1" applyFont="1" applyFill="1" applyBorder="1" applyAlignment="1" applyProtection="1">
      <alignment horizontal="left" vertical="center" wrapText="1" shrinkToFit="1"/>
    </xf>
    <xf numFmtId="49" fontId="48" fillId="0" borderId="7" xfId="0" applyNumberFormat="1" applyFont="1" applyFill="1" applyBorder="1" applyAlignment="1" applyProtection="1">
      <alignment horizontal="center" vertical="center" wrapText="1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vertical="center"/>
    </xf>
    <xf numFmtId="0" fontId="23" fillId="0" borderId="7" xfId="0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46" fillId="0" borderId="0" xfId="0" applyNumberFormat="1" applyFont="1" applyFill="1" applyBorder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3" fontId="42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Border="1" applyAlignment="1">
      <alignment vertical="center" wrapText="1"/>
    </xf>
    <xf numFmtId="0" fontId="42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9" fontId="43" fillId="0" borderId="0" xfId="0" applyNumberFormat="1" applyFont="1" applyFill="1" applyAlignment="1" applyProtection="1">
      <alignment horizontal="center" vertical="center"/>
    </xf>
    <xf numFmtId="0" fontId="44" fillId="0" borderId="0" xfId="0" applyNumberFormat="1" applyFont="1" applyFill="1" applyAlignment="1" applyProtection="1">
      <alignment horizontal="center" vertical="top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I772"/>
  <sheetViews>
    <sheetView showGridLines="0" showZeros="0" tabSelected="1" view="pageBreakPreview" topLeftCell="A101" zoomScale="98" zoomScaleNormal="71" zoomScaleSheetLayoutView="98" workbookViewId="0">
      <selection activeCell="D277" sqref="D277"/>
    </sheetView>
  </sheetViews>
  <sheetFormatPr defaultColWidth="9.1640625" defaultRowHeight="15" x14ac:dyDescent="0.25"/>
  <cols>
    <col min="1" max="1" width="16.1640625" style="84" customWidth="1"/>
    <col min="2" max="2" width="15.33203125" style="18" customWidth="1"/>
    <col min="3" max="3" width="14.6640625" style="18" customWidth="1"/>
    <col min="4" max="4" width="62" style="29" customWidth="1"/>
    <col min="5" max="5" width="21.33203125" style="57" customWidth="1"/>
    <col min="6" max="6" width="20.83203125" style="57" customWidth="1"/>
    <col min="7" max="7" width="21" style="57" customWidth="1"/>
    <col min="8" max="8" width="18.33203125" style="57" customWidth="1"/>
    <col min="9" max="9" width="18" style="57" customWidth="1"/>
    <col min="10" max="10" width="20.6640625" style="57" customWidth="1"/>
    <col min="11" max="11" width="20" style="57" customWidth="1"/>
    <col min="12" max="12" width="20.1640625" style="57" customWidth="1"/>
    <col min="13" max="13" width="18.33203125" style="57" customWidth="1"/>
    <col min="14" max="14" width="19.83203125" style="57" customWidth="1"/>
    <col min="15" max="15" width="18.83203125" style="57" customWidth="1"/>
    <col min="16" max="16" width="21.5" style="173" customWidth="1"/>
    <col min="17" max="17" width="11.5" style="34" customWidth="1"/>
    <col min="18" max="18" width="16.1640625" style="34" customWidth="1"/>
    <col min="19" max="529" width="9.1640625" style="34"/>
    <col min="530" max="16384" width="9.1640625" style="20"/>
  </cols>
  <sheetData>
    <row r="1" spans="1:529" ht="26.25" customHeight="1" x14ac:dyDescent="0.25">
      <c r="K1" s="115" t="s">
        <v>420</v>
      </c>
      <c r="L1" s="181" t="s">
        <v>436</v>
      </c>
      <c r="M1" s="181"/>
      <c r="N1" s="181"/>
      <c r="O1" s="181"/>
      <c r="P1" s="176"/>
    </row>
    <row r="2" spans="1:529" ht="26.25" customHeight="1" x14ac:dyDescent="0.25">
      <c r="K2" s="115"/>
      <c r="L2" s="176" t="s">
        <v>422</v>
      </c>
      <c r="M2" s="176"/>
      <c r="N2" s="176"/>
      <c r="O2" s="176"/>
      <c r="P2" s="86"/>
    </row>
    <row r="3" spans="1:529" ht="26.25" customHeight="1" x14ac:dyDescent="0.25">
      <c r="K3" s="115"/>
      <c r="L3" s="183" t="s">
        <v>423</v>
      </c>
      <c r="M3" s="183"/>
      <c r="N3" s="183"/>
      <c r="O3" s="183"/>
      <c r="P3" s="183"/>
    </row>
    <row r="4" spans="1:529" ht="26.25" customHeight="1" x14ac:dyDescent="0.25">
      <c r="K4" s="115"/>
      <c r="L4" s="182" t="s">
        <v>424</v>
      </c>
      <c r="M4" s="182"/>
      <c r="N4" s="182"/>
      <c r="O4" s="182"/>
      <c r="P4" s="182"/>
    </row>
    <row r="5" spans="1:529" ht="26.25" customHeight="1" x14ac:dyDescent="0.25">
      <c r="K5" s="115"/>
      <c r="L5" s="176" t="s">
        <v>425</v>
      </c>
      <c r="M5" s="176"/>
      <c r="N5" s="176"/>
      <c r="O5" s="176"/>
      <c r="P5" s="176"/>
    </row>
    <row r="6" spans="1:529" ht="23.25" customHeight="1" x14ac:dyDescent="0.25">
      <c r="K6" s="116"/>
      <c r="L6" s="176" t="s">
        <v>430</v>
      </c>
      <c r="M6" s="176"/>
      <c r="N6" s="176"/>
      <c r="O6" s="176"/>
      <c r="P6" s="176"/>
    </row>
    <row r="7" spans="1:529" ht="26.25" customHeight="1" x14ac:dyDescent="0.25">
      <c r="K7" s="176"/>
      <c r="L7" s="176" t="s">
        <v>440</v>
      </c>
      <c r="M7" s="176"/>
      <c r="N7" s="176"/>
      <c r="O7" s="176"/>
      <c r="P7" s="176"/>
      <c r="Q7" s="176"/>
    </row>
    <row r="8" spans="1:529" ht="26.25" customHeight="1" x14ac:dyDescent="0.25">
      <c r="K8" s="176"/>
      <c r="L8" s="176" t="s">
        <v>429</v>
      </c>
      <c r="M8" s="176"/>
      <c r="N8" s="176"/>
      <c r="O8" s="176"/>
      <c r="P8" s="176"/>
      <c r="Q8" s="176"/>
    </row>
    <row r="9" spans="1:529" ht="26.25" x14ac:dyDescent="0.4">
      <c r="L9" s="102" t="s">
        <v>524</v>
      </c>
      <c r="M9" s="102"/>
      <c r="N9" s="102"/>
      <c r="O9" s="102"/>
      <c r="P9" s="102"/>
    </row>
    <row r="10" spans="1:529" ht="26.25" x14ac:dyDescent="0.4">
      <c r="L10" s="102"/>
      <c r="M10" s="102"/>
      <c r="N10" s="102"/>
      <c r="O10" s="102"/>
      <c r="P10" s="102"/>
    </row>
    <row r="11" spans="1:529" s="54" customFormat="1" ht="59.25" customHeight="1" x14ac:dyDescent="0.3">
      <c r="A11" s="184" t="s">
        <v>392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  <c r="MD11" s="53"/>
      <c r="ME11" s="53"/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53"/>
      <c r="MS11" s="53"/>
      <c r="MT11" s="53"/>
      <c r="MU11" s="53"/>
      <c r="MV11" s="53"/>
      <c r="MW11" s="53"/>
      <c r="MX11" s="53"/>
      <c r="MY11" s="53"/>
      <c r="MZ11" s="53"/>
      <c r="NA11" s="53"/>
      <c r="NB11" s="53"/>
      <c r="NC11" s="53"/>
      <c r="ND11" s="53"/>
      <c r="NE11" s="53"/>
      <c r="NF11" s="53"/>
      <c r="NG11" s="53"/>
      <c r="NH11" s="53"/>
      <c r="NI11" s="53"/>
      <c r="NJ11" s="53"/>
      <c r="NK11" s="53"/>
      <c r="NL11" s="53"/>
      <c r="NM11" s="53"/>
      <c r="NN11" s="53"/>
      <c r="NO11" s="53"/>
      <c r="NP11" s="53"/>
      <c r="NQ11" s="53"/>
      <c r="NR11" s="53"/>
      <c r="NS11" s="53"/>
      <c r="NT11" s="53"/>
      <c r="NU11" s="53"/>
      <c r="NV11" s="53"/>
      <c r="NW11" s="53"/>
      <c r="NX11" s="53"/>
      <c r="NY11" s="53"/>
      <c r="NZ11" s="53"/>
      <c r="OA11" s="53"/>
      <c r="OB11" s="53"/>
      <c r="OC11" s="53"/>
      <c r="OD11" s="53"/>
      <c r="OE11" s="53"/>
      <c r="OF11" s="53"/>
      <c r="OG11" s="53"/>
      <c r="OH11" s="53"/>
      <c r="OI11" s="53"/>
      <c r="OJ11" s="53"/>
      <c r="OK11" s="53"/>
      <c r="OL11" s="53"/>
      <c r="OM11" s="53"/>
      <c r="ON11" s="53"/>
      <c r="OO11" s="53"/>
      <c r="OP11" s="53"/>
      <c r="OQ11" s="53"/>
      <c r="OR11" s="53"/>
      <c r="OS11" s="53"/>
      <c r="OT11" s="53"/>
      <c r="OU11" s="53"/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53"/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53"/>
      <c r="PS11" s="53"/>
      <c r="PT11" s="53"/>
      <c r="PU11" s="53"/>
      <c r="PV11" s="53"/>
      <c r="PW11" s="53"/>
      <c r="PX11" s="53"/>
      <c r="PY11" s="53"/>
      <c r="PZ11" s="53"/>
      <c r="QA11" s="53"/>
      <c r="QB11" s="53"/>
      <c r="QC11" s="53"/>
      <c r="QD11" s="53"/>
      <c r="QE11" s="53"/>
      <c r="QF11" s="53"/>
      <c r="QG11" s="53"/>
      <c r="QH11" s="53"/>
      <c r="QI11" s="53"/>
      <c r="QJ11" s="53"/>
      <c r="QK11" s="53"/>
      <c r="QL11" s="53"/>
      <c r="QM11" s="53"/>
      <c r="QN11" s="53"/>
      <c r="QO11" s="53"/>
      <c r="QP11" s="53"/>
      <c r="QQ11" s="53"/>
      <c r="QR11" s="53"/>
      <c r="QS11" s="53"/>
      <c r="QT11" s="53"/>
      <c r="QU11" s="53"/>
      <c r="QV11" s="53"/>
      <c r="QW11" s="53"/>
      <c r="QX11" s="53"/>
      <c r="QY11" s="53"/>
      <c r="QZ11" s="53"/>
      <c r="RA11" s="53"/>
      <c r="RB11" s="53"/>
      <c r="RC11" s="53"/>
      <c r="RD11" s="53"/>
      <c r="RE11" s="53"/>
      <c r="RF11" s="53"/>
      <c r="RG11" s="53"/>
      <c r="RH11" s="53"/>
      <c r="RI11" s="53"/>
      <c r="RJ11" s="53"/>
      <c r="RK11" s="53"/>
      <c r="RL11" s="53"/>
      <c r="RM11" s="53"/>
      <c r="RN11" s="53"/>
      <c r="RO11" s="53"/>
      <c r="RP11" s="53"/>
      <c r="RQ11" s="53"/>
      <c r="RR11" s="53"/>
      <c r="RS11" s="53"/>
      <c r="RT11" s="53"/>
      <c r="RU11" s="53"/>
      <c r="RV11" s="53"/>
      <c r="RW11" s="53"/>
      <c r="RX11" s="53"/>
      <c r="RY11" s="53"/>
      <c r="RZ11" s="53"/>
      <c r="SA11" s="53"/>
      <c r="SB11" s="53"/>
      <c r="SC11" s="53"/>
      <c r="SD11" s="53"/>
      <c r="SE11" s="53"/>
      <c r="SF11" s="53"/>
      <c r="SG11" s="53"/>
      <c r="SH11" s="53"/>
      <c r="SI11" s="53"/>
      <c r="SJ11" s="53"/>
      <c r="SK11" s="53"/>
      <c r="SL11" s="53"/>
      <c r="SM11" s="53"/>
      <c r="SN11" s="53"/>
      <c r="SO11" s="53"/>
      <c r="SP11" s="53"/>
      <c r="SQ11" s="53"/>
      <c r="SR11" s="53"/>
      <c r="SS11" s="53"/>
      <c r="ST11" s="53"/>
      <c r="SU11" s="53"/>
      <c r="SV11" s="53"/>
      <c r="SW11" s="53"/>
      <c r="SX11" s="53"/>
      <c r="SY11" s="53"/>
      <c r="SZ11" s="53"/>
      <c r="TA11" s="53"/>
      <c r="TB11" s="53"/>
      <c r="TC11" s="53"/>
      <c r="TD11" s="53"/>
      <c r="TE11" s="53"/>
      <c r="TF11" s="53"/>
      <c r="TG11" s="53"/>
      <c r="TH11" s="53"/>
      <c r="TI11" s="53"/>
    </row>
    <row r="12" spans="1:529" s="54" customFormat="1" ht="42" customHeight="1" x14ac:dyDescent="0.3">
      <c r="A12" s="117" t="s">
        <v>398</v>
      </c>
      <c r="B12" s="117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</row>
    <row r="13" spans="1:529" s="54" customFormat="1" ht="31.5" customHeight="1" x14ac:dyDescent="0.3">
      <c r="A13" s="118" t="s">
        <v>441</v>
      </c>
      <c r="B13" s="118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</row>
    <row r="14" spans="1:529" s="56" customFormat="1" ht="14.25" customHeight="1" x14ac:dyDescent="0.3">
      <c r="A14" s="78"/>
      <c r="B14" s="60"/>
      <c r="C14" s="60"/>
      <c r="D14" s="1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07" t="s">
        <v>394</v>
      </c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5"/>
      <c r="KK14" s="55"/>
      <c r="KL14" s="55"/>
      <c r="KM14" s="55"/>
      <c r="KN14" s="55"/>
      <c r="KO14" s="55"/>
      <c r="KP14" s="55"/>
      <c r="KQ14" s="55"/>
      <c r="KR14" s="55"/>
      <c r="KS14" s="55"/>
      <c r="KT14" s="55"/>
      <c r="KU14" s="55"/>
      <c r="KV14" s="55"/>
      <c r="KW14" s="55"/>
      <c r="KX14" s="55"/>
      <c r="KY14" s="55"/>
      <c r="KZ14" s="55"/>
      <c r="LA14" s="55"/>
      <c r="LB14" s="55"/>
      <c r="LC14" s="55"/>
      <c r="LD14" s="55"/>
      <c r="LE14" s="55"/>
      <c r="LF14" s="55"/>
      <c r="LG14" s="55"/>
      <c r="LH14" s="55"/>
      <c r="LI14" s="55"/>
      <c r="LJ14" s="55"/>
      <c r="LK14" s="55"/>
      <c r="LL14" s="55"/>
      <c r="LM14" s="55"/>
      <c r="LN14" s="55"/>
      <c r="LO14" s="55"/>
      <c r="LP14" s="55"/>
      <c r="LQ14" s="55"/>
      <c r="LR14" s="55"/>
      <c r="LS14" s="55"/>
      <c r="LT14" s="55"/>
      <c r="LU14" s="55"/>
      <c r="LV14" s="55"/>
      <c r="LW14" s="55"/>
      <c r="LX14" s="55"/>
      <c r="LY14" s="55"/>
      <c r="LZ14" s="55"/>
      <c r="MA14" s="55"/>
      <c r="MB14" s="55"/>
      <c r="MC14" s="55"/>
      <c r="MD14" s="55"/>
      <c r="ME14" s="55"/>
      <c r="MF14" s="55"/>
      <c r="MG14" s="55"/>
      <c r="MH14" s="55"/>
      <c r="MI14" s="55"/>
      <c r="MJ14" s="55"/>
      <c r="MK14" s="55"/>
      <c r="ML14" s="55"/>
      <c r="MM14" s="55"/>
      <c r="MN14" s="55"/>
      <c r="MO14" s="55"/>
      <c r="MP14" s="55"/>
      <c r="MQ14" s="55"/>
      <c r="MR14" s="55"/>
      <c r="MS14" s="55"/>
      <c r="MT14" s="55"/>
      <c r="MU14" s="55"/>
      <c r="MV14" s="55"/>
      <c r="MW14" s="55"/>
      <c r="MX14" s="55"/>
      <c r="MY14" s="55"/>
      <c r="MZ14" s="55"/>
      <c r="NA14" s="55"/>
      <c r="NB14" s="55"/>
      <c r="NC14" s="55"/>
      <c r="ND14" s="55"/>
      <c r="NE14" s="55"/>
      <c r="NF14" s="55"/>
      <c r="NG14" s="55"/>
      <c r="NH14" s="55"/>
      <c r="NI14" s="55"/>
      <c r="NJ14" s="55"/>
      <c r="NK14" s="55"/>
      <c r="NL14" s="55"/>
      <c r="NM14" s="55"/>
      <c r="NN14" s="55"/>
      <c r="NO14" s="55"/>
      <c r="NP14" s="55"/>
      <c r="NQ14" s="55"/>
      <c r="NR14" s="55"/>
      <c r="NS14" s="55"/>
      <c r="NT14" s="55"/>
      <c r="NU14" s="55"/>
      <c r="NV14" s="55"/>
      <c r="NW14" s="55"/>
      <c r="NX14" s="55"/>
      <c r="NY14" s="55"/>
      <c r="NZ14" s="55"/>
      <c r="OA14" s="55"/>
      <c r="OB14" s="55"/>
      <c r="OC14" s="55"/>
      <c r="OD14" s="55"/>
      <c r="OE14" s="55"/>
      <c r="OF14" s="55"/>
      <c r="OG14" s="55"/>
      <c r="OH14" s="55"/>
      <c r="OI14" s="55"/>
      <c r="OJ14" s="55"/>
      <c r="OK14" s="55"/>
      <c r="OL14" s="55"/>
      <c r="OM14" s="55"/>
      <c r="ON14" s="55"/>
      <c r="OO14" s="55"/>
      <c r="OP14" s="55"/>
      <c r="OQ14" s="55"/>
      <c r="OR14" s="55"/>
      <c r="OS14" s="55"/>
      <c r="OT14" s="55"/>
      <c r="OU14" s="55"/>
      <c r="OV14" s="55"/>
      <c r="OW14" s="55"/>
      <c r="OX14" s="55"/>
      <c r="OY14" s="55"/>
      <c r="OZ14" s="55"/>
      <c r="PA14" s="55"/>
      <c r="PB14" s="55"/>
      <c r="PC14" s="55"/>
      <c r="PD14" s="55"/>
      <c r="PE14" s="55"/>
      <c r="PF14" s="55"/>
      <c r="PG14" s="55"/>
      <c r="PH14" s="55"/>
      <c r="PI14" s="55"/>
      <c r="PJ14" s="55"/>
      <c r="PK14" s="55"/>
      <c r="PL14" s="55"/>
      <c r="PM14" s="55"/>
      <c r="PN14" s="55"/>
      <c r="PO14" s="55"/>
      <c r="PP14" s="55"/>
      <c r="PQ14" s="55"/>
      <c r="PR14" s="55"/>
      <c r="PS14" s="55"/>
      <c r="PT14" s="55"/>
      <c r="PU14" s="55"/>
      <c r="PV14" s="55"/>
      <c r="PW14" s="55"/>
      <c r="PX14" s="55"/>
      <c r="PY14" s="55"/>
      <c r="PZ14" s="55"/>
      <c r="QA14" s="55"/>
      <c r="QB14" s="55"/>
      <c r="QC14" s="55"/>
      <c r="QD14" s="55"/>
      <c r="QE14" s="55"/>
      <c r="QF14" s="55"/>
      <c r="QG14" s="55"/>
      <c r="QH14" s="55"/>
      <c r="QI14" s="55"/>
      <c r="QJ14" s="55"/>
      <c r="QK14" s="55"/>
      <c r="QL14" s="55"/>
      <c r="QM14" s="55"/>
      <c r="QN14" s="55"/>
      <c r="QO14" s="55"/>
      <c r="QP14" s="55"/>
      <c r="QQ14" s="55"/>
      <c r="QR14" s="55"/>
      <c r="QS14" s="55"/>
      <c r="QT14" s="55"/>
      <c r="QU14" s="55"/>
      <c r="QV14" s="55"/>
      <c r="QW14" s="55"/>
      <c r="QX14" s="55"/>
      <c r="QY14" s="55"/>
      <c r="QZ14" s="55"/>
      <c r="RA14" s="55"/>
      <c r="RB14" s="55"/>
      <c r="RC14" s="55"/>
      <c r="RD14" s="55"/>
      <c r="RE14" s="55"/>
      <c r="RF14" s="55"/>
      <c r="RG14" s="55"/>
      <c r="RH14" s="55"/>
      <c r="RI14" s="55"/>
      <c r="RJ14" s="55"/>
      <c r="RK14" s="55"/>
      <c r="RL14" s="55"/>
      <c r="RM14" s="55"/>
      <c r="RN14" s="55"/>
      <c r="RO14" s="55"/>
      <c r="RP14" s="55"/>
      <c r="RQ14" s="55"/>
      <c r="RR14" s="55"/>
      <c r="RS14" s="55"/>
      <c r="RT14" s="55"/>
      <c r="RU14" s="55"/>
      <c r="RV14" s="55"/>
      <c r="RW14" s="55"/>
      <c r="RX14" s="55"/>
      <c r="RY14" s="55"/>
      <c r="RZ14" s="55"/>
      <c r="SA14" s="55"/>
      <c r="SB14" s="55"/>
      <c r="SC14" s="55"/>
      <c r="SD14" s="55"/>
      <c r="SE14" s="55"/>
      <c r="SF14" s="55"/>
      <c r="SG14" s="55"/>
      <c r="SH14" s="55"/>
      <c r="SI14" s="55"/>
      <c r="SJ14" s="55"/>
      <c r="SK14" s="55"/>
      <c r="SL14" s="55"/>
      <c r="SM14" s="55"/>
      <c r="SN14" s="55"/>
      <c r="SO14" s="55"/>
      <c r="SP14" s="55"/>
      <c r="SQ14" s="55"/>
      <c r="SR14" s="55"/>
      <c r="SS14" s="55"/>
      <c r="ST14" s="55"/>
      <c r="SU14" s="55"/>
      <c r="SV14" s="55"/>
      <c r="SW14" s="55"/>
      <c r="SX14" s="55"/>
      <c r="SY14" s="55"/>
      <c r="SZ14" s="55"/>
      <c r="TA14" s="55"/>
      <c r="TB14" s="55"/>
      <c r="TC14" s="55"/>
      <c r="TD14" s="55"/>
      <c r="TE14" s="55"/>
      <c r="TF14" s="55"/>
      <c r="TG14" s="55"/>
      <c r="TH14" s="55"/>
      <c r="TI14" s="55"/>
    </row>
    <row r="15" spans="1:529" s="21" customFormat="1" ht="34.5" customHeight="1" x14ac:dyDescent="0.2">
      <c r="A15" s="185" t="s">
        <v>371</v>
      </c>
      <c r="B15" s="180" t="s">
        <v>372</v>
      </c>
      <c r="C15" s="180" t="s">
        <v>359</v>
      </c>
      <c r="D15" s="180" t="s">
        <v>373</v>
      </c>
      <c r="E15" s="180" t="s">
        <v>245</v>
      </c>
      <c r="F15" s="180"/>
      <c r="G15" s="180"/>
      <c r="H15" s="180"/>
      <c r="I15" s="180"/>
      <c r="J15" s="180" t="s">
        <v>246</v>
      </c>
      <c r="K15" s="180"/>
      <c r="L15" s="180"/>
      <c r="M15" s="180"/>
      <c r="N15" s="180"/>
      <c r="O15" s="180"/>
      <c r="P15" s="180" t="s">
        <v>247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</row>
    <row r="16" spans="1:529" s="21" customFormat="1" ht="19.5" customHeight="1" x14ac:dyDescent="0.2">
      <c r="A16" s="185"/>
      <c r="B16" s="180"/>
      <c r="C16" s="180"/>
      <c r="D16" s="180"/>
      <c r="E16" s="180" t="s">
        <v>360</v>
      </c>
      <c r="F16" s="180" t="s">
        <v>248</v>
      </c>
      <c r="G16" s="180" t="s">
        <v>249</v>
      </c>
      <c r="H16" s="180"/>
      <c r="I16" s="180" t="s">
        <v>250</v>
      </c>
      <c r="J16" s="180" t="s">
        <v>360</v>
      </c>
      <c r="K16" s="180" t="s">
        <v>361</v>
      </c>
      <c r="L16" s="180" t="s">
        <v>248</v>
      </c>
      <c r="M16" s="180" t="s">
        <v>249</v>
      </c>
      <c r="N16" s="180"/>
      <c r="O16" s="180" t="s">
        <v>250</v>
      </c>
      <c r="P16" s="180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</row>
    <row r="17" spans="1:529" s="21" customFormat="1" ht="66.75" customHeight="1" x14ac:dyDescent="0.2">
      <c r="A17" s="185"/>
      <c r="B17" s="180"/>
      <c r="C17" s="180"/>
      <c r="D17" s="180"/>
      <c r="E17" s="180"/>
      <c r="F17" s="180"/>
      <c r="G17" s="175" t="s">
        <v>251</v>
      </c>
      <c r="H17" s="175" t="s">
        <v>252</v>
      </c>
      <c r="I17" s="180"/>
      <c r="J17" s="180"/>
      <c r="K17" s="180"/>
      <c r="L17" s="180"/>
      <c r="M17" s="175" t="s">
        <v>251</v>
      </c>
      <c r="N17" s="175" t="s">
        <v>252</v>
      </c>
      <c r="O17" s="180"/>
      <c r="P17" s="180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</row>
    <row r="18" spans="1:529" s="31" customFormat="1" ht="19.5" customHeight="1" x14ac:dyDescent="0.2">
      <c r="A18" s="79" t="s">
        <v>160</v>
      </c>
      <c r="B18" s="62"/>
      <c r="C18" s="62"/>
      <c r="D18" s="32" t="s">
        <v>39</v>
      </c>
      <c r="E18" s="63">
        <f>E19</f>
        <v>211002465</v>
      </c>
      <c r="F18" s="63">
        <f t="shared" ref="F18:J18" si="0">F19</f>
        <v>173038665</v>
      </c>
      <c r="G18" s="63">
        <f t="shared" si="0"/>
        <v>93154796</v>
      </c>
      <c r="H18" s="63">
        <f t="shared" si="0"/>
        <v>4360400</v>
      </c>
      <c r="I18" s="63">
        <f t="shared" si="0"/>
        <v>37963800</v>
      </c>
      <c r="J18" s="63">
        <f t="shared" si="0"/>
        <v>21722831.199999999</v>
      </c>
      <c r="K18" s="63">
        <f t="shared" ref="K18" si="1">K19</f>
        <v>21205988</v>
      </c>
      <c r="L18" s="63">
        <f t="shared" ref="L18" si="2">L19</f>
        <v>516843.2</v>
      </c>
      <c r="M18" s="63">
        <f t="shared" ref="M18" si="3">M19</f>
        <v>91105</v>
      </c>
      <c r="N18" s="63">
        <f t="shared" ref="N18" si="4">N19</f>
        <v>52450</v>
      </c>
      <c r="O18" s="63">
        <f t="shared" ref="O18:P18" si="5">O19</f>
        <v>21205988</v>
      </c>
      <c r="P18" s="63">
        <f t="shared" si="5"/>
        <v>232725296.19999999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</row>
    <row r="19" spans="1:529" s="40" customFormat="1" ht="36" customHeight="1" x14ac:dyDescent="0.25">
      <c r="A19" s="73" t="s">
        <v>161</v>
      </c>
      <c r="B19" s="64"/>
      <c r="C19" s="64"/>
      <c r="D19" s="33" t="s">
        <v>445</v>
      </c>
      <c r="E19" s="65">
        <f>E21+E22+E23+E24+E25+E26+E27+E28+E29+E30+E31+E32+E33+E34+E35+E36+E37+E38+E39+E40+E41+E44+E45+E46+E47+E48+E49+E50+E51+E53+E54+E55+E42+E43+E56</f>
        <v>211002465</v>
      </c>
      <c r="F19" s="65">
        <f t="shared" ref="F19:P19" si="6">F21+F22+F23+F24+F25+F26+F27+F28+F29+F30+F31+F32+F33+F34+F35+F36+F37+F38+F39+F40+F41+F44+F45+F46+F47+F48+F49+F50+F51+F53+F54+F55+F42+F43+F56</f>
        <v>173038665</v>
      </c>
      <c r="G19" s="65">
        <f t="shared" si="6"/>
        <v>93154796</v>
      </c>
      <c r="H19" s="65">
        <f t="shared" si="6"/>
        <v>4360400</v>
      </c>
      <c r="I19" s="65">
        <f t="shared" si="6"/>
        <v>37963800</v>
      </c>
      <c r="J19" s="65">
        <f t="shared" si="6"/>
        <v>21722831.199999999</v>
      </c>
      <c r="K19" s="65">
        <f t="shared" si="6"/>
        <v>21205988</v>
      </c>
      <c r="L19" s="65">
        <f t="shared" si="6"/>
        <v>516843.2</v>
      </c>
      <c r="M19" s="65">
        <f t="shared" si="6"/>
        <v>91105</v>
      </c>
      <c r="N19" s="65">
        <f t="shared" si="6"/>
        <v>52450</v>
      </c>
      <c r="O19" s="65">
        <f t="shared" si="6"/>
        <v>21205988</v>
      </c>
      <c r="P19" s="65">
        <f t="shared" si="6"/>
        <v>232725296.19999999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</row>
    <row r="20" spans="1:529" s="40" customFormat="1" ht="50.25" customHeight="1" x14ac:dyDescent="0.25">
      <c r="A20" s="73"/>
      <c r="B20" s="64"/>
      <c r="C20" s="64"/>
      <c r="D20" s="33" t="s">
        <v>444</v>
      </c>
      <c r="E20" s="65">
        <f>E52</f>
        <v>380580</v>
      </c>
      <c r="F20" s="65">
        <f t="shared" ref="F20:P20" si="7">F52</f>
        <v>380580</v>
      </c>
      <c r="G20" s="65">
        <f t="shared" si="7"/>
        <v>311950</v>
      </c>
      <c r="H20" s="65">
        <f t="shared" si="7"/>
        <v>0</v>
      </c>
      <c r="I20" s="65">
        <f t="shared" si="7"/>
        <v>0</v>
      </c>
      <c r="J20" s="65">
        <f t="shared" si="7"/>
        <v>0</v>
      </c>
      <c r="K20" s="65">
        <f t="shared" si="7"/>
        <v>0</v>
      </c>
      <c r="L20" s="65">
        <f t="shared" si="7"/>
        <v>0</v>
      </c>
      <c r="M20" s="65">
        <f t="shared" si="7"/>
        <v>0</v>
      </c>
      <c r="N20" s="65">
        <f t="shared" si="7"/>
        <v>0</v>
      </c>
      <c r="O20" s="65">
        <f t="shared" si="7"/>
        <v>0</v>
      </c>
      <c r="P20" s="65">
        <f t="shared" si="7"/>
        <v>380580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</row>
    <row r="21" spans="1:529" s="23" customFormat="1" ht="45.75" customHeight="1" x14ac:dyDescent="0.25">
      <c r="A21" s="43" t="s">
        <v>162</v>
      </c>
      <c r="B21" s="44" t="str">
        <f>'дод 4'!A20</f>
        <v>0160</v>
      </c>
      <c r="C21" s="44" t="str">
        <f>'дод 4'!B20</f>
        <v>0111</v>
      </c>
      <c r="D21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1" s="66">
        <f t="shared" ref="E21:E56" si="8">F21+I21</f>
        <v>99891782</v>
      </c>
      <c r="F21" s="66">
        <f>105070300+350000+405400-4697800+243482-1103300+14800-213000+230000+41400-400000-49500</f>
        <v>99891782</v>
      </c>
      <c r="G21" s="66">
        <f>77144000-3850700+199575-174600+188526</f>
        <v>73506801</v>
      </c>
      <c r="H21" s="66">
        <f>2750400-400000</f>
        <v>2350400</v>
      </c>
      <c r="I21" s="66"/>
      <c r="J21" s="66">
        <f>L21+O21</f>
        <v>49500</v>
      </c>
      <c r="K21" s="66">
        <f>1230200-1230200+49500</f>
        <v>49500</v>
      </c>
      <c r="L21" s="66"/>
      <c r="M21" s="66"/>
      <c r="N21" s="66"/>
      <c r="O21" s="66">
        <f>1230200-1230200+49500</f>
        <v>49500</v>
      </c>
      <c r="P21" s="66">
        <f t="shared" ref="P21:P56" si="9">E21+J21</f>
        <v>99941282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</row>
    <row r="22" spans="1:529" s="23" customFormat="1" ht="21.75" customHeight="1" x14ac:dyDescent="0.25">
      <c r="A22" s="43" t="s">
        <v>263</v>
      </c>
      <c r="B22" s="44" t="str">
        <f>'дод 4'!A21</f>
        <v>0180</v>
      </c>
      <c r="C22" s="44" t="str">
        <f>'дод 4'!B21</f>
        <v>0133</v>
      </c>
      <c r="D22" s="24" t="str">
        <f>'дод 4'!C21</f>
        <v>Інша діяльність у сфері державного управління</v>
      </c>
      <c r="E22" s="66">
        <f t="shared" si="8"/>
        <v>430300</v>
      </c>
      <c r="F22" s="66">
        <f>310000+34300+86000</f>
        <v>430300</v>
      </c>
      <c r="G22" s="66"/>
      <c r="H22" s="66"/>
      <c r="I22" s="66"/>
      <c r="J22" s="66">
        <f t="shared" ref="J22:J56" si="10">L22+O22</f>
        <v>0</v>
      </c>
      <c r="K22" s="66"/>
      <c r="L22" s="66"/>
      <c r="M22" s="66"/>
      <c r="N22" s="66"/>
      <c r="O22" s="66"/>
      <c r="P22" s="66">
        <f t="shared" si="9"/>
        <v>430300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</row>
    <row r="23" spans="1:529" s="23" customFormat="1" ht="38.25" customHeight="1" x14ac:dyDescent="0.25">
      <c r="A23" s="43" t="s">
        <v>279</v>
      </c>
      <c r="B23" s="44" t="str">
        <f>'дод 4'!A80</f>
        <v>3033</v>
      </c>
      <c r="C23" s="44" t="str">
        <f>'дод 4'!B80</f>
        <v>1070</v>
      </c>
      <c r="D23" s="24" t="s">
        <v>496</v>
      </c>
      <c r="E23" s="66">
        <f t="shared" si="8"/>
        <v>124200</v>
      </c>
      <c r="F23" s="66">
        <v>124200</v>
      </c>
      <c r="G23" s="66"/>
      <c r="H23" s="66"/>
      <c r="I23" s="66"/>
      <c r="J23" s="66">
        <f t="shared" si="10"/>
        <v>0</v>
      </c>
      <c r="K23" s="66"/>
      <c r="L23" s="66"/>
      <c r="M23" s="66"/>
      <c r="N23" s="66"/>
      <c r="O23" s="66"/>
      <c r="P23" s="66">
        <f t="shared" si="9"/>
        <v>124200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</row>
    <row r="24" spans="1:529" s="23" customFormat="1" ht="36.75" customHeight="1" x14ac:dyDescent="0.25">
      <c r="A24" s="43" t="s">
        <v>163</v>
      </c>
      <c r="B24" s="44" t="str">
        <f>'дод 4'!A83</f>
        <v>3036</v>
      </c>
      <c r="C24" s="44" t="str">
        <f>'дод 4'!B83</f>
        <v>1070</v>
      </c>
      <c r="D24" s="24" t="str">
        <f>'дод 4'!C83</f>
        <v>Компенсаційні виплати на пільговий проїзд електротранспортом окремим категоріям громадян</v>
      </c>
      <c r="E24" s="66">
        <f t="shared" si="8"/>
        <v>270325</v>
      </c>
      <c r="F24" s="66">
        <v>270325</v>
      </c>
      <c r="G24" s="66"/>
      <c r="H24" s="66"/>
      <c r="I24" s="66"/>
      <c r="J24" s="66">
        <f t="shared" si="10"/>
        <v>0</v>
      </c>
      <c r="K24" s="66"/>
      <c r="L24" s="66"/>
      <c r="M24" s="66"/>
      <c r="N24" s="66"/>
      <c r="O24" s="66"/>
      <c r="P24" s="66">
        <f t="shared" si="9"/>
        <v>270325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</row>
    <row r="25" spans="1:529" s="23" customFormat="1" ht="36" customHeight="1" x14ac:dyDescent="0.25">
      <c r="A25" s="43" t="s">
        <v>164</v>
      </c>
      <c r="B25" s="44" t="str">
        <f>'дод 4'!A91</f>
        <v>3121</v>
      </c>
      <c r="C25" s="44" t="str">
        <f>'дод 4'!B91</f>
        <v>1040</v>
      </c>
      <c r="D25" s="24" t="str">
        <f>'дод 4'!C91</f>
        <v>Утримання та забезпечення діяльності центрів соціальних служб для сім’ї, дітей та молоді</v>
      </c>
      <c r="E25" s="66">
        <f t="shared" si="8"/>
        <v>2529735</v>
      </c>
      <c r="F25" s="66">
        <f>2487735+42000</f>
        <v>2529735</v>
      </c>
      <c r="G25" s="66">
        <v>1883250</v>
      </c>
      <c r="H25" s="66">
        <v>50170</v>
      </c>
      <c r="I25" s="66"/>
      <c r="J25" s="66">
        <f t="shared" si="10"/>
        <v>0</v>
      </c>
      <c r="K25" s="66"/>
      <c r="L25" s="66"/>
      <c r="M25" s="66"/>
      <c r="N25" s="66"/>
      <c r="O25" s="66"/>
      <c r="P25" s="66">
        <f t="shared" si="9"/>
        <v>2529735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</row>
    <row r="26" spans="1:529" s="23" customFormat="1" ht="38.25" customHeight="1" x14ac:dyDescent="0.25">
      <c r="A26" s="43" t="s">
        <v>165</v>
      </c>
      <c r="B26" s="44" t="str">
        <f>'дод 4'!A92</f>
        <v>3131</v>
      </c>
      <c r="C26" s="44" t="str">
        <f>'дод 4'!B92</f>
        <v>1040</v>
      </c>
      <c r="D26" s="24" t="str">
        <f>'дод 4'!C92</f>
        <v>Здійснення заходів та реалізація проектів на виконання Державної цільової соціальної програми "Молодь України"</v>
      </c>
      <c r="E26" s="66">
        <f t="shared" si="8"/>
        <v>929000</v>
      </c>
      <c r="F26" s="66">
        <f>850000+17000+62000</f>
        <v>929000</v>
      </c>
      <c r="G26" s="66"/>
      <c r="H26" s="66"/>
      <c r="I26" s="66"/>
      <c r="J26" s="66">
        <f t="shared" si="10"/>
        <v>0</v>
      </c>
      <c r="K26" s="66"/>
      <c r="L26" s="66"/>
      <c r="M26" s="66"/>
      <c r="N26" s="66"/>
      <c r="O26" s="66"/>
      <c r="P26" s="66">
        <f t="shared" si="9"/>
        <v>929000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</row>
    <row r="27" spans="1:529" s="23" customFormat="1" ht="60" hidden="1" customHeight="1" x14ac:dyDescent="0.25">
      <c r="A27" s="43" t="s">
        <v>166</v>
      </c>
      <c r="B27" s="44" t="str">
        <f>'дод 4'!A93</f>
        <v>3140</v>
      </c>
      <c r="C27" s="44" t="str">
        <f>'дод 4'!B93</f>
        <v>1040</v>
      </c>
      <c r="D27" s="24" t="s">
        <v>22</v>
      </c>
      <c r="E27" s="66">
        <f t="shared" si="8"/>
        <v>0</v>
      </c>
      <c r="F27" s="66">
        <f>560000-372000-188000</f>
        <v>0</v>
      </c>
      <c r="G27" s="66"/>
      <c r="H27" s="66"/>
      <c r="I27" s="66"/>
      <c r="J27" s="66">
        <f t="shared" si="10"/>
        <v>0</v>
      </c>
      <c r="K27" s="66"/>
      <c r="L27" s="66"/>
      <c r="M27" s="66"/>
      <c r="N27" s="66"/>
      <c r="O27" s="66"/>
      <c r="P27" s="66">
        <f t="shared" si="9"/>
        <v>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</row>
    <row r="28" spans="1:529" s="23" customFormat="1" ht="37.5" customHeight="1" x14ac:dyDescent="0.25">
      <c r="A28" s="43" t="s">
        <v>333</v>
      </c>
      <c r="B28" s="44" t="str">
        <f>'дод 4'!A108</f>
        <v>3241</v>
      </c>
      <c r="C28" s="44" t="str">
        <f>'дод 4'!B108</f>
        <v>1090</v>
      </c>
      <c r="D28" s="24" t="str">
        <f>'дод 4'!C108</f>
        <v>Забезпечення діяльності інших закладів у сфері соціального захисту і соціального забезпечення</v>
      </c>
      <c r="E28" s="66">
        <f t="shared" si="8"/>
        <v>1198395</v>
      </c>
      <c r="F28" s="66">
        <v>1198395</v>
      </c>
      <c r="G28" s="66">
        <v>852910</v>
      </c>
      <c r="H28" s="66">
        <v>114300</v>
      </c>
      <c r="I28" s="66"/>
      <c r="J28" s="66">
        <f t="shared" si="10"/>
        <v>0</v>
      </c>
      <c r="K28" s="66"/>
      <c r="L28" s="66"/>
      <c r="M28" s="66"/>
      <c r="N28" s="66"/>
      <c r="O28" s="66"/>
      <c r="P28" s="66">
        <f t="shared" si="9"/>
        <v>1198395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</row>
    <row r="29" spans="1:529" s="23" customFormat="1" ht="33.75" customHeight="1" x14ac:dyDescent="0.25">
      <c r="A29" s="43" t="s">
        <v>334</v>
      </c>
      <c r="B29" s="44" t="str">
        <f>'дод 4'!A109</f>
        <v>3242</v>
      </c>
      <c r="C29" s="44" t="str">
        <f>'дод 4'!B109</f>
        <v>1090</v>
      </c>
      <c r="D29" s="24" t="s">
        <v>497</v>
      </c>
      <c r="E29" s="66">
        <f t="shared" si="8"/>
        <v>218310</v>
      </c>
      <c r="F29" s="66">
        <v>218310</v>
      </c>
      <c r="G29" s="66"/>
      <c r="H29" s="66"/>
      <c r="I29" s="66"/>
      <c r="J29" s="66">
        <f t="shared" si="10"/>
        <v>0</v>
      </c>
      <c r="K29" s="66"/>
      <c r="L29" s="66"/>
      <c r="M29" s="66"/>
      <c r="N29" s="66"/>
      <c r="O29" s="66"/>
      <c r="P29" s="66">
        <f t="shared" si="9"/>
        <v>218310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</row>
    <row r="30" spans="1:529" s="23" customFormat="1" ht="33.75" customHeight="1" x14ac:dyDescent="0.25">
      <c r="A30" s="43" t="s">
        <v>350</v>
      </c>
      <c r="B30" s="44" t="str">
        <f>'дод 4'!A113</f>
        <v>4060</v>
      </c>
      <c r="C30" s="44" t="str">
        <f>'дод 4'!B113</f>
        <v>0828</v>
      </c>
      <c r="D30" s="24" t="str">
        <f>'дод 4'!C113</f>
        <v>Забезпечення діяльності палаців i будинків культури, клубів, центрів дозвілля та iнших клубних закладів</v>
      </c>
      <c r="E30" s="66">
        <f t="shared" si="8"/>
        <v>5259162</v>
      </c>
      <c r="F30" s="67">
        <f>4745000-150000+49900+414262+200000</f>
        <v>5259162</v>
      </c>
      <c r="G30" s="66">
        <f>2098000-317585</f>
        <v>1780415</v>
      </c>
      <c r="H30" s="66">
        <f>727600-289200</f>
        <v>438400</v>
      </c>
      <c r="I30" s="66"/>
      <c r="J30" s="66">
        <f t="shared" si="10"/>
        <v>611238</v>
      </c>
      <c r="K30" s="66">
        <f>25500+585738</f>
        <v>611238</v>
      </c>
      <c r="L30" s="66"/>
      <c r="M30" s="66"/>
      <c r="N30" s="66"/>
      <c r="O30" s="66">
        <f>25500+585738</f>
        <v>611238</v>
      </c>
      <c r="P30" s="66">
        <f t="shared" si="9"/>
        <v>5870400</v>
      </c>
      <c r="Q30" s="26"/>
      <c r="R30" s="166">
        <f>P30+P31+P32</f>
        <v>10406724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</row>
    <row r="31" spans="1:529" s="23" customFormat="1" ht="30.75" customHeight="1" x14ac:dyDescent="0.25">
      <c r="A31" s="43" t="s">
        <v>331</v>
      </c>
      <c r="B31" s="44" t="str">
        <f>'дод 4'!A114</f>
        <v>4081</v>
      </c>
      <c r="C31" s="44" t="str">
        <f>'дод 4'!B114</f>
        <v>0829</v>
      </c>
      <c r="D31" s="24" t="str">
        <f>'дод 4'!C114</f>
        <v>Забезпечення діяльності інших закладів в галузі культури і мистецтва</v>
      </c>
      <c r="E31" s="66">
        <f t="shared" si="8"/>
        <v>3865900</v>
      </c>
      <c r="F31" s="66">
        <f>2374900+300000+276000+150000+337000+144000+284000</f>
        <v>3865900</v>
      </c>
      <c r="G31" s="66">
        <v>1389000</v>
      </c>
      <c r="H31" s="66">
        <v>91200</v>
      </c>
      <c r="I31" s="66"/>
      <c r="J31" s="66">
        <f t="shared" si="10"/>
        <v>224000</v>
      </c>
      <c r="K31" s="66">
        <v>224000</v>
      </c>
      <c r="L31" s="66"/>
      <c r="M31" s="66"/>
      <c r="N31" s="66"/>
      <c r="O31" s="66">
        <v>224000</v>
      </c>
      <c r="P31" s="66">
        <f t="shared" si="9"/>
        <v>4089900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  <c r="LK31" s="26"/>
      <c r="LL31" s="26"/>
      <c r="LM31" s="26"/>
      <c r="LN31" s="26"/>
      <c r="LO31" s="26"/>
      <c r="LP31" s="26"/>
      <c r="LQ31" s="26"/>
      <c r="LR31" s="26"/>
      <c r="LS31" s="26"/>
      <c r="LT31" s="26"/>
      <c r="LU31" s="26"/>
      <c r="LV31" s="26"/>
      <c r="LW31" s="26"/>
      <c r="LX31" s="26"/>
      <c r="LY31" s="26"/>
      <c r="LZ31" s="26"/>
      <c r="MA31" s="26"/>
      <c r="MB31" s="26"/>
      <c r="MC31" s="26"/>
      <c r="MD31" s="26"/>
      <c r="ME31" s="26"/>
      <c r="MF31" s="26"/>
      <c r="MG31" s="26"/>
      <c r="MH31" s="26"/>
      <c r="MI31" s="26"/>
      <c r="MJ31" s="26"/>
      <c r="MK31" s="26"/>
      <c r="ML31" s="26"/>
      <c r="MM31" s="26"/>
      <c r="MN31" s="26"/>
      <c r="MO31" s="26"/>
      <c r="MP31" s="26"/>
      <c r="MQ31" s="26"/>
      <c r="MR31" s="26"/>
      <c r="MS31" s="26"/>
      <c r="MT31" s="26"/>
      <c r="MU31" s="26"/>
      <c r="MV31" s="26"/>
      <c r="MW31" s="26"/>
      <c r="MX31" s="26"/>
      <c r="MY31" s="26"/>
      <c r="MZ31" s="26"/>
      <c r="NA31" s="26"/>
      <c r="NB31" s="26"/>
      <c r="NC31" s="26"/>
      <c r="ND31" s="26"/>
      <c r="NE31" s="26"/>
      <c r="NF31" s="26"/>
      <c r="NG31" s="26"/>
      <c r="NH31" s="26"/>
      <c r="NI31" s="26"/>
      <c r="NJ31" s="26"/>
      <c r="NK31" s="26"/>
      <c r="NL31" s="26"/>
      <c r="NM31" s="26"/>
      <c r="NN31" s="26"/>
      <c r="NO31" s="26"/>
      <c r="NP31" s="26"/>
      <c r="NQ31" s="26"/>
      <c r="NR31" s="26"/>
      <c r="NS31" s="26"/>
      <c r="NT31" s="26"/>
      <c r="NU31" s="26"/>
      <c r="NV31" s="26"/>
      <c r="NW31" s="26"/>
      <c r="NX31" s="26"/>
      <c r="NY31" s="26"/>
      <c r="NZ31" s="26"/>
      <c r="OA31" s="26"/>
      <c r="OB31" s="26"/>
      <c r="OC31" s="26"/>
      <c r="OD31" s="26"/>
      <c r="OE31" s="26"/>
      <c r="OF31" s="26"/>
      <c r="OG31" s="26"/>
      <c r="OH31" s="26"/>
      <c r="OI31" s="26"/>
      <c r="OJ31" s="26"/>
      <c r="OK31" s="26"/>
      <c r="OL31" s="26"/>
      <c r="OM31" s="26"/>
      <c r="ON31" s="26"/>
      <c r="OO31" s="26"/>
      <c r="OP31" s="26"/>
      <c r="OQ31" s="26"/>
      <c r="OR31" s="26"/>
      <c r="OS31" s="26"/>
      <c r="OT31" s="26"/>
      <c r="OU31" s="26"/>
      <c r="OV31" s="26"/>
      <c r="OW31" s="26"/>
      <c r="OX31" s="26"/>
      <c r="OY31" s="26"/>
      <c r="OZ31" s="26"/>
      <c r="PA31" s="26"/>
      <c r="PB31" s="26"/>
      <c r="PC31" s="26"/>
      <c r="PD31" s="26"/>
      <c r="PE31" s="26"/>
      <c r="PF31" s="26"/>
      <c r="PG31" s="26"/>
      <c r="PH31" s="26"/>
      <c r="PI31" s="26"/>
      <c r="PJ31" s="26"/>
      <c r="PK31" s="26"/>
      <c r="PL31" s="26"/>
      <c r="PM31" s="26"/>
      <c r="PN31" s="26"/>
      <c r="PO31" s="26"/>
      <c r="PP31" s="26"/>
      <c r="PQ31" s="26"/>
      <c r="PR31" s="26"/>
      <c r="PS31" s="26"/>
      <c r="PT31" s="26"/>
      <c r="PU31" s="26"/>
      <c r="PV31" s="26"/>
      <c r="PW31" s="26"/>
      <c r="PX31" s="26"/>
      <c r="PY31" s="26"/>
      <c r="PZ31" s="26"/>
      <c r="QA31" s="26"/>
      <c r="QB31" s="26"/>
      <c r="QC31" s="26"/>
      <c r="QD31" s="26"/>
      <c r="QE31" s="26"/>
      <c r="QF31" s="26"/>
      <c r="QG31" s="26"/>
      <c r="QH31" s="26"/>
      <c r="QI31" s="26"/>
      <c r="QJ31" s="26"/>
      <c r="QK31" s="26"/>
      <c r="QL31" s="26"/>
      <c r="QM31" s="26"/>
      <c r="QN31" s="26"/>
      <c r="QO31" s="26"/>
      <c r="QP31" s="26"/>
      <c r="QQ31" s="26"/>
      <c r="QR31" s="26"/>
      <c r="QS31" s="26"/>
      <c r="QT31" s="26"/>
      <c r="QU31" s="26"/>
      <c r="QV31" s="26"/>
      <c r="QW31" s="26"/>
      <c r="QX31" s="26"/>
      <c r="QY31" s="26"/>
      <c r="QZ31" s="26"/>
      <c r="RA31" s="26"/>
      <c r="RB31" s="26"/>
      <c r="RC31" s="26"/>
      <c r="RD31" s="26"/>
      <c r="RE31" s="26"/>
      <c r="RF31" s="26"/>
      <c r="RG31" s="26"/>
      <c r="RH31" s="26"/>
      <c r="RI31" s="26"/>
      <c r="RJ31" s="26"/>
      <c r="RK31" s="26"/>
      <c r="RL31" s="26"/>
      <c r="RM31" s="26"/>
      <c r="RN31" s="26"/>
      <c r="RO31" s="26"/>
      <c r="RP31" s="26"/>
      <c r="RQ31" s="26"/>
      <c r="RR31" s="26"/>
      <c r="RS31" s="26"/>
      <c r="RT31" s="26"/>
      <c r="RU31" s="26"/>
      <c r="RV31" s="26"/>
      <c r="RW31" s="26"/>
      <c r="RX31" s="26"/>
      <c r="RY31" s="26"/>
      <c r="RZ31" s="26"/>
      <c r="SA31" s="26"/>
      <c r="SB31" s="26"/>
      <c r="SC31" s="26"/>
      <c r="SD31" s="26"/>
      <c r="SE31" s="26"/>
      <c r="SF31" s="26"/>
      <c r="SG31" s="26"/>
      <c r="SH31" s="26"/>
      <c r="SI31" s="26"/>
      <c r="SJ31" s="26"/>
      <c r="SK31" s="26"/>
      <c r="SL31" s="26"/>
      <c r="SM31" s="26"/>
      <c r="SN31" s="26"/>
      <c r="SO31" s="26"/>
      <c r="SP31" s="26"/>
      <c r="SQ31" s="26"/>
      <c r="SR31" s="26"/>
      <c r="SS31" s="26"/>
      <c r="ST31" s="26"/>
      <c r="SU31" s="26"/>
      <c r="SV31" s="26"/>
      <c r="SW31" s="26"/>
      <c r="SX31" s="26"/>
      <c r="SY31" s="26"/>
      <c r="SZ31" s="26"/>
      <c r="TA31" s="26"/>
      <c r="TB31" s="26"/>
      <c r="TC31" s="26"/>
      <c r="TD31" s="26"/>
      <c r="TE31" s="26"/>
      <c r="TF31" s="26"/>
      <c r="TG31" s="26"/>
      <c r="TH31" s="26"/>
      <c r="TI31" s="26"/>
    </row>
    <row r="32" spans="1:529" s="23" customFormat="1" ht="25.5" customHeight="1" x14ac:dyDescent="0.25">
      <c r="A32" s="43" t="s">
        <v>332</v>
      </c>
      <c r="B32" s="44" t="str">
        <f>'дод 4'!A115</f>
        <v>4082</v>
      </c>
      <c r="C32" s="44" t="str">
        <f>'дод 4'!B115</f>
        <v>0829</v>
      </c>
      <c r="D32" s="24" t="str">
        <f>'дод 4'!C115</f>
        <v>Інші заходи в галузі культури і мистецтва</v>
      </c>
      <c r="E32" s="66">
        <f t="shared" si="8"/>
        <v>446424</v>
      </c>
      <c r="F32" s="66">
        <f>465000-18576</f>
        <v>446424</v>
      </c>
      <c r="G32" s="66"/>
      <c r="H32" s="66"/>
      <c r="I32" s="66"/>
      <c r="J32" s="66">
        <f t="shared" si="10"/>
        <v>0</v>
      </c>
      <c r="K32" s="66"/>
      <c r="L32" s="66"/>
      <c r="M32" s="66"/>
      <c r="N32" s="66"/>
      <c r="O32" s="66"/>
      <c r="P32" s="66">
        <f t="shared" si="9"/>
        <v>446424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6"/>
      <c r="JD32" s="26"/>
      <c r="JE32" s="26"/>
      <c r="JF32" s="26"/>
      <c r="JG32" s="26"/>
      <c r="JH32" s="26"/>
      <c r="JI32" s="26"/>
      <c r="JJ32" s="26"/>
      <c r="JK32" s="26"/>
      <c r="JL32" s="26"/>
      <c r="JM32" s="26"/>
      <c r="JN32" s="26"/>
      <c r="JO32" s="26"/>
      <c r="JP32" s="26"/>
      <c r="JQ32" s="26"/>
      <c r="JR32" s="26"/>
      <c r="JS32" s="26"/>
      <c r="JT32" s="26"/>
      <c r="JU32" s="26"/>
      <c r="JV32" s="26"/>
      <c r="JW32" s="26"/>
      <c r="JX32" s="26"/>
      <c r="JY32" s="26"/>
      <c r="JZ32" s="26"/>
      <c r="KA32" s="26"/>
      <c r="KB32" s="26"/>
      <c r="KC32" s="26"/>
      <c r="KD32" s="26"/>
      <c r="KE32" s="26"/>
      <c r="KF32" s="26"/>
      <c r="KG32" s="26"/>
      <c r="KH32" s="26"/>
      <c r="KI32" s="26"/>
      <c r="KJ32" s="26"/>
      <c r="KK32" s="26"/>
      <c r="KL32" s="26"/>
      <c r="KM32" s="26"/>
      <c r="KN32" s="26"/>
      <c r="KO32" s="26"/>
      <c r="KP32" s="26"/>
      <c r="KQ32" s="26"/>
      <c r="KR32" s="26"/>
      <c r="KS32" s="26"/>
      <c r="KT32" s="26"/>
      <c r="KU32" s="26"/>
      <c r="KV32" s="26"/>
      <c r="KW32" s="26"/>
      <c r="KX32" s="26"/>
      <c r="KY32" s="26"/>
      <c r="KZ32" s="26"/>
      <c r="LA32" s="26"/>
      <c r="LB32" s="26"/>
      <c r="LC32" s="26"/>
      <c r="LD32" s="26"/>
      <c r="LE32" s="26"/>
      <c r="LF32" s="26"/>
      <c r="LG32" s="26"/>
      <c r="LH32" s="26"/>
      <c r="LI32" s="26"/>
      <c r="LJ32" s="26"/>
      <c r="LK32" s="26"/>
      <c r="LL32" s="26"/>
      <c r="LM32" s="26"/>
      <c r="LN32" s="26"/>
      <c r="LO32" s="26"/>
      <c r="LP32" s="26"/>
      <c r="LQ32" s="26"/>
      <c r="LR32" s="26"/>
      <c r="LS32" s="26"/>
      <c r="LT32" s="26"/>
      <c r="LU32" s="26"/>
      <c r="LV32" s="26"/>
      <c r="LW32" s="26"/>
      <c r="LX32" s="26"/>
      <c r="LY32" s="26"/>
      <c r="LZ32" s="26"/>
      <c r="MA32" s="26"/>
      <c r="MB32" s="26"/>
      <c r="MC32" s="26"/>
      <c r="MD32" s="26"/>
      <c r="ME32" s="26"/>
      <c r="MF32" s="26"/>
      <c r="MG32" s="26"/>
      <c r="MH32" s="26"/>
      <c r="MI32" s="26"/>
      <c r="MJ32" s="26"/>
      <c r="MK32" s="26"/>
      <c r="ML32" s="26"/>
      <c r="MM32" s="26"/>
      <c r="MN32" s="26"/>
      <c r="MO32" s="26"/>
      <c r="MP32" s="26"/>
      <c r="MQ32" s="26"/>
      <c r="MR32" s="26"/>
      <c r="MS32" s="26"/>
      <c r="MT32" s="26"/>
      <c r="MU32" s="26"/>
      <c r="MV32" s="26"/>
      <c r="MW32" s="26"/>
      <c r="MX32" s="26"/>
      <c r="MY32" s="26"/>
      <c r="MZ32" s="26"/>
      <c r="NA32" s="26"/>
      <c r="NB32" s="26"/>
      <c r="NC32" s="26"/>
      <c r="ND32" s="26"/>
      <c r="NE32" s="26"/>
      <c r="NF32" s="26"/>
      <c r="NG32" s="26"/>
      <c r="NH32" s="26"/>
      <c r="NI32" s="26"/>
      <c r="NJ32" s="26"/>
      <c r="NK32" s="26"/>
      <c r="NL32" s="26"/>
      <c r="NM32" s="26"/>
      <c r="NN32" s="26"/>
      <c r="NO32" s="26"/>
      <c r="NP32" s="26"/>
      <c r="NQ32" s="26"/>
      <c r="NR32" s="26"/>
      <c r="NS32" s="26"/>
      <c r="NT32" s="26"/>
      <c r="NU32" s="26"/>
      <c r="NV32" s="26"/>
      <c r="NW32" s="26"/>
      <c r="NX32" s="26"/>
      <c r="NY32" s="26"/>
      <c r="NZ32" s="26"/>
      <c r="OA32" s="26"/>
      <c r="OB32" s="26"/>
      <c r="OC32" s="26"/>
      <c r="OD32" s="26"/>
      <c r="OE32" s="26"/>
      <c r="OF32" s="26"/>
      <c r="OG32" s="26"/>
      <c r="OH32" s="26"/>
      <c r="OI32" s="26"/>
      <c r="OJ32" s="26"/>
      <c r="OK32" s="26"/>
      <c r="OL32" s="26"/>
      <c r="OM32" s="26"/>
      <c r="ON32" s="26"/>
      <c r="OO32" s="26"/>
      <c r="OP32" s="26"/>
      <c r="OQ32" s="26"/>
      <c r="OR32" s="26"/>
      <c r="OS32" s="26"/>
      <c r="OT32" s="26"/>
      <c r="OU32" s="26"/>
      <c r="OV32" s="26"/>
      <c r="OW32" s="26"/>
      <c r="OX32" s="26"/>
      <c r="OY32" s="26"/>
      <c r="OZ32" s="26"/>
      <c r="PA32" s="26"/>
      <c r="PB32" s="26"/>
      <c r="PC32" s="26"/>
      <c r="PD32" s="26"/>
      <c r="PE32" s="26"/>
      <c r="PF32" s="26"/>
      <c r="PG32" s="26"/>
      <c r="PH32" s="26"/>
      <c r="PI32" s="26"/>
      <c r="PJ32" s="26"/>
      <c r="PK32" s="26"/>
      <c r="PL32" s="26"/>
      <c r="PM32" s="26"/>
      <c r="PN32" s="26"/>
      <c r="PO32" s="26"/>
      <c r="PP32" s="26"/>
      <c r="PQ32" s="26"/>
      <c r="PR32" s="26"/>
      <c r="PS32" s="26"/>
      <c r="PT32" s="26"/>
      <c r="PU32" s="26"/>
      <c r="PV32" s="26"/>
      <c r="PW32" s="26"/>
      <c r="PX32" s="26"/>
      <c r="PY32" s="26"/>
      <c r="PZ32" s="26"/>
      <c r="QA32" s="26"/>
      <c r="QB32" s="26"/>
      <c r="QC32" s="26"/>
      <c r="QD32" s="26"/>
      <c r="QE32" s="26"/>
      <c r="QF32" s="26"/>
      <c r="QG32" s="26"/>
      <c r="QH32" s="26"/>
      <c r="QI32" s="26"/>
      <c r="QJ32" s="26"/>
      <c r="QK32" s="26"/>
      <c r="QL32" s="26"/>
      <c r="QM32" s="26"/>
      <c r="QN32" s="26"/>
      <c r="QO32" s="26"/>
      <c r="QP32" s="26"/>
      <c r="QQ32" s="26"/>
      <c r="QR32" s="26"/>
      <c r="QS32" s="26"/>
      <c r="QT32" s="26"/>
      <c r="QU32" s="26"/>
      <c r="QV32" s="26"/>
      <c r="QW32" s="26"/>
      <c r="QX32" s="26"/>
      <c r="QY32" s="26"/>
      <c r="QZ32" s="26"/>
      <c r="RA32" s="26"/>
      <c r="RB32" s="26"/>
      <c r="RC32" s="26"/>
      <c r="RD32" s="26"/>
      <c r="RE32" s="26"/>
      <c r="RF32" s="26"/>
      <c r="RG32" s="26"/>
      <c r="RH32" s="26"/>
      <c r="RI32" s="26"/>
      <c r="RJ32" s="26"/>
      <c r="RK32" s="26"/>
      <c r="RL32" s="26"/>
      <c r="RM32" s="26"/>
      <c r="RN32" s="26"/>
      <c r="RO32" s="26"/>
      <c r="RP32" s="26"/>
      <c r="RQ32" s="26"/>
      <c r="RR32" s="26"/>
      <c r="RS32" s="26"/>
      <c r="RT32" s="26"/>
      <c r="RU32" s="26"/>
      <c r="RV32" s="26"/>
      <c r="RW32" s="26"/>
      <c r="RX32" s="26"/>
      <c r="RY32" s="26"/>
      <c r="RZ32" s="26"/>
      <c r="SA32" s="26"/>
      <c r="SB32" s="26"/>
      <c r="SC32" s="26"/>
      <c r="SD32" s="26"/>
      <c r="SE32" s="26"/>
      <c r="SF32" s="26"/>
      <c r="SG32" s="26"/>
      <c r="SH32" s="26"/>
      <c r="SI32" s="26"/>
      <c r="SJ32" s="26"/>
      <c r="SK32" s="26"/>
      <c r="SL32" s="26"/>
      <c r="SM32" s="26"/>
      <c r="SN32" s="26"/>
      <c r="SO32" s="26"/>
      <c r="SP32" s="26"/>
      <c r="SQ32" s="26"/>
      <c r="SR32" s="26"/>
      <c r="SS32" s="26"/>
      <c r="ST32" s="26"/>
      <c r="SU32" s="26"/>
      <c r="SV32" s="26"/>
      <c r="SW32" s="26"/>
      <c r="SX32" s="26"/>
      <c r="SY32" s="26"/>
      <c r="SZ32" s="26"/>
      <c r="TA32" s="26"/>
      <c r="TB32" s="26"/>
      <c r="TC32" s="26"/>
      <c r="TD32" s="26"/>
      <c r="TE32" s="26"/>
      <c r="TF32" s="26"/>
      <c r="TG32" s="26"/>
      <c r="TH32" s="26"/>
      <c r="TI32" s="26"/>
    </row>
    <row r="33" spans="1:529" s="23" customFormat="1" ht="36.75" customHeight="1" x14ac:dyDescent="0.25">
      <c r="A33" s="52" t="s">
        <v>167</v>
      </c>
      <c r="B33" s="45" t="str">
        <f>'дод 4'!A117</f>
        <v>5011</v>
      </c>
      <c r="C33" s="45" t="str">
        <f>'дод 4'!B117</f>
        <v>0810</v>
      </c>
      <c r="D33" s="22" t="str">
        <f>'дод 4'!C117</f>
        <v>Проведення навчально-тренувальних зборів і змагань з олімпійських видів спорту</v>
      </c>
      <c r="E33" s="66">
        <f t="shared" si="8"/>
        <v>551000</v>
      </c>
      <c r="F33" s="66">
        <f>750000+1000000+11000-1000000-210000</f>
        <v>551000</v>
      </c>
      <c r="G33" s="66"/>
      <c r="H33" s="66"/>
      <c r="I33" s="66"/>
      <c r="J33" s="66">
        <f t="shared" si="10"/>
        <v>0</v>
      </c>
      <c r="K33" s="66"/>
      <c r="L33" s="66"/>
      <c r="M33" s="66"/>
      <c r="N33" s="66"/>
      <c r="O33" s="66"/>
      <c r="P33" s="66">
        <f t="shared" si="9"/>
        <v>551000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</row>
    <row r="34" spans="1:529" s="23" customFormat="1" ht="34.5" customHeight="1" x14ac:dyDescent="0.25">
      <c r="A34" s="52" t="s">
        <v>168</v>
      </c>
      <c r="B34" s="45" t="str">
        <f>'дод 4'!A118</f>
        <v>5012</v>
      </c>
      <c r="C34" s="45" t="str">
        <f>'дод 4'!B118</f>
        <v>0810</v>
      </c>
      <c r="D34" s="22" t="str">
        <f>'дод 4'!C118</f>
        <v>Проведення навчально-тренувальних зборів і змагань з неолімпійських видів спорту</v>
      </c>
      <c r="E34" s="66">
        <f t="shared" si="8"/>
        <v>959400</v>
      </c>
      <c r="F34" s="66">
        <f>750000+1300000+127000+98000-1000000-315600</f>
        <v>959400</v>
      </c>
      <c r="G34" s="66"/>
      <c r="H34" s="66"/>
      <c r="I34" s="66"/>
      <c r="J34" s="66">
        <f t="shared" si="10"/>
        <v>0</v>
      </c>
      <c r="K34" s="66"/>
      <c r="L34" s="66"/>
      <c r="M34" s="66"/>
      <c r="N34" s="66"/>
      <c r="O34" s="66"/>
      <c r="P34" s="66">
        <f t="shared" si="9"/>
        <v>959400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</row>
    <row r="35" spans="1:529" s="23" customFormat="1" ht="39" customHeight="1" x14ac:dyDescent="0.25">
      <c r="A35" s="52" t="s">
        <v>169</v>
      </c>
      <c r="B35" s="45" t="str">
        <f>'дод 4'!A119</f>
        <v>5031</v>
      </c>
      <c r="C35" s="45" t="str">
        <f>'дод 4'!B119</f>
        <v>0810</v>
      </c>
      <c r="D35" s="22" t="str">
        <f>'дод 4'!C119</f>
        <v>Утримання та навчально-тренувальна робота комунальних дитячо-юнацьких спортивних шкіл</v>
      </c>
      <c r="E35" s="66">
        <f t="shared" si="8"/>
        <v>13549730</v>
      </c>
      <c r="F35" s="66">
        <f>13106830+37000+412000+25000-130000+53900-15000+60000</f>
        <v>13549730</v>
      </c>
      <c r="G35" s="66">
        <v>9753300</v>
      </c>
      <c r="H35" s="66">
        <f>819990-130000</f>
        <v>689990</v>
      </c>
      <c r="I35" s="66">
        <v>0</v>
      </c>
      <c r="J35" s="66">
        <f t="shared" si="10"/>
        <v>279000</v>
      </c>
      <c r="K35" s="66">
        <f>500000+228000-500000+39000+12000</f>
        <v>279000</v>
      </c>
      <c r="L35" s="66"/>
      <c r="M35" s="66"/>
      <c r="N35" s="66"/>
      <c r="O35" s="66">
        <f>500000+228000-500000+39000+12000</f>
        <v>279000</v>
      </c>
      <c r="P35" s="66">
        <f t="shared" si="9"/>
        <v>13828730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</row>
    <row r="36" spans="1:529" s="23" customFormat="1" ht="33.75" customHeight="1" x14ac:dyDescent="0.25">
      <c r="A36" s="52" t="s">
        <v>393</v>
      </c>
      <c r="B36" s="45" t="str">
        <f>'дод 4'!A120</f>
        <v>5032</v>
      </c>
      <c r="C36" s="45" t="str">
        <f>'дод 4'!B120</f>
        <v>0810</v>
      </c>
      <c r="D36" s="22" t="str">
        <f>'дод 4'!C120</f>
        <v>Фінансова підтримка дитячо-юнацьких спортивних шкіл фізкультурно-спортивних товариств</v>
      </c>
      <c r="E36" s="66">
        <f t="shared" si="8"/>
        <v>11437630</v>
      </c>
      <c r="F36" s="66">
        <f>11143630+20000+143000+40000-14000+25000+80000</f>
        <v>11437630</v>
      </c>
      <c r="G36" s="66"/>
      <c r="H36" s="66"/>
      <c r="I36" s="66"/>
      <c r="J36" s="66">
        <f t="shared" si="10"/>
        <v>198000</v>
      </c>
      <c r="K36" s="66">
        <f>93000+7000+30000+68000</f>
        <v>198000</v>
      </c>
      <c r="L36" s="66"/>
      <c r="M36" s="66"/>
      <c r="N36" s="66"/>
      <c r="O36" s="66">
        <f>93000+7000+30000+68000</f>
        <v>198000</v>
      </c>
      <c r="P36" s="66">
        <f t="shared" si="9"/>
        <v>11635630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</row>
    <row r="37" spans="1:529" s="23" customFormat="1" ht="48" customHeight="1" x14ac:dyDescent="0.25">
      <c r="A37" s="52" t="s">
        <v>170</v>
      </c>
      <c r="B37" s="45" t="str">
        <f>'дод 4'!A121</f>
        <v>5061</v>
      </c>
      <c r="C37" s="45" t="str">
        <f>'дод 4'!B121</f>
        <v>0810</v>
      </c>
      <c r="D37" s="22" t="str">
        <f>'дод 4'!C121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7" s="66">
        <f t="shared" si="8"/>
        <v>4493120</v>
      </c>
      <c r="F37" s="66">
        <f>3728120+165000+50000-50000+15000+585000</f>
        <v>4493120</v>
      </c>
      <c r="G37" s="66">
        <v>2446900</v>
      </c>
      <c r="H37" s="66">
        <f>370100-50000</f>
        <v>320100</v>
      </c>
      <c r="I37" s="66"/>
      <c r="J37" s="66">
        <f t="shared" si="10"/>
        <v>179120</v>
      </c>
      <c r="K37" s="66">
        <f>900000-900000</f>
        <v>0</v>
      </c>
      <c r="L37" s="66">
        <v>179120</v>
      </c>
      <c r="M37" s="66">
        <v>91105</v>
      </c>
      <c r="N37" s="66">
        <v>51050</v>
      </c>
      <c r="O37" s="66">
        <f>900000-900000</f>
        <v>0</v>
      </c>
      <c r="P37" s="66">
        <f t="shared" si="9"/>
        <v>4672240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</row>
    <row r="38" spans="1:529" s="23" customFormat="1" ht="30.75" customHeight="1" x14ac:dyDescent="0.25">
      <c r="A38" s="52" t="s">
        <v>384</v>
      </c>
      <c r="B38" s="45" t="str">
        <f>'дод 4'!A122</f>
        <v>5062</v>
      </c>
      <c r="C38" s="45" t="str">
        <f>'дод 4'!B122</f>
        <v>0810</v>
      </c>
      <c r="D38" s="22" t="str">
        <f>'дод 4'!C122</f>
        <v>Підтримка спорту вищих досягнень та організацій, які здійснюють фізкультурно-спортивну діяльність в регіоні</v>
      </c>
      <c r="E38" s="66">
        <f t="shared" si="8"/>
        <v>9074590</v>
      </c>
      <c r="F38" s="66">
        <f>6608390+200000+215000+65000+5000+2000000-18800</f>
        <v>9074590</v>
      </c>
      <c r="G38" s="66"/>
      <c r="H38" s="66"/>
      <c r="I38" s="66"/>
      <c r="J38" s="66">
        <f t="shared" si="10"/>
        <v>43450</v>
      </c>
      <c r="K38" s="66">
        <v>43450</v>
      </c>
      <c r="L38" s="66"/>
      <c r="M38" s="66"/>
      <c r="N38" s="66"/>
      <c r="O38" s="66">
        <v>43450</v>
      </c>
      <c r="P38" s="66">
        <f t="shared" si="9"/>
        <v>9118040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</row>
    <row r="39" spans="1:529" s="23" customFormat="1" ht="39" customHeight="1" x14ac:dyDescent="0.25">
      <c r="A39" s="52" t="s">
        <v>499</v>
      </c>
      <c r="B39" s="45">
        <v>7325</v>
      </c>
      <c r="C39" s="168" t="s">
        <v>119</v>
      </c>
      <c r="D39" s="22" t="s">
        <v>396</v>
      </c>
      <c r="E39" s="66">
        <f t="shared" si="8"/>
        <v>0</v>
      </c>
      <c r="F39" s="66"/>
      <c r="G39" s="66"/>
      <c r="H39" s="66"/>
      <c r="I39" s="66"/>
      <c r="J39" s="66">
        <f t="shared" si="10"/>
        <v>1400000</v>
      </c>
      <c r="K39" s="66">
        <v>1400000</v>
      </c>
      <c r="L39" s="66"/>
      <c r="M39" s="66"/>
      <c r="N39" s="66"/>
      <c r="O39" s="66">
        <v>1400000</v>
      </c>
      <c r="P39" s="66">
        <f t="shared" si="9"/>
        <v>1400000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</row>
    <row r="40" spans="1:529" s="23" customFormat="1" x14ac:dyDescent="0.25">
      <c r="A40" s="52" t="s">
        <v>500</v>
      </c>
      <c r="B40" s="45">
        <v>7330</v>
      </c>
      <c r="C40" s="168" t="s">
        <v>119</v>
      </c>
      <c r="D40" s="22" t="s">
        <v>364</v>
      </c>
      <c r="E40" s="66">
        <f t="shared" si="8"/>
        <v>0</v>
      </c>
      <c r="F40" s="66"/>
      <c r="G40" s="66"/>
      <c r="H40" s="66"/>
      <c r="I40" s="66"/>
      <c r="J40" s="66">
        <f t="shared" si="10"/>
        <v>1230200</v>
      </c>
      <c r="K40" s="66">
        <v>1230200</v>
      </c>
      <c r="L40" s="66"/>
      <c r="M40" s="66"/>
      <c r="N40" s="66"/>
      <c r="O40" s="66">
        <v>1230200</v>
      </c>
      <c r="P40" s="66">
        <f t="shared" si="9"/>
        <v>1230200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</row>
    <row r="41" spans="1:529" s="23" customFormat="1" ht="24" customHeight="1" x14ac:dyDescent="0.25">
      <c r="A41" s="52" t="s">
        <v>171</v>
      </c>
      <c r="B41" s="45" t="str">
        <f>'дод 4'!A153</f>
        <v>7412</v>
      </c>
      <c r="C41" s="45" t="str">
        <f>'дод 4'!B153</f>
        <v>0451</v>
      </c>
      <c r="D41" s="22" t="str">
        <f>'дод 4'!C153</f>
        <v>Регулювання цін на послуги місцевого автотранспорту</v>
      </c>
      <c r="E41" s="66">
        <f t="shared" si="8"/>
        <v>5514500</v>
      </c>
      <c r="F41" s="66"/>
      <c r="G41" s="66"/>
      <c r="H41" s="66"/>
      <c r="I41" s="66">
        <f>10000000-4485500</f>
        <v>5514500</v>
      </c>
      <c r="J41" s="66">
        <f t="shared" si="10"/>
        <v>0</v>
      </c>
      <c r="K41" s="66"/>
      <c r="L41" s="66"/>
      <c r="M41" s="66"/>
      <c r="N41" s="66"/>
      <c r="O41" s="66"/>
      <c r="P41" s="66">
        <f t="shared" si="9"/>
        <v>5514500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</row>
    <row r="42" spans="1:529" s="23" customFormat="1" ht="24" customHeight="1" x14ac:dyDescent="0.25">
      <c r="A42" s="52" t="s">
        <v>433</v>
      </c>
      <c r="B42" s="45">
        <f>'дод 4'!A154</f>
        <v>7413</v>
      </c>
      <c r="C42" s="45" t="str">
        <f>'дод 4'!B154</f>
        <v>0451</v>
      </c>
      <c r="D42" s="130" t="str">
        <f>'дод 4'!C154</f>
        <v>Інші заходи у сфері автотранспорту</v>
      </c>
      <c r="E42" s="66">
        <f t="shared" si="8"/>
        <v>6137800</v>
      </c>
      <c r="F42" s="66"/>
      <c r="G42" s="66"/>
      <c r="H42" s="66"/>
      <c r="I42" s="66">
        <f>2800000+3337800</f>
        <v>6137800</v>
      </c>
      <c r="J42" s="66">
        <f t="shared" si="10"/>
        <v>0</v>
      </c>
      <c r="K42" s="66"/>
      <c r="L42" s="66"/>
      <c r="M42" s="66"/>
      <c r="N42" s="66"/>
      <c r="O42" s="66"/>
      <c r="P42" s="66">
        <f t="shared" si="9"/>
        <v>6137800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</row>
    <row r="43" spans="1:529" s="23" customFormat="1" ht="24" customHeight="1" x14ac:dyDescent="0.25">
      <c r="A43" s="52" t="s">
        <v>434</v>
      </c>
      <c r="B43" s="45">
        <f>'дод 4'!A155</f>
        <v>7426</v>
      </c>
      <c r="C43" s="52" t="s">
        <v>498</v>
      </c>
      <c r="D43" s="130" t="str">
        <f>'дод 4'!C155</f>
        <v>Інші заходи у сфері електротранспорту</v>
      </c>
      <c r="E43" s="66">
        <f t="shared" si="8"/>
        <v>26311500</v>
      </c>
      <c r="F43" s="66"/>
      <c r="G43" s="66"/>
      <c r="H43" s="66"/>
      <c r="I43" s="66">
        <f>15200000+11111500</f>
        <v>26311500</v>
      </c>
      <c r="J43" s="66">
        <f t="shared" si="10"/>
        <v>0</v>
      </c>
      <c r="K43" s="66"/>
      <c r="L43" s="66"/>
      <c r="M43" s="66"/>
      <c r="N43" s="66"/>
      <c r="O43" s="66"/>
      <c r="P43" s="66">
        <f t="shared" si="9"/>
        <v>26311500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</row>
    <row r="44" spans="1:529" s="23" customFormat="1" ht="20.25" customHeight="1" x14ac:dyDescent="0.25">
      <c r="A44" s="52" t="s">
        <v>255</v>
      </c>
      <c r="B44" s="45" t="str">
        <f>'дод 4'!A159</f>
        <v>7530</v>
      </c>
      <c r="C44" s="45" t="str">
        <f>'дод 4'!B159</f>
        <v>0460</v>
      </c>
      <c r="D44" s="22" t="s">
        <v>256</v>
      </c>
      <c r="E44" s="66">
        <f t="shared" si="8"/>
        <v>11260300</v>
      </c>
      <c r="F44" s="66">
        <f>10000000+3450000-2189700</f>
        <v>11260300</v>
      </c>
      <c r="G44" s="66"/>
      <c r="H44" s="66"/>
      <c r="I44" s="66"/>
      <c r="J44" s="66">
        <f t="shared" si="10"/>
        <v>1660000</v>
      </c>
      <c r="K44" s="66">
        <f>5000000+1050000-1390000-3000000</f>
        <v>1660000</v>
      </c>
      <c r="L44" s="66"/>
      <c r="M44" s="66"/>
      <c r="N44" s="66"/>
      <c r="O44" s="66">
        <f>5000000+1050000-1390000-3000000</f>
        <v>1660000</v>
      </c>
      <c r="P44" s="66">
        <f t="shared" si="9"/>
        <v>12920300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</row>
    <row r="45" spans="1:529" s="23" customFormat="1" ht="20.25" customHeight="1" x14ac:dyDescent="0.25">
      <c r="A45" s="52" t="s">
        <v>172</v>
      </c>
      <c r="B45" s="45" t="str">
        <f>'дод 4'!A162</f>
        <v>7610</v>
      </c>
      <c r="C45" s="45" t="str">
        <f>'дод 4'!B162</f>
        <v>0411</v>
      </c>
      <c r="D45" s="22" t="str">
        <f>'дод 4'!C162</f>
        <v>Сприяння розвитку малого та середнього підприємництва</v>
      </c>
      <c r="E45" s="66">
        <f t="shared" si="8"/>
        <v>215000</v>
      </c>
      <c r="F45" s="66">
        <f>115000+100000</f>
        <v>215000</v>
      </c>
      <c r="G45" s="66"/>
      <c r="H45" s="66"/>
      <c r="I45" s="66"/>
      <c r="J45" s="66">
        <f t="shared" si="10"/>
        <v>0</v>
      </c>
      <c r="K45" s="66"/>
      <c r="L45" s="66"/>
      <c r="M45" s="66"/>
      <c r="N45" s="66"/>
      <c r="O45" s="66"/>
      <c r="P45" s="66">
        <f t="shared" si="9"/>
        <v>215000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</row>
    <row r="46" spans="1:529" s="23" customFormat="1" ht="23.25" customHeight="1" x14ac:dyDescent="0.25">
      <c r="A46" s="52" t="s">
        <v>173</v>
      </c>
      <c r="B46" s="45" t="str">
        <f>'дод 4'!A167</f>
        <v>7670</v>
      </c>
      <c r="C46" s="45" t="str">
        <f>'дод 4'!B167</f>
        <v>0490</v>
      </c>
      <c r="D46" s="22" t="str">
        <f>'дод 4'!C167</f>
        <v>Внески до статутного капіталу суб’єктів господарювання</v>
      </c>
      <c r="E46" s="66">
        <f t="shared" si="8"/>
        <v>0</v>
      </c>
      <c r="F46" s="66"/>
      <c r="G46" s="66"/>
      <c r="H46" s="66"/>
      <c r="I46" s="66"/>
      <c r="J46" s="66">
        <f t="shared" si="10"/>
        <v>12572000</v>
      </c>
      <c r="K46" s="66">
        <f>22572000-13000000+3000000</f>
        <v>12572000</v>
      </c>
      <c r="L46" s="66"/>
      <c r="M46" s="66"/>
      <c r="N46" s="66"/>
      <c r="O46" s="66">
        <f>22572000-13000000+3000000</f>
        <v>12572000</v>
      </c>
      <c r="P46" s="66">
        <f t="shared" si="9"/>
        <v>12572000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</row>
    <row r="47" spans="1:529" s="23" customFormat="1" ht="36.75" customHeight="1" x14ac:dyDescent="0.25">
      <c r="A47" s="52" t="s">
        <v>269</v>
      </c>
      <c r="B47" s="45" t="str">
        <f>'дод 4'!A168</f>
        <v>7680</v>
      </c>
      <c r="C47" s="45" t="str">
        <f>'дод 4'!B168</f>
        <v>0490</v>
      </c>
      <c r="D47" s="22" t="str">
        <f>'дод 4'!C168</f>
        <v>Членські внески до асоціацій органів місцевого самоврядування</v>
      </c>
      <c r="E47" s="66">
        <f t="shared" si="8"/>
        <v>221467</v>
      </c>
      <c r="F47" s="66">
        <f>158069+82000+1715-317-20000</f>
        <v>221467</v>
      </c>
      <c r="G47" s="66"/>
      <c r="H47" s="66"/>
      <c r="I47" s="66"/>
      <c r="J47" s="66">
        <f t="shared" si="10"/>
        <v>0</v>
      </c>
      <c r="K47" s="66"/>
      <c r="L47" s="66"/>
      <c r="M47" s="66"/>
      <c r="N47" s="66"/>
      <c r="O47" s="66"/>
      <c r="P47" s="66">
        <f t="shared" si="9"/>
        <v>221467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</row>
    <row r="48" spans="1:529" s="23" customFormat="1" ht="87" customHeight="1" x14ac:dyDescent="0.25">
      <c r="A48" s="52" t="s">
        <v>329</v>
      </c>
      <c r="B48" s="45" t="str">
        <f>'дод 4'!A169</f>
        <v>7691</v>
      </c>
      <c r="C48" s="45" t="str">
        <f>'дод 4'!B169</f>
        <v>0490</v>
      </c>
      <c r="D48" s="22" t="str">
        <f>'дод 4'!C169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48" s="66">
        <f t="shared" si="8"/>
        <v>0</v>
      </c>
      <c r="F48" s="66"/>
      <c r="G48" s="66"/>
      <c r="H48" s="66"/>
      <c r="I48" s="66"/>
      <c r="J48" s="66">
        <f t="shared" si="10"/>
        <v>68223.199999999997</v>
      </c>
      <c r="K48" s="66"/>
      <c r="L48" s="66">
        <f>64711+3512.2</f>
        <v>68223.199999999997</v>
      </c>
      <c r="M48" s="66"/>
      <c r="N48" s="66"/>
      <c r="O48" s="66"/>
      <c r="P48" s="66">
        <f t="shared" si="9"/>
        <v>68223.199999999997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</row>
    <row r="49" spans="1:529" s="23" customFormat="1" ht="23.25" customHeight="1" x14ac:dyDescent="0.25">
      <c r="A49" s="52" t="s">
        <v>262</v>
      </c>
      <c r="B49" s="45" t="str">
        <f>'дод 4'!A170</f>
        <v>7693</v>
      </c>
      <c r="C49" s="45" t="str">
        <f>'дод 4'!B170</f>
        <v>0490</v>
      </c>
      <c r="D49" s="22" t="str">
        <f>'дод 4'!C170</f>
        <v>Інші заходи, пов'язані з економічною діяльністю</v>
      </c>
      <c r="E49" s="66">
        <f t="shared" si="8"/>
        <v>1688465</v>
      </c>
      <c r="F49" s="66">
        <f>1617587+250000+3000-1398-34300-146424</f>
        <v>1688465</v>
      </c>
      <c r="G49" s="66"/>
      <c r="H49" s="66"/>
      <c r="I49" s="66"/>
      <c r="J49" s="66">
        <f t="shared" si="10"/>
        <v>0</v>
      </c>
      <c r="K49" s="66"/>
      <c r="L49" s="66"/>
      <c r="M49" s="66"/>
      <c r="N49" s="66"/>
      <c r="O49" s="66"/>
      <c r="P49" s="66">
        <f t="shared" si="9"/>
        <v>1688465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</row>
    <row r="50" spans="1:529" s="23" customFormat="1" ht="34.5" customHeight="1" x14ac:dyDescent="0.25">
      <c r="A50" s="52" t="s">
        <v>174</v>
      </c>
      <c r="B50" s="45" t="str">
        <f>'дод 4'!A177</f>
        <v>8110</v>
      </c>
      <c r="C50" s="45" t="str">
        <f>'дод 4'!B177</f>
        <v>0320</v>
      </c>
      <c r="D50" s="22" t="str">
        <f>'дод 4'!C177</f>
        <v>Заходи із запобігання та ліквідації надзвичайних ситуацій та наслідків стихійного лиха</v>
      </c>
      <c r="E50" s="66">
        <f t="shared" si="8"/>
        <v>584500</v>
      </c>
      <c r="F50" s="66">
        <f>284500+300000</f>
        <v>584500</v>
      </c>
      <c r="G50" s="66"/>
      <c r="H50" s="66">
        <v>7500</v>
      </c>
      <c r="I50" s="66"/>
      <c r="J50" s="66">
        <f t="shared" si="10"/>
        <v>2299600</v>
      </c>
      <c r="K50" s="66">
        <f>2159600+140000</f>
        <v>2299600</v>
      </c>
      <c r="L50" s="66"/>
      <c r="M50" s="66"/>
      <c r="N50" s="66"/>
      <c r="O50" s="66">
        <f>2159600+140000</f>
        <v>2299600</v>
      </c>
      <c r="P50" s="66">
        <f t="shared" si="9"/>
        <v>2884100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</row>
    <row r="51" spans="1:529" s="23" customFormat="1" ht="19.5" customHeight="1" x14ac:dyDescent="0.25">
      <c r="A51" s="52" t="s">
        <v>244</v>
      </c>
      <c r="B51" s="45" t="str">
        <f>'дод 4'!A178</f>
        <v>8120</v>
      </c>
      <c r="C51" s="45" t="str">
        <f>'дод 4'!B178</f>
        <v>0320</v>
      </c>
      <c r="D51" s="22" t="str">
        <f>'дод 4'!C178</f>
        <v>Заходи з організації рятування на водах, у т.ч. за рахунок:</v>
      </c>
      <c r="E51" s="66">
        <f t="shared" si="8"/>
        <v>2026570</v>
      </c>
      <c r="F51" s="66">
        <f>1892080+19210+32020+78970+7990-3700</f>
        <v>2026570</v>
      </c>
      <c r="G51" s="66">
        <v>1542220</v>
      </c>
      <c r="H51" s="66">
        <f>79880-3700</f>
        <v>76180</v>
      </c>
      <c r="I51" s="66"/>
      <c r="J51" s="66">
        <f t="shared" si="10"/>
        <v>5500</v>
      </c>
      <c r="K51" s="66"/>
      <c r="L51" s="66">
        <v>5500</v>
      </c>
      <c r="M51" s="66"/>
      <c r="N51" s="66">
        <v>1400</v>
      </c>
      <c r="O51" s="66"/>
      <c r="P51" s="66">
        <f t="shared" si="9"/>
        <v>2032070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</row>
    <row r="52" spans="1:529" s="27" customFormat="1" ht="51.75" customHeight="1" x14ac:dyDescent="0.25">
      <c r="A52" s="141"/>
      <c r="B52" s="142"/>
      <c r="C52" s="142"/>
      <c r="D52" s="143" t="str">
        <f>'дод 4'!C179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2" s="144">
        <f t="shared" si="8"/>
        <v>380580</v>
      </c>
      <c r="F52" s="144">
        <v>380580</v>
      </c>
      <c r="G52" s="144">
        <v>311950</v>
      </c>
      <c r="H52" s="144"/>
      <c r="I52" s="144"/>
      <c r="J52" s="144">
        <f t="shared" si="10"/>
        <v>0</v>
      </c>
      <c r="K52" s="144"/>
      <c r="L52" s="144"/>
      <c r="M52" s="144"/>
      <c r="N52" s="144"/>
      <c r="O52" s="144"/>
      <c r="P52" s="144">
        <f t="shared" si="9"/>
        <v>380580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36"/>
      <c r="IX52" s="36"/>
      <c r="IY52" s="36"/>
      <c r="IZ52" s="36"/>
      <c r="JA52" s="36"/>
      <c r="JB52" s="36"/>
      <c r="JC52" s="36"/>
      <c r="JD52" s="36"/>
      <c r="JE52" s="36"/>
      <c r="JF52" s="36"/>
      <c r="JG52" s="36"/>
      <c r="JH52" s="36"/>
      <c r="JI52" s="36"/>
      <c r="JJ52" s="36"/>
      <c r="JK52" s="36"/>
      <c r="JL52" s="36"/>
      <c r="JM52" s="36"/>
      <c r="JN52" s="36"/>
      <c r="JO52" s="36"/>
      <c r="JP52" s="36"/>
      <c r="JQ52" s="36"/>
      <c r="JR52" s="36"/>
      <c r="JS52" s="36"/>
      <c r="JT52" s="36"/>
      <c r="JU52" s="36"/>
      <c r="JV52" s="36"/>
      <c r="JW52" s="36"/>
      <c r="JX52" s="36"/>
      <c r="JY52" s="36"/>
      <c r="JZ52" s="36"/>
      <c r="KA52" s="36"/>
      <c r="KB52" s="36"/>
      <c r="KC52" s="36"/>
      <c r="KD52" s="36"/>
      <c r="KE52" s="36"/>
      <c r="KF52" s="36"/>
      <c r="KG52" s="36"/>
      <c r="KH52" s="36"/>
      <c r="KI52" s="36"/>
      <c r="KJ52" s="36"/>
      <c r="KK52" s="36"/>
      <c r="KL52" s="36"/>
      <c r="KM52" s="36"/>
      <c r="KN52" s="36"/>
      <c r="KO52" s="36"/>
      <c r="KP52" s="36"/>
      <c r="KQ52" s="36"/>
      <c r="KR52" s="36"/>
      <c r="KS52" s="36"/>
      <c r="KT52" s="36"/>
      <c r="KU52" s="36"/>
      <c r="KV52" s="36"/>
      <c r="KW52" s="36"/>
      <c r="KX52" s="36"/>
      <c r="KY52" s="36"/>
      <c r="KZ52" s="36"/>
      <c r="LA52" s="36"/>
      <c r="LB52" s="36"/>
      <c r="LC52" s="36"/>
      <c r="LD52" s="36"/>
      <c r="LE52" s="36"/>
      <c r="LF52" s="36"/>
      <c r="LG52" s="36"/>
      <c r="LH52" s="36"/>
      <c r="LI52" s="36"/>
      <c r="LJ52" s="36"/>
      <c r="LK52" s="36"/>
      <c r="LL52" s="36"/>
      <c r="LM52" s="36"/>
      <c r="LN52" s="36"/>
      <c r="LO52" s="36"/>
      <c r="LP52" s="36"/>
      <c r="LQ52" s="36"/>
      <c r="LR52" s="36"/>
      <c r="LS52" s="36"/>
      <c r="LT52" s="36"/>
      <c r="LU52" s="36"/>
      <c r="LV52" s="36"/>
      <c r="LW52" s="36"/>
      <c r="LX52" s="36"/>
      <c r="LY52" s="36"/>
      <c r="LZ52" s="36"/>
      <c r="MA52" s="36"/>
      <c r="MB52" s="36"/>
      <c r="MC52" s="36"/>
      <c r="MD52" s="36"/>
      <c r="ME52" s="36"/>
      <c r="MF52" s="36"/>
      <c r="MG52" s="36"/>
      <c r="MH52" s="36"/>
      <c r="MI52" s="36"/>
      <c r="MJ52" s="36"/>
      <c r="MK52" s="36"/>
      <c r="ML52" s="36"/>
      <c r="MM52" s="36"/>
      <c r="MN52" s="36"/>
      <c r="MO52" s="36"/>
      <c r="MP52" s="36"/>
      <c r="MQ52" s="36"/>
      <c r="MR52" s="36"/>
      <c r="MS52" s="36"/>
      <c r="MT52" s="36"/>
      <c r="MU52" s="36"/>
      <c r="MV52" s="36"/>
      <c r="MW52" s="36"/>
      <c r="MX52" s="36"/>
      <c r="MY52" s="36"/>
      <c r="MZ52" s="36"/>
      <c r="NA52" s="36"/>
      <c r="NB52" s="36"/>
      <c r="NC52" s="36"/>
      <c r="ND52" s="36"/>
      <c r="NE52" s="36"/>
      <c r="NF52" s="36"/>
      <c r="NG52" s="36"/>
      <c r="NH52" s="36"/>
      <c r="NI52" s="36"/>
      <c r="NJ52" s="36"/>
      <c r="NK52" s="36"/>
      <c r="NL52" s="36"/>
      <c r="NM52" s="36"/>
      <c r="NN52" s="36"/>
      <c r="NO52" s="36"/>
      <c r="NP52" s="36"/>
      <c r="NQ52" s="36"/>
      <c r="NR52" s="36"/>
      <c r="NS52" s="36"/>
      <c r="NT52" s="36"/>
      <c r="NU52" s="36"/>
      <c r="NV52" s="36"/>
      <c r="NW52" s="36"/>
      <c r="NX52" s="36"/>
      <c r="NY52" s="36"/>
      <c r="NZ52" s="36"/>
      <c r="OA52" s="36"/>
      <c r="OB52" s="36"/>
      <c r="OC52" s="36"/>
      <c r="OD52" s="36"/>
      <c r="OE52" s="36"/>
      <c r="OF52" s="36"/>
      <c r="OG52" s="36"/>
      <c r="OH52" s="36"/>
      <c r="OI52" s="36"/>
      <c r="OJ52" s="36"/>
      <c r="OK52" s="36"/>
      <c r="OL52" s="36"/>
      <c r="OM52" s="36"/>
      <c r="ON52" s="36"/>
      <c r="OO52" s="36"/>
      <c r="OP52" s="36"/>
      <c r="OQ52" s="36"/>
      <c r="OR52" s="36"/>
      <c r="OS52" s="36"/>
      <c r="OT52" s="36"/>
      <c r="OU52" s="36"/>
      <c r="OV52" s="36"/>
      <c r="OW52" s="36"/>
      <c r="OX52" s="36"/>
      <c r="OY52" s="36"/>
      <c r="OZ52" s="36"/>
      <c r="PA52" s="36"/>
      <c r="PB52" s="36"/>
      <c r="PC52" s="36"/>
      <c r="PD52" s="36"/>
      <c r="PE52" s="36"/>
      <c r="PF52" s="36"/>
      <c r="PG52" s="36"/>
      <c r="PH52" s="36"/>
      <c r="PI52" s="36"/>
      <c r="PJ52" s="36"/>
      <c r="PK52" s="36"/>
      <c r="PL52" s="36"/>
      <c r="PM52" s="36"/>
      <c r="PN52" s="36"/>
      <c r="PO52" s="36"/>
      <c r="PP52" s="36"/>
      <c r="PQ52" s="36"/>
      <c r="PR52" s="36"/>
      <c r="PS52" s="36"/>
      <c r="PT52" s="36"/>
      <c r="PU52" s="36"/>
      <c r="PV52" s="36"/>
      <c r="PW52" s="36"/>
      <c r="PX52" s="36"/>
      <c r="PY52" s="36"/>
      <c r="PZ52" s="36"/>
      <c r="QA52" s="36"/>
      <c r="QB52" s="36"/>
      <c r="QC52" s="36"/>
      <c r="QD52" s="36"/>
      <c r="QE52" s="36"/>
      <c r="QF52" s="36"/>
      <c r="QG52" s="36"/>
      <c r="QH52" s="36"/>
      <c r="QI52" s="36"/>
      <c r="QJ52" s="36"/>
      <c r="QK52" s="36"/>
      <c r="QL52" s="36"/>
      <c r="QM52" s="36"/>
      <c r="QN52" s="36"/>
      <c r="QO52" s="36"/>
      <c r="QP52" s="36"/>
      <c r="QQ52" s="36"/>
      <c r="QR52" s="36"/>
      <c r="QS52" s="36"/>
      <c r="QT52" s="36"/>
      <c r="QU52" s="36"/>
      <c r="QV52" s="36"/>
      <c r="QW52" s="36"/>
      <c r="QX52" s="36"/>
      <c r="QY52" s="36"/>
      <c r="QZ52" s="36"/>
      <c r="RA52" s="36"/>
      <c r="RB52" s="36"/>
      <c r="RC52" s="36"/>
      <c r="RD52" s="36"/>
      <c r="RE52" s="36"/>
      <c r="RF52" s="36"/>
      <c r="RG52" s="36"/>
      <c r="RH52" s="36"/>
      <c r="RI52" s="36"/>
      <c r="RJ52" s="36"/>
      <c r="RK52" s="36"/>
      <c r="RL52" s="36"/>
      <c r="RM52" s="36"/>
      <c r="RN52" s="36"/>
      <c r="RO52" s="36"/>
      <c r="RP52" s="36"/>
      <c r="RQ52" s="36"/>
      <c r="RR52" s="36"/>
      <c r="RS52" s="36"/>
      <c r="RT52" s="36"/>
      <c r="RU52" s="36"/>
      <c r="RV52" s="36"/>
      <c r="RW52" s="36"/>
      <c r="RX52" s="36"/>
      <c r="RY52" s="36"/>
      <c r="RZ52" s="36"/>
      <c r="SA52" s="36"/>
      <c r="SB52" s="36"/>
      <c r="SC52" s="36"/>
      <c r="SD52" s="36"/>
      <c r="SE52" s="36"/>
      <c r="SF52" s="36"/>
      <c r="SG52" s="36"/>
      <c r="SH52" s="36"/>
      <c r="SI52" s="36"/>
      <c r="SJ52" s="36"/>
      <c r="SK52" s="36"/>
      <c r="SL52" s="36"/>
      <c r="SM52" s="36"/>
      <c r="SN52" s="36"/>
      <c r="SO52" s="36"/>
      <c r="SP52" s="36"/>
      <c r="SQ52" s="36"/>
      <c r="SR52" s="36"/>
      <c r="SS52" s="36"/>
      <c r="ST52" s="36"/>
      <c r="SU52" s="36"/>
      <c r="SV52" s="36"/>
      <c r="SW52" s="36"/>
      <c r="SX52" s="36"/>
      <c r="SY52" s="36"/>
      <c r="SZ52" s="36"/>
      <c r="TA52" s="36"/>
      <c r="TB52" s="36"/>
      <c r="TC52" s="36"/>
      <c r="TD52" s="36"/>
      <c r="TE52" s="36"/>
      <c r="TF52" s="36"/>
      <c r="TG52" s="36"/>
      <c r="TH52" s="36"/>
      <c r="TI52" s="36"/>
    </row>
    <row r="53" spans="1:529" s="23" customFormat="1" ht="21.75" customHeight="1" x14ac:dyDescent="0.25">
      <c r="A53" s="52" t="s">
        <v>265</v>
      </c>
      <c r="B53" s="45" t="str">
        <f>'дод 4'!A181</f>
        <v>8230</v>
      </c>
      <c r="C53" s="45" t="str">
        <f>'дод 4'!B181</f>
        <v>0380</v>
      </c>
      <c r="D53" s="22" t="str">
        <f>'дод 4'!C181</f>
        <v>Інші заходи громадського порядку та безпеки</v>
      </c>
      <c r="E53" s="66">
        <f t="shared" si="8"/>
        <v>627360</v>
      </c>
      <c r="F53" s="66">
        <f>683360-56000</f>
        <v>627360</v>
      </c>
      <c r="G53" s="66"/>
      <c r="H53" s="66">
        <f>278160-56000</f>
        <v>222160</v>
      </c>
      <c r="I53" s="66"/>
      <c r="J53" s="66">
        <f t="shared" si="10"/>
        <v>0</v>
      </c>
      <c r="K53" s="66"/>
      <c r="L53" s="66"/>
      <c r="M53" s="66"/>
      <c r="N53" s="66"/>
      <c r="O53" s="66"/>
      <c r="P53" s="66">
        <f t="shared" si="9"/>
        <v>627360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6"/>
      <c r="JD53" s="26"/>
      <c r="JE53" s="26"/>
      <c r="JF53" s="26"/>
      <c r="JG53" s="26"/>
      <c r="JH53" s="26"/>
      <c r="JI53" s="26"/>
      <c r="JJ53" s="26"/>
      <c r="JK53" s="26"/>
      <c r="JL53" s="26"/>
      <c r="JM53" s="26"/>
      <c r="JN53" s="26"/>
      <c r="JO53" s="26"/>
      <c r="JP53" s="26"/>
      <c r="JQ53" s="26"/>
      <c r="JR53" s="26"/>
      <c r="JS53" s="26"/>
      <c r="JT53" s="26"/>
      <c r="JU53" s="26"/>
      <c r="JV53" s="26"/>
      <c r="JW53" s="26"/>
      <c r="JX53" s="26"/>
      <c r="JY53" s="26"/>
      <c r="JZ53" s="26"/>
      <c r="KA53" s="26"/>
      <c r="KB53" s="26"/>
      <c r="KC53" s="26"/>
      <c r="KD53" s="26"/>
      <c r="KE53" s="26"/>
      <c r="KF53" s="26"/>
      <c r="KG53" s="26"/>
      <c r="KH53" s="26"/>
      <c r="KI53" s="26"/>
      <c r="KJ53" s="26"/>
      <c r="KK53" s="26"/>
      <c r="KL53" s="26"/>
      <c r="KM53" s="26"/>
      <c r="KN53" s="26"/>
      <c r="KO53" s="26"/>
      <c r="KP53" s="26"/>
      <c r="KQ53" s="26"/>
      <c r="KR53" s="26"/>
      <c r="KS53" s="26"/>
      <c r="KT53" s="26"/>
      <c r="KU53" s="26"/>
      <c r="KV53" s="26"/>
      <c r="KW53" s="26"/>
      <c r="KX53" s="26"/>
      <c r="KY53" s="26"/>
      <c r="KZ53" s="26"/>
      <c r="LA53" s="26"/>
      <c r="LB53" s="26"/>
      <c r="LC53" s="26"/>
      <c r="LD53" s="26"/>
      <c r="LE53" s="26"/>
      <c r="LF53" s="26"/>
      <c r="LG53" s="26"/>
      <c r="LH53" s="26"/>
      <c r="LI53" s="26"/>
      <c r="LJ53" s="26"/>
      <c r="LK53" s="26"/>
      <c r="LL53" s="26"/>
      <c r="LM53" s="26"/>
      <c r="LN53" s="26"/>
      <c r="LO53" s="26"/>
      <c r="LP53" s="26"/>
      <c r="LQ53" s="26"/>
      <c r="LR53" s="26"/>
      <c r="LS53" s="26"/>
      <c r="LT53" s="26"/>
      <c r="LU53" s="26"/>
      <c r="LV53" s="26"/>
      <c r="LW53" s="26"/>
      <c r="LX53" s="26"/>
      <c r="LY53" s="26"/>
      <c r="LZ53" s="26"/>
      <c r="MA53" s="26"/>
      <c r="MB53" s="26"/>
      <c r="MC53" s="26"/>
      <c r="MD53" s="26"/>
      <c r="ME53" s="26"/>
      <c r="MF53" s="26"/>
      <c r="MG53" s="26"/>
      <c r="MH53" s="26"/>
      <c r="MI53" s="26"/>
      <c r="MJ53" s="26"/>
      <c r="MK53" s="26"/>
      <c r="ML53" s="26"/>
      <c r="MM53" s="26"/>
      <c r="MN53" s="26"/>
      <c r="MO53" s="26"/>
      <c r="MP53" s="26"/>
      <c r="MQ53" s="26"/>
      <c r="MR53" s="26"/>
      <c r="MS53" s="26"/>
      <c r="MT53" s="26"/>
      <c r="MU53" s="26"/>
      <c r="MV53" s="26"/>
      <c r="MW53" s="26"/>
      <c r="MX53" s="26"/>
      <c r="MY53" s="26"/>
      <c r="MZ53" s="26"/>
      <c r="NA53" s="26"/>
      <c r="NB53" s="26"/>
      <c r="NC53" s="26"/>
      <c r="ND53" s="26"/>
      <c r="NE53" s="26"/>
      <c r="NF53" s="26"/>
      <c r="NG53" s="26"/>
      <c r="NH53" s="26"/>
      <c r="NI53" s="26"/>
      <c r="NJ53" s="26"/>
      <c r="NK53" s="26"/>
      <c r="NL53" s="26"/>
      <c r="NM53" s="26"/>
      <c r="NN53" s="26"/>
      <c r="NO53" s="26"/>
      <c r="NP53" s="26"/>
      <c r="NQ53" s="26"/>
      <c r="NR53" s="26"/>
      <c r="NS53" s="26"/>
      <c r="NT53" s="26"/>
      <c r="NU53" s="26"/>
      <c r="NV53" s="26"/>
      <c r="NW53" s="26"/>
      <c r="NX53" s="26"/>
      <c r="NY53" s="26"/>
      <c r="NZ53" s="26"/>
      <c r="OA53" s="26"/>
      <c r="OB53" s="26"/>
      <c r="OC53" s="26"/>
      <c r="OD53" s="26"/>
      <c r="OE53" s="26"/>
      <c r="OF53" s="26"/>
      <c r="OG53" s="26"/>
      <c r="OH53" s="26"/>
      <c r="OI53" s="26"/>
      <c r="OJ53" s="26"/>
      <c r="OK53" s="26"/>
      <c r="OL53" s="26"/>
      <c r="OM53" s="26"/>
      <c r="ON53" s="26"/>
      <c r="OO53" s="26"/>
      <c r="OP53" s="26"/>
      <c r="OQ53" s="26"/>
      <c r="OR53" s="26"/>
      <c r="OS53" s="26"/>
      <c r="OT53" s="26"/>
      <c r="OU53" s="26"/>
      <c r="OV53" s="26"/>
      <c r="OW53" s="26"/>
      <c r="OX53" s="26"/>
      <c r="OY53" s="26"/>
      <c r="OZ53" s="26"/>
      <c r="PA53" s="26"/>
      <c r="PB53" s="26"/>
      <c r="PC53" s="26"/>
      <c r="PD53" s="26"/>
      <c r="PE53" s="26"/>
      <c r="PF53" s="26"/>
      <c r="PG53" s="26"/>
      <c r="PH53" s="26"/>
      <c r="PI53" s="26"/>
      <c r="PJ53" s="26"/>
      <c r="PK53" s="26"/>
      <c r="PL53" s="26"/>
      <c r="PM53" s="26"/>
      <c r="PN53" s="26"/>
      <c r="PO53" s="26"/>
      <c r="PP53" s="26"/>
      <c r="PQ53" s="26"/>
      <c r="PR53" s="26"/>
      <c r="PS53" s="26"/>
      <c r="PT53" s="26"/>
      <c r="PU53" s="26"/>
      <c r="PV53" s="26"/>
      <c r="PW53" s="26"/>
      <c r="PX53" s="26"/>
      <c r="PY53" s="26"/>
      <c r="PZ53" s="26"/>
      <c r="QA53" s="26"/>
      <c r="QB53" s="26"/>
      <c r="QC53" s="26"/>
      <c r="QD53" s="26"/>
      <c r="QE53" s="26"/>
      <c r="QF53" s="26"/>
      <c r="QG53" s="26"/>
      <c r="QH53" s="26"/>
      <c r="QI53" s="26"/>
      <c r="QJ53" s="26"/>
      <c r="QK53" s="26"/>
      <c r="QL53" s="26"/>
      <c r="QM53" s="26"/>
      <c r="QN53" s="26"/>
      <c r="QO53" s="26"/>
      <c r="QP53" s="26"/>
      <c r="QQ53" s="26"/>
      <c r="QR53" s="26"/>
      <c r="QS53" s="26"/>
      <c r="QT53" s="26"/>
      <c r="QU53" s="26"/>
      <c r="QV53" s="26"/>
      <c r="QW53" s="26"/>
      <c r="QX53" s="26"/>
      <c r="QY53" s="26"/>
      <c r="QZ53" s="26"/>
      <c r="RA53" s="26"/>
      <c r="RB53" s="26"/>
      <c r="RC53" s="26"/>
      <c r="RD53" s="26"/>
      <c r="RE53" s="26"/>
      <c r="RF53" s="26"/>
      <c r="RG53" s="26"/>
      <c r="RH53" s="26"/>
      <c r="RI53" s="26"/>
      <c r="RJ53" s="26"/>
      <c r="RK53" s="26"/>
      <c r="RL53" s="26"/>
      <c r="RM53" s="26"/>
      <c r="RN53" s="26"/>
      <c r="RO53" s="26"/>
      <c r="RP53" s="26"/>
      <c r="RQ53" s="26"/>
      <c r="RR53" s="26"/>
      <c r="RS53" s="26"/>
      <c r="RT53" s="26"/>
      <c r="RU53" s="26"/>
      <c r="RV53" s="26"/>
      <c r="RW53" s="26"/>
      <c r="RX53" s="26"/>
      <c r="RY53" s="26"/>
      <c r="RZ53" s="26"/>
      <c r="SA53" s="26"/>
      <c r="SB53" s="26"/>
      <c r="SC53" s="26"/>
      <c r="SD53" s="26"/>
      <c r="SE53" s="26"/>
      <c r="SF53" s="26"/>
      <c r="SG53" s="26"/>
      <c r="SH53" s="26"/>
      <c r="SI53" s="26"/>
      <c r="SJ53" s="26"/>
      <c r="SK53" s="26"/>
      <c r="SL53" s="26"/>
      <c r="SM53" s="26"/>
      <c r="SN53" s="26"/>
      <c r="SO53" s="26"/>
      <c r="SP53" s="26"/>
      <c r="SQ53" s="26"/>
      <c r="SR53" s="26"/>
      <c r="SS53" s="26"/>
      <c r="ST53" s="26"/>
      <c r="SU53" s="26"/>
      <c r="SV53" s="26"/>
      <c r="SW53" s="26"/>
      <c r="SX53" s="26"/>
      <c r="SY53" s="26"/>
      <c r="SZ53" s="26"/>
      <c r="TA53" s="26"/>
      <c r="TB53" s="26"/>
      <c r="TC53" s="26"/>
      <c r="TD53" s="26"/>
      <c r="TE53" s="26"/>
      <c r="TF53" s="26"/>
      <c r="TG53" s="26"/>
      <c r="TH53" s="26"/>
      <c r="TI53" s="26"/>
    </row>
    <row r="54" spans="1:529" s="23" customFormat="1" ht="23.25" customHeight="1" x14ac:dyDescent="0.25">
      <c r="A54" s="43" t="s">
        <v>175</v>
      </c>
      <c r="B54" s="44" t="str">
        <f>'дод 4'!A184</f>
        <v>8340</v>
      </c>
      <c r="C54" s="44" t="str">
        <f>'дод 4'!B184</f>
        <v>0540</v>
      </c>
      <c r="D54" s="24" t="str">
        <f>'дод 4'!C184</f>
        <v>Природоохоронні заходи за рахунок цільових фондів</v>
      </c>
      <c r="E54" s="66">
        <f t="shared" si="8"/>
        <v>0</v>
      </c>
      <c r="F54" s="66"/>
      <c r="G54" s="66"/>
      <c r="H54" s="66"/>
      <c r="I54" s="66"/>
      <c r="J54" s="66">
        <f t="shared" si="10"/>
        <v>264000</v>
      </c>
      <c r="K54" s="66"/>
      <c r="L54" s="66">
        <v>264000</v>
      </c>
      <c r="M54" s="66"/>
      <c r="N54" s="66"/>
      <c r="O54" s="66"/>
      <c r="P54" s="66">
        <f t="shared" si="9"/>
        <v>264000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6"/>
      <c r="JD54" s="26"/>
      <c r="JE54" s="26"/>
      <c r="JF54" s="26"/>
      <c r="JG54" s="26"/>
      <c r="JH54" s="26"/>
      <c r="JI54" s="26"/>
      <c r="JJ54" s="26"/>
      <c r="JK54" s="26"/>
      <c r="JL54" s="26"/>
      <c r="JM54" s="26"/>
      <c r="JN54" s="26"/>
      <c r="JO54" s="26"/>
      <c r="JP54" s="26"/>
      <c r="JQ54" s="26"/>
      <c r="JR54" s="26"/>
      <c r="JS54" s="26"/>
      <c r="JT54" s="26"/>
      <c r="JU54" s="26"/>
      <c r="JV54" s="26"/>
      <c r="JW54" s="26"/>
      <c r="JX54" s="26"/>
      <c r="JY54" s="26"/>
      <c r="JZ54" s="26"/>
      <c r="KA54" s="26"/>
      <c r="KB54" s="26"/>
      <c r="KC54" s="26"/>
      <c r="KD54" s="26"/>
      <c r="KE54" s="26"/>
      <c r="KF54" s="26"/>
      <c r="KG54" s="26"/>
      <c r="KH54" s="26"/>
      <c r="KI54" s="26"/>
      <c r="KJ54" s="26"/>
      <c r="KK54" s="26"/>
      <c r="KL54" s="26"/>
      <c r="KM54" s="26"/>
      <c r="KN54" s="26"/>
      <c r="KO54" s="26"/>
      <c r="KP54" s="26"/>
      <c r="KQ54" s="26"/>
      <c r="KR54" s="26"/>
      <c r="KS54" s="26"/>
      <c r="KT54" s="26"/>
      <c r="KU54" s="26"/>
      <c r="KV54" s="26"/>
      <c r="KW54" s="26"/>
      <c r="KX54" s="26"/>
      <c r="KY54" s="26"/>
      <c r="KZ54" s="26"/>
      <c r="LA54" s="26"/>
      <c r="LB54" s="26"/>
      <c r="LC54" s="26"/>
      <c r="LD54" s="26"/>
      <c r="LE54" s="26"/>
      <c r="LF54" s="26"/>
      <c r="LG54" s="26"/>
      <c r="LH54" s="26"/>
      <c r="LI54" s="26"/>
      <c r="LJ54" s="26"/>
      <c r="LK54" s="26"/>
      <c r="LL54" s="26"/>
      <c r="LM54" s="26"/>
      <c r="LN54" s="26"/>
      <c r="LO54" s="26"/>
      <c r="LP54" s="26"/>
      <c r="LQ54" s="26"/>
      <c r="LR54" s="26"/>
      <c r="LS54" s="26"/>
      <c r="LT54" s="26"/>
      <c r="LU54" s="26"/>
      <c r="LV54" s="26"/>
      <c r="LW54" s="26"/>
      <c r="LX54" s="26"/>
      <c r="LY54" s="26"/>
      <c r="LZ54" s="26"/>
      <c r="MA54" s="26"/>
      <c r="MB54" s="26"/>
      <c r="MC54" s="26"/>
      <c r="MD54" s="26"/>
      <c r="ME54" s="26"/>
      <c r="MF54" s="26"/>
      <c r="MG54" s="26"/>
      <c r="MH54" s="26"/>
      <c r="MI54" s="26"/>
      <c r="MJ54" s="26"/>
      <c r="MK54" s="26"/>
      <c r="ML54" s="26"/>
      <c r="MM54" s="26"/>
      <c r="MN54" s="26"/>
      <c r="MO54" s="26"/>
      <c r="MP54" s="26"/>
      <c r="MQ54" s="26"/>
      <c r="MR54" s="26"/>
      <c r="MS54" s="26"/>
      <c r="MT54" s="26"/>
      <c r="MU54" s="26"/>
      <c r="MV54" s="26"/>
      <c r="MW54" s="26"/>
      <c r="MX54" s="26"/>
      <c r="MY54" s="26"/>
      <c r="MZ54" s="26"/>
      <c r="NA54" s="26"/>
      <c r="NB54" s="26"/>
      <c r="NC54" s="26"/>
      <c r="ND54" s="26"/>
      <c r="NE54" s="26"/>
      <c r="NF54" s="26"/>
      <c r="NG54" s="26"/>
      <c r="NH54" s="26"/>
      <c r="NI54" s="26"/>
      <c r="NJ54" s="26"/>
      <c r="NK54" s="26"/>
      <c r="NL54" s="26"/>
      <c r="NM54" s="26"/>
      <c r="NN54" s="26"/>
      <c r="NO54" s="26"/>
      <c r="NP54" s="26"/>
      <c r="NQ54" s="26"/>
      <c r="NR54" s="26"/>
      <c r="NS54" s="26"/>
      <c r="NT54" s="26"/>
      <c r="NU54" s="26"/>
      <c r="NV54" s="26"/>
      <c r="NW54" s="26"/>
      <c r="NX54" s="26"/>
      <c r="NY54" s="26"/>
      <c r="NZ54" s="26"/>
      <c r="OA54" s="26"/>
      <c r="OB54" s="26"/>
      <c r="OC54" s="26"/>
      <c r="OD54" s="26"/>
      <c r="OE54" s="26"/>
      <c r="OF54" s="26"/>
      <c r="OG54" s="26"/>
      <c r="OH54" s="26"/>
      <c r="OI54" s="26"/>
      <c r="OJ54" s="26"/>
      <c r="OK54" s="26"/>
      <c r="OL54" s="26"/>
      <c r="OM54" s="26"/>
      <c r="ON54" s="26"/>
      <c r="OO54" s="26"/>
      <c r="OP54" s="26"/>
      <c r="OQ54" s="26"/>
      <c r="OR54" s="26"/>
      <c r="OS54" s="26"/>
      <c r="OT54" s="26"/>
      <c r="OU54" s="26"/>
      <c r="OV54" s="26"/>
      <c r="OW54" s="26"/>
      <c r="OX54" s="26"/>
      <c r="OY54" s="26"/>
      <c r="OZ54" s="26"/>
      <c r="PA54" s="26"/>
      <c r="PB54" s="26"/>
      <c r="PC54" s="26"/>
      <c r="PD54" s="26"/>
      <c r="PE54" s="26"/>
      <c r="PF54" s="26"/>
      <c r="PG54" s="26"/>
      <c r="PH54" s="26"/>
      <c r="PI54" s="26"/>
      <c r="PJ54" s="26"/>
      <c r="PK54" s="26"/>
      <c r="PL54" s="26"/>
      <c r="PM54" s="26"/>
      <c r="PN54" s="26"/>
      <c r="PO54" s="26"/>
      <c r="PP54" s="26"/>
      <c r="PQ54" s="26"/>
      <c r="PR54" s="26"/>
      <c r="PS54" s="26"/>
      <c r="PT54" s="26"/>
      <c r="PU54" s="26"/>
      <c r="PV54" s="26"/>
      <c r="PW54" s="26"/>
      <c r="PX54" s="26"/>
      <c r="PY54" s="26"/>
      <c r="PZ54" s="26"/>
      <c r="QA54" s="26"/>
      <c r="QB54" s="26"/>
      <c r="QC54" s="26"/>
      <c r="QD54" s="26"/>
      <c r="QE54" s="26"/>
      <c r="QF54" s="26"/>
      <c r="QG54" s="26"/>
      <c r="QH54" s="26"/>
      <c r="QI54" s="26"/>
      <c r="QJ54" s="26"/>
      <c r="QK54" s="26"/>
      <c r="QL54" s="26"/>
      <c r="QM54" s="26"/>
      <c r="QN54" s="26"/>
      <c r="QO54" s="26"/>
      <c r="QP54" s="26"/>
      <c r="QQ54" s="26"/>
      <c r="QR54" s="26"/>
      <c r="QS54" s="26"/>
      <c r="QT54" s="26"/>
      <c r="QU54" s="26"/>
      <c r="QV54" s="26"/>
      <c r="QW54" s="26"/>
      <c r="QX54" s="26"/>
      <c r="QY54" s="26"/>
      <c r="QZ54" s="26"/>
      <c r="RA54" s="26"/>
      <c r="RB54" s="26"/>
      <c r="RC54" s="26"/>
      <c r="RD54" s="26"/>
      <c r="RE54" s="26"/>
      <c r="RF54" s="26"/>
      <c r="RG54" s="26"/>
      <c r="RH54" s="26"/>
      <c r="RI54" s="26"/>
      <c r="RJ54" s="26"/>
      <c r="RK54" s="26"/>
      <c r="RL54" s="26"/>
      <c r="RM54" s="26"/>
      <c r="RN54" s="26"/>
      <c r="RO54" s="26"/>
      <c r="RP54" s="26"/>
      <c r="RQ54" s="26"/>
      <c r="RR54" s="26"/>
      <c r="RS54" s="26"/>
      <c r="RT54" s="26"/>
      <c r="RU54" s="26"/>
      <c r="RV54" s="26"/>
      <c r="RW54" s="26"/>
      <c r="RX54" s="26"/>
      <c r="RY54" s="26"/>
      <c r="RZ54" s="26"/>
      <c r="SA54" s="26"/>
      <c r="SB54" s="26"/>
      <c r="SC54" s="26"/>
      <c r="SD54" s="26"/>
      <c r="SE54" s="26"/>
      <c r="SF54" s="26"/>
      <c r="SG54" s="26"/>
      <c r="SH54" s="26"/>
      <c r="SI54" s="26"/>
      <c r="SJ54" s="26"/>
      <c r="SK54" s="26"/>
      <c r="SL54" s="26"/>
      <c r="SM54" s="26"/>
      <c r="SN54" s="26"/>
      <c r="SO54" s="26"/>
      <c r="SP54" s="26"/>
      <c r="SQ54" s="26"/>
      <c r="SR54" s="26"/>
      <c r="SS54" s="26"/>
      <c r="ST54" s="26"/>
      <c r="SU54" s="26"/>
      <c r="SV54" s="26"/>
      <c r="SW54" s="26"/>
      <c r="SX54" s="26"/>
      <c r="SY54" s="26"/>
      <c r="SZ54" s="26"/>
      <c r="TA54" s="26"/>
      <c r="TB54" s="26"/>
      <c r="TC54" s="26"/>
      <c r="TD54" s="26"/>
      <c r="TE54" s="26"/>
      <c r="TF54" s="26"/>
      <c r="TG54" s="26"/>
      <c r="TH54" s="26"/>
      <c r="TI54" s="26"/>
    </row>
    <row r="55" spans="1:529" s="23" customFormat="1" ht="26.25" customHeight="1" x14ac:dyDescent="0.25">
      <c r="A55" s="52" t="s">
        <v>276</v>
      </c>
      <c r="B55" s="45" t="str">
        <f>'дод 4'!A186</f>
        <v>8420</v>
      </c>
      <c r="C55" s="45" t="str">
        <f>'дод 4'!B186</f>
        <v>0830</v>
      </c>
      <c r="D55" s="22" t="str">
        <f>'дод 4'!C186</f>
        <v>Інші заходи у сфері засобів масової інформації</v>
      </c>
      <c r="E55" s="66">
        <f t="shared" si="8"/>
        <v>100000</v>
      </c>
      <c r="F55" s="66">
        <v>100000</v>
      </c>
      <c r="G55" s="66"/>
      <c r="H55" s="66"/>
      <c r="I55" s="66"/>
      <c r="J55" s="66">
        <f t="shared" si="10"/>
        <v>0</v>
      </c>
      <c r="K55" s="66"/>
      <c r="L55" s="66"/>
      <c r="M55" s="66"/>
      <c r="N55" s="66"/>
      <c r="O55" s="66"/>
      <c r="P55" s="66">
        <f t="shared" si="9"/>
        <v>100000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</row>
    <row r="56" spans="1:529" s="23" customFormat="1" ht="42.75" customHeight="1" x14ac:dyDescent="0.25">
      <c r="A56" s="52" t="s">
        <v>442</v>
      </c>
      <c r="B56" s="45">
        <v>9800</v>
      </c>
      <c r="C56" s="52" t="s">
        <v>49</v>
      </c>
      <c r="D56" s="22" t="s">
        <v>411</v>
      </c>
      <c r="E56" s="66">
        <f t="shared" si="8"/>
        <v>1086000</v>
      </c>
      <c r="F56" s="66">
        <f>50000+706000+330000</f>
        <v>1086000</v>
      </c>
      <c r="G56" s="66"/>
      <c r="H56" s="66"/>
      <c r="I56" s="66"/>
      <c r="J56" s="66">
        <f t="shared" si="10"/>
        <v>639000</v>
      </c>
      <c r="K56" s="66">
        <f>469000+170000</f>
        <v>639000</v>
      </c>
      <c r="L56" s="66"/>
      <c r="M56" s="66"/>
      <c r="N56" s="66"/>
      <c r="O56" s="66">
        <f>469000+170000</f>
        <v>639000</v>
      </c>
      <c r="P56" s="66">
        <f t="shared" si="9"/>
        <v>1725000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6"/>
      <c r="JD56" s="26"/>
      <c r="JE56" s="26"/>
      <c r="JF56" s="26"/>
      <c r="JG56" s="26"/>
      <c r="JH56" s="26"/>
      <c r="JI56" s="26"/>
      <c r="JJ56" s="26"/>
      <c r="JK56" s="26"/>
      <c r="JL56" s="26"/>
      <c r="JM56" s="26"/>
      <c r="JN56" s="26"/>
      <c r="JO56" s="26"/>
      <c r="JP56" s="26"/>
      <c r="JQ56" s="26"/>
      <c r="JR56" s="26"/>
      <c r="JS56" s="26"/>
      <c r="JT56" s="26"/>
      <c r="JU56" s="26"/>
      <c r="JV56" s="26"/>
      <c r="JW56" s="26"/>
      <c r="JX56" s="26"/>
      <c r="JY56" s="26"/>
      <c r="JZ56" s="26"/>
      <c r="KA56" s="26"/>
      <c r="KB56" s="26"/>
      <c r="KC56" s="26"/>
      <c r="KD56" s="26"/>
      <c r="KE56" s="26"/>
      <c r="KF56" s="26"/>
      <c r="KG56" s="26"/>
      <c r="KH56" s="26"/>
      <c r="KI56" s="26"/>
      <c r="KJ56" s="26"/>
      <c r="KK56" s="26"/>
      <c r="KL56" s="26"/>
      <c r="KM56" s="26"/>
      <c r="KN56" s="26"/>
      <c r="KO56" s="26"/>
      <c r="KP56" s="26"/>
      <c r="KQ56" s="26"/>
      <c r="KR56" s="26"/>
      <c r="KS56" s="26"/>
      <c r="KT56" s="26"/>
      <c r="KU56" s="26"/>
      <c r="KV56" s="26"/>
      <c r="KW56" s="26"/>
      <c r="KX56" s="26"/>
      <c r="KY56" s="26"/>
      <c r="KZ56" s="26"/>
      <c r="LA56" s="26"/>
      <c r="LB56" s="26"/>
      <c r="LC56" s="26"/>
      <c r="LD56" s="26"/>
      <c r="LE56" s="26"/>
      <c r="LF56" s="26"/>
      <c r="LG56" s="26"/>
      <c r="LH56" s="26"/>
      <c r="LI56" s="26"/>
      <c r="LJ56" s="26"/>
      <c r="LK56" s="26"/>
      <c r="LL56" s="26"/>
      <c r="LM56" s="26"/>
      <c r="LN56" s="26"/>
      <c r="LO56" s="26"/>
      <c r="LP56" s="26"/>
      <c r="LQ56" s="26"/>
      <c r="LR56" s="26"/>
      <c r="LS56" s="26"/>
      <c r="LT56" s="26"/>
      <c r="LU56" s="26"/>
      <c r="LV56" s="26"/>
      <c r="LW56" s="26"/>
      <c r="LX56" s="26"/>
      <c r="LY56" s="26"/>
      <c r="LZ56" s="26"/>
      <c r="MA56" s="26"/>
      <c r="MB56" s="26"/>
      <c r="MC56" s="26"/>
      <c r="MD56" s="26"/>
      <c r="ME56" s="26"/>
      <c r="MF56" s="26"/>
      <c r="MG56" s="26"/>
      <c r="MH56" s="26"/>
      <c r="MI56" s="26"/>
      <c r="MJ56" s="26"/>
      <c r="MK56" s="26"/>
      <c r="ML56" s="26"/>
      <c r="MM56" s="26"/>
      <c r="MN56" s="26"/>
      <c r="MO56" s="26"/>
      <c r="MP56" s="26"/>
      <c r="MQ56" s="26"/>
      <c r="MR56" s="26"/>
      <c r="MS56" s="26"/>
      <c r="MT56" s="26"/>
      <c r="MU56" s="26"/>
      <c r="MV56" s="26"/>
      <c r="MW56" s="26"/>
      <c r="MX56" s="26"/>
      <c r="MY56" s="26"/>
      <c r="MZ56" s="26"/>
      <c r="NA56" s="26"/>
      <c r="NB56" s="26"/>
      <c r="NC56" s="26"/>
      <c r="ND56" s="26"/>
      <c r="NE56" s="26"/>
      <c r="NF56" s="26"/>
      <c r="NG56" s="26"/>
      <c r="NH56" s="26"/>
      <c r="NI56" s="26"/>
      <c r="NJ56" s="26"/>
      <c r="NK56" s="26"/>
      <c r="NL56" s="26"/>
      <c r="NM56" s="26"/>
      <c r="NN56" s="26"/>
      <c r="NO56" s="26"/>
      <c r="NP56" s="26"/>
      <c r="NQ56" s="26"/>
      <c r="NR56" s="26"/>
      <c r="NS56" s="26"/>
      <c r="NT56" s="26"/>
      <c r="NU56" s="26"/>
      <c r="NV56" s="26"/>
      <c r="NW56" s="26"/>
      <c r="NX56" s="26"/>
      <c r="NY56" s="26"/>
      <c r="NZ56" s="26"/>
      <c r="OA56" s="26"/>
      <c r="OB56" s="26"/>
      <c r="OC56" s="26"/>
      <c r="OD56" s="26"/>
      <c r="OE56" s="26"/>
      <c r="OF56" s="26"/>
      <c r="OG56" s="26"/>
      <c r="OH56" s="26"/>
      <c r="OI56" s="26"/>
      <c r="OJ56" s="26"/>
      <c r="OK56" s="26"/>
      <c r="OL56" s="26"/>
      <c r="OM56" s="26"/>
      <c r="ON56" s="26"/>
      <c r="OO56" s="26"/>
      <c r="OP56" s="26"/>
      <c r="OQ56" s="26"/>
      <c r="OR56" s="26"/>
      <c r="OS56" s="26"/>
      <c r="OT56" s="26"/>
      <c r="OU56" s="26"/>
      <c r="OV56" s="26"/>
      <c r="OW56" s="26"/>
      <c r="OX56" s="26"/>
      <c r="OY56" s="26"/>
      <c r="OZ56" s="26"/>
      <c r="PA56" s="26"/>
      <c r="PB56" s="26"/>
      <c r="PC56" s="26"/>
      <c r="PD56" s="26"/>
      <c r="PE56" s="26"/>
      <c r="PF56" s="26"/>
      <c r="PG56" s="26"/>
      <c r="PH56" s="26"/>
      <c r="PI56" s="26"/>
      <c r="PJ56" s="26"/>
      <c r="PK56" s="26"/>
      <c r="PL56" s="26"/>
      <c r="PM56" s="26"/>
      <c r="PN56" s="26"/>
      <c r="PO56" s="26"/>
      <c r="PP56" s="26"/>
      <c r="PQ56" s="26"/>
      <c r="PR56" s="26"/>
      <c r="PS56" s="26"/>
      <c r="PT56" s="26"/>
      <c r="PU56" s="26"/>
      <c r="PV56" s="26"/>
      <c r="PW56" s="26"/>
      <c r="PX56" s="26"/>
      <c r="PY56" s="26"/>
      <c r="PZ56" s="26"/>
      <c r="QA56" s="26"/>
      <c r="QB56" s="26"/>
      <c r="QC56" s="26"/>
      <c r="QD56" s="26"/>
      <c r="QE56" s="26"/>
      <c r="QF56" s="26"/>
      <c r="QG56" s="26"/>
      <c r="QH56" s="26"/>
      <c r="QI56" s="26"/>
      <c r="QJ56" s="26"/>
      <c r="QK56" s="26"/>
      <c r="QL56" s="26"/>
      <c r="QM56" s="26"/>
      <c r="QN56" s="26"/>
      <c r="QO56" s="26"/>
      <c r="QP56" s="26"/>
      <c r="QQ56" s="26"/>
      <c r="QR56" s="26"/>
      <c r="QS56" s="26"/>
      <c r="QT56" s="26"/>
      <c r="QU56" s="26"/>
      <c r="QV56" s="26"/>
      <c r="QW56" s="26"/>
      <c r="QX56" s="26"/>
      <c r="QY56" s="26"/>
      <c r="QZ56" s="26"/>
      <c r="RA56" s="26"/>
      <c r="RB56" s="26"/>
      <c r="RC56" s="26"/>
      <c r="RD56" s="26"/>
      <c r="RE56" s="26"/>
      <c r="RF56" s="26"/>
      <c r="RG56" s="26"/>
      <c r="RH56" s="26"/>
      <c r="RI56" s="26"/>
      <c r="RJ56" s="26"/>
      <c r="RK56" s="26"/>
      <c r="RL56" s="26"/>
      <c r="RM56" s="26"/>
      <c r="RN56" s="26"/>
      <c r="RO56" s="26"/>
      <c r="RP56" s="26"/>
      <c r="RQ56" s="26"/>
      <c r="RR56" s="26"/>
      <c r="RS56" s="26"/>
      <c r="RT56" s="26"/>
      <c r="RU56" s="26"/>
      <c r="RV56" s="26"/>
      <c r="RW56" s="26"/>
      <c r="RX56" s="26"/>
      <c r="RY56" s="26"/>
      <c r="RZ56" s="26"/>
      <c r="SA56" s="26"/>
      <c r="SB56" s="26"/>
      <c r="SC56" s="26"/>
      <c r="SD56" s="26"/>
      <c r="SE56" s="26"/>
      <c r="SF56" s="26"/>
      <c r="SG56" s="26"/>
      <c r="SH56" s="26"/>
      <c r="SI56" s="26"/>
      <c r="SJ56" s="26"/>
      <c r="SK56" s="26"/>
      <c r="SL56" s="26"/>
      <c r="SM56" s="26"/>
      <c r="SN56" s="26"/>
      <c r="SO56" s="26"/>
      <c r="SP56" s="26"/>
      <c r="SQ56" s="26"/>
      <c r="SR56" s="26"/>
      <c r="SS56" s="26"/>
      <c r="ST56" s="26"/>
      <c r="SU56" s="26"/>
      <c r="SV56" s="26"/>
      <c r="SW56" s="26"/>
      <c r="SX56" s="26"/>
      <c r="SY56" s="26"/>
      <c r="SZ56" s="26"/>
      <c r="TA56" s="26"/>
      <c r="TB56" s="26"/>
      <c r="TC56" s="26"/>
      <c r="TD56" s="26"/>
      <c r="TE56" s="26"/>
      <c r="TF56" s="26"/>
      <c r="TG56" s="26"/>
      <c r="TH56" s="26"/>
      <c r="TI56" s="26"/>
    </row>
    <row r="57" spans="1:529" s="31" customFormat="1" ht="23.25" customHeight="1" x14ac:dyDescent="0.2">
      <c r="A57" s="80" t="s">
        <v>176</v>
      </c>
      <c r="B57" s="69"/>
      <c r="C57" s="69"/>
      <c r="D57" s="30" t="s">
        <v>28</v>
      </c>
      <c r="E57" s="63">
        <f>E58</f>
        <v>953003122.79999995</v>
      </c>
      <c r="F57" s="63">
        <f t="shared" ref="F57:J57" si="11">F58</f>
        <v>953003122.79999995</v>
      </c>
      <c r="G57" s="63">
        <f t="shared" si="11"/>
        <v>634807536</v>
      </c>
      <c r="H57" s="63">
        <f t="shared" si="11"/>
        <v>70947650</v>
      </c>
      <c r="I57" s="63">
        <f t="shared" si="11"/>
        <v>0</v>
      </c>
      <c r="J57" s="63">
        <f t="shared" si="11"/>
        <v>102042361.75</v>
      </c>
      <c r="K57" s="63">
        <f t="shared" ref="K57" si="12">K58</f>
        <v>48325853.75</v>
      </c>
      <c r="L57" s="63">
        <f t="shared" ref="L57" si="13">L58</f>
        <v>53527508</v>
      </c>
      <c r="M57" s="63">
        <f t="shared" ref="M57" si="14">M58</f>
        <v>4208876</v>
      </c>
      <c r="N57" s="63">
        <f t="shared" ref="N57" si="15">N58</f>
        <v>3124191</v>
      </c>
      <c r="O57" s="63">
        <f t="shared" ref="O57:P57" si="16">O58</f>
        <v>48514853.75</v>
      </c>
      <c r="P57" s="63">
        <f t="shared" si="16"/>
        <v>1055045484.55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  <c r="IW57" s="38"/>
      <c r="IX57" s="38"/>
      <c r="IY57" s="38"/>
      <c r="IZ57" s="38"/>
      <c r="JA57" s="38"/>
      <c r="JB57" s="38"/>
      <c r="JC57" s="38"/>
      <c r="JD57" s="38"/>
      <c r="JE57" s="38"/>
      <c r="JF57" s="38"/>
      <c r="JG57" s="38"/>
      <c r="JH57" s="38"/>
      <c r="JI57" s="38"/>
      <c r="JJ57" s="38"/>
      <c r="JK57" s="38"/>
      <c r="JL57" s="38"/>
      <c r="JM57" s="38"/>
      <c r="JN57" s="38"/>
      <c r="JO57" s="38"/>
      <c r="JP57" s="38"/>
      <c r="JQ57" s="38"/>
      <c r="JR57" s="38"/>
      <c r="JS57" s="38"/>
      <c r="JT57" s="38"/>
      <c r="JU57" s="38"/>
      <c r="JV57" s="38"/>
      <c r="JW57" s="38"/>
      <c r="JX57" s="38"/>
      <c r="JY57" s="38"/>
      <c r="JZ57" s="38"/>
      <c r="KA57" s="38"/>
      <c r="KB57" s="38"/>
      <c r="KC57" s="38"/>
      <c r="KD57" s="38"/>
      <c r="KE57" s="38"/>
      <c r="KF57" s="38"/>
      <c r="KG57" s="38"/>
      <c r="KH57" s="38"/>
      <c r="KI57" s="38"/>
      <c r="KJ57" s="38"/>
      <c r="KK57" s="38"/>
      <c r="KL57" s="38"/>
      <c r="KM57" s="38"/>
      <c r="KN57" s="38"/>
      <c r="KO57" s="38"/>
      <c r="KP57" s="38"/>
      <c r="KQ57" s="38"/>
      <c r="KR57" s="38"/>
      <c r="KS57" s="38"/>
      <c r="KT57" s="38"/>
      <c r="KU57" s="38"/>
      <c r="KV57" s="38"/>
      <c r="KW57" s="38"/>
      <c r="KX57" s="38"/>
      <c r="KY57" s="38"/>
      <c r="KZ57" s="38"/>
      <c r="LA57" s="38"/>
      <c r="LB57" s="38"/>
      <c r="LC57" s="38"/>
      <c r="LD57" s="38"/>
      <c r="LE57" s="38"/>
      <c r="LF57" s="38"/>
      <c r="LG57" s="38"/>
      <c r="LH57" s="38"/>
      <c r="LI57" s="38"/>
      <c r="LJ57" s="38"/>
      <c r="LK57" s="38"/>
      <c r="LL57" s="38"/>
      <c r="LM57" s="38"/>
      <c r="LN57" s="38"/>
      <c r="LO57" s="38"/>
      <c r="LP57" s="38"/>
      <c r="LQ57" s="38"/>
      <c r="LR57" s="38"/>
      <c r="LS57" s="38"/>
      <c r="LT57" s="38"/>
      <c r="LU57" s="38"/>
      <c r="LV57" s="38"/>
      <c r="LW57" s="38"/>
      <c r="LX57" s="38"/>
      <c r="LY57" s="38"/>
      <c r="LZ57" s="38"/>
      <c r="MA57" s="38"/>
      <c r="MB57" s="38"/>
      <c r="MC57" s="38"/>
      <c r="MD57" s="38"/>
      <c r="ME57" s="38"/>
      <c r="MF57" s="38"/>
      <c r="MG57" s="38"/>
      <c r="MH57" s="38"/>
      <c r="MI57" s="38"/>
      <c r="MJ57" s="38"/>
      <c r="MK57" s="38"/>
      <c r="ML57" s="38"/>
      <c r="MM57" s="38"/>
      <c r="MN57" s="38"/>
      <c r="MO57" s="38"/>
      <c r="MP57" s="38"/>
      <c r="MQ57" s="38"/>
      <c r="MR57" s="38"/>
      <c r="MS57" s="38"/>
      <c r="MT57" s="38"/>
      <c r="MU57" s="38"/>
      <c r="MV57" s="38"/>
      <c r="MW57" s="38"/>
      <c r="MX57" s="38"/>
      <c r="MY57" s="38"/>
      <c r="MZ57" s="38"/>
      <c r="NA57" s="38"/>
      <c r="NB57" s="38"/>
      <c r="NC57" s="38"/>
      <c r="ND57" s="38"/>
      <c r="NE57" s="38"/>
      <c r="NF57" s="38"/>
      <c r="NG57" s="38"/>
      <c r="NH57" s="38"/>
      <c r="NI57" s="38"/>
      <c r="NJ57" s="38"/>
      <c r="NK57" s="38"/>
      <c r="NL57" s="38"/>
      <c r="NM57" s="38"/>
      <c r="NN57" s="38"/>
      <c r="NO57" s="38"/>
      <c r="NP57" s="38"/>
      <c r="NQ57" s="38"/>
      <c r="NR57" s="38"/>
      <c r="NS57" s="38"/>
      <c r="NT57" s="38"/>
      <c r="NU57" s="38"/>
      <c r="NV57" s="38"/>
      <c r="NW57" s="38"/>
      <c r="NX57" s="38"/>
      <c r="NY57" s="38"/>
      <c r="NZ57" s="38"/>
      <c r="OA57" s="38"/>
      <c r="OB57" s="38"/>
      <c r="OC57" s="38"/>
      <c r="OD57" s="38"/>
      <c r="OE57" s="38"/>
      <c r="OF57" s="38"/>
      <c r="OG57" s="38"/>
      <c r="OH57" s="38"/>
      <c r="OI57" s="38"/>
      <c r="OJ57" s="38"/>
      <c r="OK57" s="38"/>
      <c r="OL57" s="38"/>
      <c r="OM57" s="38"/>
      <c r="ON57" s="38"/>
      <c r="OO57" s="38"/>
      <c r="OP57" s="38"/>
      <c r="OQ57" s="38"/>
      <c r="OR57" s="38"/>
      <c r="OS57" s="38"/>
      <c r="OT57" s="38"/>
      <c r="OU57" s="38"/>
      <c r="OV57" s="38"/>
      <c r="OW57" s="38"/>
      <c r="OX57" s="38"/>
      <c r="OY57" s="38"/>
      <c r="OZ57" s="38"/>
      <c r="PA57" s="38"/>
      <c r="PB57" s="38"/>
      <c r="PC57" s="38"/>
      <c r="PD57" s="38"/>
      <c r="PE57" s="38"/>
      <c r="PF57" s="38"/>
      <c r="PG57" s="38"/>
      <c r="PH57" s="38"/>
      <c r="PI57" s="38"/>
      <c r="PJ57" s="38"/>
      <c r="PK57" s="38"/>
      <c r="PL57" s="38"/>
      <c r="PM57" s="38"/>
      <c r="PN57" s="38"/>
      <c r="PO57" s="38"/>
      <c r="PP57" s="38"/>
      <c r="PQ57" s="38"/>
      <c r="PR57" s="38"/>
      <c r="PS57" s="38"/>
      <c r="PT57" s="38"/>
      <c r="PU57" s="38"/>
      <c r="PV57" s="38"/>
      <c r="PW57" s="38"/>
      <c r="PX57" s="38"/>
      <c r="PY57" s="38"/>
      <c r="PZ57" s="38"/>
      <c r="QA57" s="38"/>
      <c r="QB57" s="38"/>
      <c r="QC57" s="38"/>
      <c r="QD57" s="38"/>
      <c r="QE57" s="38"/>
      <c r="QF57" s="38"/>
      <c r="QG57" s="38"/>
      <c r="QH57" s="38"/>
      <c r="QI57" s="38"/>
      <c r="QJ57" s="38"/>
      <c r="QK57" s="38"/>
      <c r="QL57" s="38"/>
      <c r="QM57" s="38"/>
      <c r="QN57" s="38"/>
      <c r="QO57" s="38"/>
      <c r="QP57" s="38"/>
      <c r="QQ57" s="38"/>
      <c r="QR57" s="38"/>
      <c r="QS57" s="38"/>
      <c r="QT57" s="38"/>
      <c r="QU57" s="38"/>
      <c r="QV57" s="38"/>
      <c r="QW57" s="38"/>
      <c r="QX57" s="38"/>
      <c r="QY57" s="38"/>
      <c r="QZ57" s="38"/>
      <c r="RA57" s="38"/>
      <c r="RB57" s="38"/>
      <c r="RC57" s="38"/>
      <c r="RD57" s="38"/>
      <c r="RE57" s="38"/>
      <c r="RF57" s="38"/>
      <c r="RG57" s="38"/>
      <c r="RH57" s="38"/>
      <c r="RI57" s="38"/>
      <c r="RJ57" s="38"/>
      <c r="RK57" s="38"/>
      <c r="RL57" s="38"/>
      <c r="RM57" s="38"/>
      <c r="RN57" s="38"/>
      <c r="RO57" s="38"/>
      <c r="RP57" s="38"/>
      <c r="RQ57" s="38"/>
      <c r="RR57" s="38"/>
      <c r="RS57" s="38"/>
      <c r="RT57" s="38"/>
      <c r="RU57" s="38"/>
      <c r="RV57" s="38"/>
      <c r="RW57" s="38"/>
      <c r="RX57" s="38"/>
      <c r="RY57" s="38"/>
      <c r="RZ57" s="38"/>
      <c r="SA57" s="38"/>
      <c r="SB57" s="38"/>
      <c r="SC57" s="38"/>
      <c r="SD57" s="38"/>
      <c r="SE57" s="38"/>
      <c r="SF57" s="38"/>
      <c r="SG57" s="38"/>
      <c r="SH57" s="38"/>
      <c r="SI57" s="38"/>
      <c r="SJ57" s="38"/>
      <c r="SK57" s="38"/>
      <c r="SL57" s="38"/>
      <c r="SM57" s="38"/>
      <c r="SN57" s="38"/>
      <c r="SO57" s="38"/>
      <c r="SP57" s="38"/>
      <c r="SQ57" s="38"/>
      <c r="SR57" s="38"/>
      <c r="SS57" s="38"/>
      <c r="ST57" s="38"/>
      <c r="SU57" s="38"/>
      <c r="SV57" s="38"/>
      <c r="SW57" s="38"/>
      <c r="SX57" s="38"/>
      <c r="SY57" s="38"/>
      <c r="SZ57" s="38"/>
      <c r="TA57" s="38"/>
      <c r="TB57" s="38"/>
      <c r="TC57" s="38"/>
      <c r="TD57" s="38"/>
      <c r="TE57" s="38"/>
      <c r="TF57" s="38"/>
      <c r="TG57" s="38"/>
      <c r="TH57" s="38"/>
      <c r="TI57" s="38"/>
    </row>
    <row r="58" spans="1:529" s="40" customFormat="1" ht="30" customHeight="1" x14ac:dyDescent="0.25">
      <c r="A58" s="81" t="s">
        <v>177</v>
      </c>
      <c r="B58" s="70"/>
      <c r="C58" s="70"/>
      <c r="D58" s="33" t="s">
        <v>494</v>
      </c>
      <c r="E58" s="65">
        <f>E67+E68+E70+E77+E80+E81+E84+E85+E86+E87+E89+E91+E92+E93+E94+E95+E97+E98+E99+E101+E102</f>
        <v>953003122.79999995</v>
      </c>
      <c r="F58" s="65">
        <f t="shared" ref="F58:P58" si="17">F67+F68+F70+F77+F80+F81+F84+F85+F86+F87+F89+F91+F92+F93+F94+F95+F97+F98+F99+F101+F102</f>
        <v>953003122.79999995</v>
      </c>
      <c r="G58" s="65">
        <f t="shared" si="17"/>
        <v>634807536</v>
      </c>
      <c r="H58" s="65">
        <f t="shared" si="17"/>
        <v>70947650</v>
      </c>
      <c r="I58" s="65">
        <f t="shared" si="17"/>
        <v>0</v>
      </c>
      <c r="J58" s="65">
        <f t="shared" si="17"/>
        <v>102042361.75</v>
      </c>
      <c r="K58" s="65">
        <f t="shared" si="17"/>
        <v>48325853.75</v>
      </c>
      <c r="L58" s="65">
        <f t="shared" si="17"/>
        <v>53527508</v>
      </c>
      <c r="M58" s="65">
        <f t="shared" si="17"/>
        <v>4208876</v>
      </c>
      <c r="N58" s="65">
        <f t="shared" si="17"/>
        <v>3124191</v>
      </c>
      <c r="O58" s="65">
        <f t="shared" si="17"/>
        <v>48514853.75</v>
      </c>
      <c r="P58" s="65">
        <f t="shared" si="17"/>
        <v>1055045484.55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  <c r="KV58" s="39"/>
      <c r="KW58" s="39"/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/>
      <c r="LK58" s="39"/>
      <c r="LL58" s="39"/>
      <c r="LM58" s="39"/>
      <c r="LN58" s="39"/>
      <c r="LO58" s="39"/>
      <c r="LP58" s="39"/>
      <c r="LQ58" s="39"/>
      <c r="LR58" s="39"/>
      <c r="LS58" s="39"/>
      <c r="LT58" s="39"/>
      <c r="LU58" s="39"/>
      <c r="LV58" s="39"/>
      <c r="LW58" s="39"/>
      <c r="LX58" s="39"/>
      <c r="LY58" s="39"/>
      <c r="LZ58" s="39"/>
      <c r="MA58" s="39"/>
      <c r="MB58" s="39"/>
      <c r="MC58" s="39"/>
      <c r="MD58" s="39"/>
      <c r="ME58" s="39"/>
      <c r="MF58" s="39"/>
      <c r="MG58" s="39"/>
      <c r="MH58" s="39"/>
      <c r="MI58" s="39"/>
      <c r="MJ58" s="39"/>
      <c r="MK58" s="39"/>
      <c r="ML58" s="39"/>
      <c r="MM58" s="39"/>
      <c r="MN58" s="39"/>
      <c r="MO58" s="39"/>
      <c r="MP58" s="39"/>
      <c r="MQ58" s="39"/>
      <c r="MR58" s="39"/>
      <c r="MS58" s="39"/>
      <c r="MT58" s="39"/>
      <c r="MU58" s="39"/>
      <c r="MV58" s="39"/>
      <c r="MW58" s="39"/>
      <c r="MX58" s="39"/>
      <c r="MY58" s="39"/>
      <c r="MZ58" s="39"/>
      <c r="NA58" s="39"/>
      <c r="NB58" s="39"/>
      <c r="NC58" s="39"/>
      <c r="ND58" s="39"/>
      <c r="NE58" s="39"/>
      <c r="NF58" s="39"/>
      <c r="NG58" s="39"/>
      <c r="NH58" s="39"/>
      <c r="NI58" s="39"/>
      <c r="NJ58" s="39"/>
      <c r="NK58" s="39"/>
      <c r="NL58" s="39"/>
      <c r="NM58" s="39"/>
      <c r="NN58" s="39"/>
      <c r="NO58" s="39"/>
      <c r="NP58" s="39"/>
      <c r="NQ58" s="39"/>
      <c r="NR58" s="39"/>
      <c r="NS58" s="39"/>
      <c r="NT58" s="39"/>
      <c r="NU58" s="39"/>
      <c r="NV58" s="39"/>
      <c r="NW58" s="39"/>
      <c r="NX58" s="39"/>
      <c r="NY58" s="39"/>
      <c r="NZ58" s="39"/>
      <c r="OA58" s="39"/>
      <c r="OB58" s="39"/>
      <c r="OC58" s="39"/>
      <c r="OD58" s="39"/>
      <c r="OE58" s="39"/>
      <c r="OF58" s="39"/>
      <c r="OG58" s="39"/>
      <c r="OH58" s="39"/>
      <c r="OI58" s="39"/>
      <c r="OJ58" s="39"/>
      <c r="OK58" s="39"/>
      <c r="OL58" s="39"/>
      <c r="OM58" s="39"/>
      <c r="ON58" s="39"/>
      <c r="OO58" s="39"/>
      <c r="OP58" s="39"/>
      <c r="OQ58" s="39"/>
      <c r="OR58" s="39"/>
      <c r="OS58" s="39"/>
      <c r="OT58" s="39"/>
      <c r="OU58" s="39"/>
      <c r="OV58" s="39"/>
      <c r="OW58" s="39"/>
      <c r="OX58" s="39"/>
      <c r="OY58" s="39"/>
      <c r="OZ58" s="39"/>
      <c r="PA58" s="39"/>
      <c r="PB58" s="39"/>
      <c r="PC58" s="39"/>
      <c r="PD58" s="39"/>
      <c r="PE58" s="39"/>
      <c r="PF58" s="39"/>
      <c r="PG58" s="39"/>
      <c r="PH58" s="39"/>
      <c r="PI58" s="39"/>
      <c r="PJ58" s="39"/>
      <c r="PK58" s="39"/>
      <c r="PL58" s="39"/>
      <c r="PM58" s="39"/>
      <c r="PN58" s="39"/>
      <c r="PO58" s="39"/>
      <c r="PP58" s="39"/>
      <c r="PQ58" s="39"/>
      <c r="PR58" s="39"/>
      <c r="PS58" s="39"/>
      <c r="PT58" s="39"/>
      <c r="PU58" s="39"/>
      <c r="PV58" s="39"/>
      <c r="PW58" s="39"/>
      <c r="PX58" s="39"/>
      <c r="PY58" s="39"/>
      <c r="PZ58" s="39"/>
      <c r="QA58" s="39"/>
      <c r="QB58" s="39"/>
      <c r="QC58" s="39"/>
      <c r="QD58" s="39"/>
      <c r="QE58" s="39"/>
      <c r="QF58" s="39"/>
      <c r="QG58" s="39"/>
      <c r="QH58" s="39"/>
      <c r="QI58" s="39"/>
      <c r="QJ58" s="39"/>
      <c r="QK58" s="39"/>
      <c r="QL58" s="39"/>
      <c r="QM58" s="39"/>
      <c r="QN58" s="39"/>
      <c r="QO58" s="39"/>
      <c r="QP58" s="39"/>
      <c r="QQ58" s="39"/>
      <c r="QR58" s="39"/>
      <c r="QS58" s="39"/>
      <c r="QT58" s="39"/>
      <c r="QU58" s="39"/>
      <c r="QV58" s="39"/>
      <c r="QW58" s="39"/>
      <c r="QX58" s="39"/>
      <c r="QY58" s="39"/>
      <c r="QZ58" s="39"/>
      <c r="RA58" s="39"/>
      <c r="RB58" s="39"/>
      <c r="RC58" s="39"/>
      <c r="RD58" s="39"/>
      <c r="RE58" s="39"/>
      <c r="RF58" s="39"/>
      <c r="RG58" s="39"/>
      <c r="RH58" s="39"/>
      <c r="RI58" s="39"/>
      <c r="RJ58" s="39"/>
      <c r="RK58" s="39"/>
      <c r="RL58" s="39"/>
      <c r="RM58" s="39"/>
      <c r="RN58" s="39"/>
      <c r="RO58" s="39"/>
      <c r="RP58" s="39"/>
      <c r="RQ58" s="39"/>
      <c r="RR58" s="39"/>
      <c r="RS58" s="39"/>
      <c r="RT58" s="39"/>
      <c r="RU58" s="39"/>
      <c r="RV58" s="39"/>
      <c r="RW58" s="39"/>
      <c r="RX58" s="39"/>
      <c r="RY58" s="39"/>
      <c r="RZ58" s="39"/>
      <c r="SA58" s="39"/>
      <c r="SB58" s="39"/>
      <c r="SC58" s="39"/>
      <c r="SD58" s="39"/>
      <c r="SE58" s="39"/>
      <c r="SF58" s="39"/>
      <c r="SG58" s="39"/>
      <c r="SH58" s="39"/>
      <c r="SI58" s="39"/>
      <c r="SJ58" s="39"/>
      <c r="SK58" s="39"/>
      <c r="SL58" s="39"/>
      <c r="SM58" s="39"/>
      <c r="SN58" s="39"/>
      <c r="SO58" s="39"/>
      <c r="SP58" s="39"/>
      <c r="SQ58" s="39"/>
      <c r="SR58" s="39"/>
      <c r="SS58" s="39"/>
      <c r="ST58" s="39"/>
      <c r="SU58" s="39"/>
      <c r="SV58" s="39"/>
      <c r="SW58" s="39"/>
      <c r="SX58" s="39"/>
      <c r="SY58" s="39"/>
      <c r="SZ58" s="39"/>
      <c r="TA58" s="39"/>
      <c r="TB58" s="39"/>
      <c r="TC58" s="39"/>
      <c r="TD58" s="39"/>
      <c r="TE58" s="39"/>
      <c r="TF58" s="39"/>
      <c r="TG58" s="39"/>
      <c r="TH58" s="39"/>
      <c r="TI58" s="39"/>
    </row>
    <row r="59" spans="1:529" s="40" customFormat="1" ht="30" x14ac:dyDescent="0.25">
      <c r="A59" s="81"/>
      <c r="B59" s="70"/>
      <c r="C59" s="70"/>
      <c r="D59" s="33" t="s">
        <v>453</v>
      </c>
      <c r="E59" s="65">
        <f>E75+E78+E82+E100</f>
        <v>371188700</v>
      </c>
      <c r="F59" s="65">
        <f t="shared" ref="F59:P59" si="18">F75+F78+F82+F100</f>
        <v>371188700</v>
      </c>
      <c r="G59" s="65">
        <f t="shared" si="18"/>
        <v>296702414</v>
      </c>
      <c r="H59" s="65">
        <f t="shared" si="18"/>
        <v>0</v>
      </c>
      <c r="I59" s="65">
        <f t="shared" si="18"/>
        <v>0</v>
      </c>
      <c r="J59" s="65">
        <f t="shared" si="18"/>
        <v>0</v>
      </c>
      <c r="K59" s="65">
        <f t="shared" si="18"/>
        <v>0</v>
      </c>
      <c r="L59" s="65">
        <f t="shared" si="18"/>
        <v>0</v>
      </c>
      <c r="M59" s="65">
        <f t="shared" si="18"/>
        <v>0</v>
      </c>
      <c r="N59" s="65">
        <f t="shared" si="18"/>
        <v>0</v>
      </c>
      <c r="O59" s="65">
        <f t="shared" si="18"/>
        <v>0</v>
      </c>
      <c r="P59" s="65">
        <f t="shared" si="18"/>
        <v>371188700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</row>
    <row r="60" spans="1:529" s="40" customFormat="1" ht="45" x14ac:dyDescent="0.25">
      <c r="A60" s="81"/>
      <c r="B60" s="70"/>
      <c r="C60" s="70"/>
      <c r="D60" s="33" t="s">
        <v>452</v>
      </c>
      <c r="E60" s="65">
        <f>E96</f>
        <v>0</v>
      </c>
      <c r="F60" s="65">
        <f t="shared" ref="F60:P60" si="19">F96</f>
        <v>0</v>
      </c>
      <c r="G60" s="65">
        <f t="shared" si="19"/>
        <v>0</v>
      </c>
      <c r="H60" s="65">
        <f t="shared" si="19"/>
        <v>0</v>
      </c>
      <c r="I60" s="65">
        <f t="shared" si="19"/>
        <v>0</v>
      </c>
      <c r="J60" s="65">
        <f t="shared" si="19"/>
        <v>10496496.550000001</v>
      </c>
      <c r="K60" s="65">
        <f t="shared" si="19"/>
        <v>10496496.550000001</v>
      </c>
      <c r="L60" s="65">
        <f t="shared" si="19"/>
        <v>0</v>
      </c>
      <c r="M60" s="65">
        <f t="shared" si="19"/>
        <v>0</v>
      </c>
      <c r="N60" s="65">
        <f t="shared" si="19"/>
        <v>0</v>
      </c>
      <c r="O60" s="65">
        <f t="shared" si="19"/>
        <v>10496496.550000001</v>
      </c>
      <c r="P60" s="65">
        <f t="shared" si="19"/>
        <v>10496496.550000001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</row>
    <row r="61" spans="1:529" s="40" customFormat="1" ht="64.5" customHeight="1" x14ac:dyDescent="0.25">
      <c r="A61" s="81"/>
      <c r="B61" s="70"/>
      <c r="C61" s="70"/>
      <c r="D61" s="33" t="s">
        <v>451</v>
      </c>
      <c r="E61" s="65">
        <f>E71</f>
        <v>2739700</v>
      </c>
      <c r="F61" s="65">
        <f t="shared" ref="F61:P61" si="20">F71</f>
        <v>2739700</v>
      </c>
      <c r="G61" s="65">
        <f t="shared" si="20"/>
        <v>2249257</v>
      </c>
      <c r="H61" s="65">
        <f t="shared" si="20"/>
        <v>0</v>
      </c>
      <c r="I61" s="65">
        <f t="shared" si="20"/>
        <v>0</v>
      </c>
      <c r="J61" s="65">
        <f t="shared" si="20"/>
        <v>0</v>
      </c>
      <c r="K61" s="65">
        <f t="shared" si="20"/>
        <v>0</v>
      </c>
      <c r="L61" s="65">
        <f t="shared" si="20"/>
        <v>0</v>
      </c>
      <c r="M61" s="65">
        <f t="shared" si="20"/>
        <v>0</v>
      </c>
      <c r="N61" s="65">
        <f t="shared" si="20"/>
        <v>0</v>
      </c>
      <c r="O61" s="65">
        <f t="shared" si="20"/>
        <v>0</v>
      </c>
      <c r="P61" s="65">
        <f t="shared" si="20"/>
        <v>2739700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</row>
    <row r="62" spans="1:529" s="40" customFormat="1" ht="45" x14ac:dyDescent="0.25">
      <c r="A62" s="81"/>
      <c r="B62" s="70"/>
      <c r="C62" s="70"/>
      <c r="D62" s="33" t="s">
        <v>448</v>
      </c>
      <c r="E62" s="65">
        <f>E72+E88</f>
        <v>3303370</v>
      </c>
      <c r="F62" s="65">
        <f t="shared" ref="F62:P62" si="21">F72+F88</f>
        <v>3303370</v>
      </c>
      <c r="G62" s="65">
        <f t="shared" si="21"/>
        <v>1013420</v>
      </c>
      <c r="H62" s="65">
        <f t="shared" si="21"/>
        <v>0</v>
      </c>
      <c r="I62" s="65">
        <f t="shared" si="21"/>
        <v>0</v>
      </c>
      <c r="J62" s="65">
        <f t="shared" si="21"/>
        <v>0</v>
      </c>
      <c r="K62" s="65">
        <f t="shared" si="21"/>
        <v>0</v>
      </c>
      <c r="L62" s="65">
        <f t="shared" si="21"/>
        <v>0</v>
      </c>
      <c r="M62" s="65">
        <f t="shared" si="21"/>
        <v>0</v>
      </c>
      <c r="N62" s="65">
        <f t="shared" si="21"/>
        <v>0</v>
      </c>
      <c r="O62" s="65">
        <f t="shared" si="21"/>
        <v>0</v>
      </c>
      <c r="P62" s="65">
        <f t="shared" si="21"/>
        <v>3303370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/>
      <c r="KN62" s="39"/>
      <c r="KO62" s="39"/>
      <c r="KP62" s="39"/>
      <c r="KQ62" s="39"/>
      <c r="KR62" s="39"/>
      <c r="KS62" s="39"/>
      <c r="KT62" s="39"/>
      <c r="KU62" s="39"/>
      <c r="KV62" s="39"/>
      <c r="KW62" s="39"/>
      <c r="KX62" s="39"/>
      <c r="KY62" s="39"/>
      <c r="KZ62" s="39"/>
      <c r="LA62" s="39"/>
      <c r="LB62" s="39"/>
      <c r="LC62" s="39"/>
      <c r="LD62" s="39"/>
      <c r="LE62" s="39"/>
      <c r="LF62" s="39"/>
      <c r="LG62" s="39"/>
      <c r="LH62" s="39"/>
      <c r="LI62" s="39"/>
      <c r="LJ62" s="39"/>
      <c r="LK62" s="39"/>
      <c r="LL62" s="39"/>
      <c r="LM62" s="39"/>
      <c r="LN62" s="39"/>
      <c r="LO62" s="39"/>
      <c r="LP62" s="39"/>
      <c r="LQ62" s="39"/>
      <c r="LR62" s="39"/>
      <c r="LS62" s="39"/>
      <c r="LT62" s="39"/>
      <c r="LU62" s="39"/>
      <c r="LV62" s="39"/>
      <c r="LW62" s="39"/>
      <c r="LX62" s="39"/>
      <c r="LY62" s="39"/>
      <c r="LZ62" s="39"/>
      <c r="MA62" s="39"/>
      <c r="MB62" s="39"/>
      <c r="MC62" s="39"/>
      <c r="MD62" s="39"/>
      <c r="ME62" s="39"/>
      <c r="MF62" s="39"/>
      <c r="MG62" s="39"/>
      <c r="MH62" s="39"/>
      <c r="MI62" s="39"/>
      <c r="MJ62" s="39"/>
      <c r="MK62" s="39"/>
      <c r="ML62" s="39"/>
      <c r="MM62" s="39"/>
      <c r="MN62" s="39"/>
      <c r="MO62" s="39"/>
      <c r="MP62" s="39"/>
      <c r="MQ62" s="39"/>
      <c r="MR62" s="39"/>
      <c r="MS62" s="39"/>
      <c r="MT62" s="39"/>
      <c r="MU62" s="39"/>
      <c r="MV62" s="39"/>
      <c r="MW62" s="39"/>
      <c r="MX62" s="39"/>
      <c r="MY62" s="39"/>
      <c r="MZ62" s="39"/>
      <c r="NA62" s="39"/>
      <c r="NB62" s="39"/>
      <c r="NC62" s="39"/>
      <c r="ND62" s="39"/>
      <c r="NE62" s="39"/>
      <c r="NF62" s="39"/>
      <c r="NG62" s="39"/>
      <c r="NH62" s="39"/>
      <c r="NI62" s="39"/>
      <c r="NJ62" s="39"/>
      <c r="NK62" s="39"/>
      <c r="NL62" s="39"/>
      <c r="NM62" s="39"/>
      <c r="NN62" s="39"/>
      <c r="NO62" s="39"/>
      <c r="NP62" s="39"/>
      <c r="NQ62" s="39"/>
      <c r="NR62" s="39"/>
      <c r="NS62" s="39"/>
      <c r="NT62" s="39"/>
      <c r="NU62" s="39"/>
      <c r="NV62" s="39"/>
      <c r="NW62" s="39"/>
      <c r="NX62" s="39"/>
      <c r="NY62" s="39"/>
      <c r="NZ62" s="39"/>
      <c r="OA62" s="39"/>
      <c r="OB62" s="39"/>
      <c r="OC62" s="39"/>
      <c r="OD62" s="39"/>
      <c r="OE62" s="39"/>
      <c r="OF62" s="39"/>
      <c r="OG62" s="39"/>
      <c r="OH62" s="39"/>
      <c r="OI62" s="39"/>
      <c r="OJ62" s="39"/>
      <c r="OK62" s="39"/>
      <c r="OL62" s="39"/>
      <c r="OM62" s="39"/>
      <c r="ON62" s="39"/>
      <c r="OO62" s="39"/>
      <c r="OP62" s="39"/>
      <c r="OQ62" s="39"/>
      <c r="OR62" s="39"/>
      <c r="OS62" s="39"/>
      <c r="OT62" s="39"/>
      <c r="OU62" s="39"/>
      <c r="OV62" s="39"/>
      <c r="OW62" s="39"/>
      <c r="OX62" s="39"/>
      <c r="OY62" s="39"/>
      <c r="OZ62" s="39"/>
      <c r="PA62" s="39"/>
      <c r="PB62" s="39"/>
      <c r="PC62" s="39"/>
      <c r="PD62" s="39"/>
      <c r="PE62" s="39"/>
      <c r="PF62" s="39"/>
      <c r="PG62" s="39"/>
      <c r="PH62" s="39"/>
      <c r="PI62" s="39"/>
      <c r="PJ62" s="39"/>
      <c r="PK62" s="39"/>
      <c r="PL62" s="39"/>
      <c r="PM62" s="39"/>
      <c r="PN62" s="39"/>
      <c r="PO62" s="39"/>
      <c r="PP62" s="39"/>
      <c r="PQ62" s="39"/>
      <c r="PR62" s="39"/>
      <c r="PS62" s="39"/>
      <c r="PT62" s="39"/>
      <c r="PU62" s="39"/>
      <c r="PV62" s="39"/>
      <c r="PW62" s="39"/>
      <c r="PX62" s="39"/>
      <c r="PY62" s="39"/>
      <c r="PZ62" s="39"/>
      <c r="QA62" s="39"/>
      <c r="QB62" s="39"/>
      <c r="QC62" s="39"/>
      <c r="QD62" s="39"/>
      <c r="QE62" s="39"/>
      <c r="QF62" s="39"/>
      <c r="QG62" s="39"/>
      <c r="QH62" s="39"/>
      <c r="QI62" s="39"/>
      <c r="QJ62" s="39"/>
      <c r="QK62" s="39"/>
      <c r="QL62" s="39"/>
      <c r="QM62" s="39"/>
      <c r="QN62" s="39"/>
      <c r="QO62" s="39"/>
      <c r="QP62" s="39"/>
      <c r="QQ62" s="39"/>
      <c r="QR62" s="39"/>
      <c r="QS62" s="39"/>
      <c r="QT62" s="39"/>
      <c r="QU62" s="39"/>
      <c r="QV62" s="39"/>
      <c r="QW62" s="39"/>
      <c r="QX62" s="39"/>
      <c r="QY62" s="39"/>
      <c r="QZ62" s="39"/>
      <c r="RA62" s="39"/>
      <c r="RB62" s="39"/>
      <c r="RC62" s="39"/>
      <c r="RD62" s="39"/>
      <c r="RE62" s="39"/>
      <c r="RF62" s="39"/>
      <c r="RG62" s="39"/>
      <c r="RH62" s="39"/>
      <c r="RI62" s="39"/>
      <c r="RJ62" s="39"/>
      <c r="RK62" s="39"/>
      <c r="RL62" s="39"/>
      <c r="RM62" s="39"/>
      <c r="RN62" s="39"/>
      <c r="RO62" s="39"/>
      <c r="RP62" s="39"/>
      <c r="RQ62" s="39"/>
      <c r="RR62" s="39"/>
      <c r="RS62" s="39"/>
      <c r="RT62" s="39"/>
      <c r="RU62" s="39"/>
      <c r="RV62" s="39"/>
      <c r="RW62" s="39"/>
      <c r="RX62" s="39"/>
      <c r="RY62" s="39"/>
      <c r="RZ62" s="39"/>
      <c r="SA62" s="39"/>
      <c r="SB62" s="39"/>
      <c r="SC62" s="39"/>
      <c r="SD62" s="39"/>
      <c r="SE62" s="39"/>
      <c r="SF62" s="39"/>
      <c r="SG62" s="39"/>
      <c r="SH62" s="39"/>
      <c r="SI62" s="39"/>
      <c r="SJ62" s="39"/>
      <c r="SK62" s="39"/>
      <c r="SL62" s="39"/>
      <c r="SM62" s="39"/>
      <c r="SN62" s="39"/>
      <c r="SO62" s="39"/>
      <c r="SP62" s="39"/>
      <c r="SQ62" s="39"/>
      <c r="SR62" s="39"/>
      <c r="SS62" s="39"/>
      <c r="ST62" s="39"/>
      <c r="SU62" s="39"/>
      <c r="SV62" s="39"/>
      <c r="SW62" s="39"/>
      <c r="SX62" s="39"/>
      <c r="SY62" s="39"/>
      <c r="SZ62" s="39"/>
      <c r="TA62" s="39"/>
      <c r="TB62" s="39"/>
      <c r="TC62" s="39"/>
      <c r="TD62" s="39"/>
      <c r="TE62" s="39"/>
      <c r="TF62" s="39"/>
      <c r="TG62" s="39"/>
      <c r="TH62" s="39"/>
      <c r="TI62" s="39"/>
    </row>
    <row r="63" spans="1:529" s="40" customFormat="1" ht="45" x14ac:dyDescent="0.25">
      <c r="A63" s="81"/>
      <c r="B63" s="70"/>
      <c r="C63" s="70"/>
      <c r="D63" s="33" t="s">
        <v>450</v>
      </c>
      <c r="E63" s="65">
        <f>E73+E83</f>
        <v>2007516</v>
      </c>
      <c r="F63" s="65">
        <f t="shared" ref="F63:P63" si="22">F73+F83</f>
        <v>2007516</v>
      </c>
      <c r="G63" s="65">
        <f t="shared" si="22"/>
        <v>0</v>
      </c>
      <c r="H63" s="65">
        <f t="shared" si="22"/>
        <v>0</v>
      </c>
      <c r="I63" s="65">
        <f t="shared" si="22"/>
        <v>0</v>
      </c>
      <c r="J63" s="65">
        <f t="shared" si="22"/>
        <v>1027684</v>
      </c>
      <c r="K63" s="65">
        <f t="shared" si="22"/>
        <v>1027684</v>
      </c>
      <c r="L63" s="65">
        <f t="shared" si="22"/>
        <v>0</v>
      </c>
      <c r="M63" s="65">
        <f t="shared" si="22"/>
        <v>0</v>
      </c>
      <c r="N63" s="65">
        <f t="shared" si="22"/>
        <v>0</v>
      </c>
      <c r="O63" s="65">
        <f t="shared" si="22"/>
        <v>1027684</v>
      </c>
      <c r="P63" s="65">
        <f t="shared" si="22"/>
        <v>3035200</v>
      </c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  <c r="LM63" s="39"/>
      <c r="LN63" s="39"/>
      <c r="LO63" s="39"/>
      <c r="LP63" s="39"/>
      <c r="LQ63" s="39"/>
      <c r="LR63" s="39"/>
      <c r="LS63" s="39"/>
      <c r="LT63" s="39"/>
      <c r="LU63" s="39"/>
      <c r="LV63" s="39"/>
      <c r="LW63" s="39"/>
      <c r="LX63" s="39"/>
      <c r="LY63" s="39"/>
      <c r="LZ63" s="39"/>
      <c r="MA63" s="39"/>
      <c r="MB63" s="39"/>
      <c r="MC63" s="39"/>
      <c r="MD63" s="39"/>
      <c r="ME63" s="39"/>
      <c r="MF63" s="39"/>
      <c r="MG63" s="39"/>
      <c r="MH63" s="39"/>
      <c r="MI63" s="39"/>
      <c r="MJ63" s="39"/>
      <c r="MK63" s="39"/>
      <c r="ML63" s="39"/>
      <c r="MM63" s="39"/>
      <c r="MN63" s="39"/>
      <c r="MO63" s="39"/>
      <c r="MP63" s="39"/>
      <c r="MQ63" s="39"/>
      <c r="MR63" s="39"/>
      <c r="MS63" s="39"/>
      <c r="MT63" s="39"/>
      <c r="MU63" s="39"/>
      <c r="MV63" s="39"/>
      <c r="MW63" s="39"/>
      <c r="MX63" s="39"/>
      <c r="MY63" s="39"/>
      <c r="MZ63" s="39"/>
      <c r="NA63" s="39"/>
      <c r="NB63" s="39"/>
      <c r="NC63" s="39"/>
      <c r="ND63" s="39"/>
      <c r="NE63" s="39"/>
      <c r="NF63" s="39"/>
      <c r="NG63" s="39"/>
      <c r="NH63" s="39"/>
      <c r="NI63" s="39"/>
      <c r="NJ63" s="39"/>
      <c r="NK63" s="39"/>
      <c r="NL63" s="39"/>
      <c r="NM63" s="39"/>
      <c r="NN63" s="39"/>
      <c r="NO63" s="39"/>
      <c r="NP63" s="39"/>
      <c r="NQ63" s="39"/>
      <c r="NR63" s="39"/>
      <c r="NS63" s="39"/>
      <c r="NT63" s="39"/>
      <c r="NU63" s="39"/>
      <c r="NV63" s="39"/>
      <c r="NW63" s="39"/>
      <c r="NX63" s="39"/>
      <c r="NY63" s="39"/>
      <c r="NZ63" s="39"/>
      <c r="OA63" s="39"/>
      <c r="OB63" s="39"/>
      <c r="OC63" s="39"/>
      <c r="OD63" s="39"/>
      <c r="OE63" s="39"/>
      <c r="OF63" s="39"/>
      <c r="OG63" s="39"/>
      <c r="OH63" s="39"/>
      <c r="OI63" s="39"/>
      <c r="OJ63" s="39"/>
      <c r="OK63" s="39"/>
      <c r="OL63" s="39"/>
      <c r="OM63" s="39"/>
      <c r="ON63" s="39"/>
      <c r="OO63" s="39"/>
      <c r="OP63" s="39"/>
      <c r="OQ63" s="39"/>
      <c r="OR63" s="39"/>
      <c r="OS63" s="39"/>
      <c r="OT63" s="39"/>
      <c r="OU63" s="39"/>
      <c r="OV63" s="39"/>
      <c r="OW63" s="39"/>
      <c r="OX63" s="39"/>
      <c r="OY63" s="39"/>
      <c r="OZ63" s="39"/>
      <c r="PA63" s="39"/>
      <c r="PB63" s="39"/>
      <c r="PC63" s="39"/>
      <c r="PD63" s="39"/>
      <c r="PE63" s="39"/>
      <c r="PF63" s="39"/>
      <c r="PG63" s="39"/>
      <c r="PH63" s="39"/>
      <c r="PI63" s="39"/>
      <c r="PJ63" s="39"/>
      <c r="PK63" s="39"/>
      <c r="PL63" s="39"/>
      <c r="PM63" s="39"/>
      <c r="PN63" s="39"/>
      <c r="PO63" s="39"/>
      <c r="PP63" s="39"/>
      <c r="PQ63" s="39"/>
      <c r="PR63" s="39"/>
      <c r="PS63" s="39"/>
      <c r="PT63" s="39"/>
      <c r="PU63" s="39"/>
      <c r="PV63" s="39"/>
      <c r="PW63" s="39"/>
      <c r="PX63" s="39"/>
      <c r="PY63" s="39"/>
      <c r="PZ63" s="39"/>
      <c r="QA63" s="39"/>
      <c r="QB63" s="39"/>
      <c r="QC63" s="39"/>
      <c r="QD63" s="39"/>
      <c r="QE63" s="39"/>
      <c r="QF63" s="39"/>
      <c r="QG63" s="39"/>
      <c r="QH63" s="39"/>
      <c r="QI63" s="39"/>
      <c r="QJ63" s="39"/>
      <c r="QK63" s="39"/>
      <c r="QL63" s="39"/>
      <c r="QM63" s="39"/>
      <c r="QN63" s="39"/>
      <c r="QO63" s="39"/>
      <c r="QP63" s="39"/>
      <c r="QQ63" s="39"/>
      <c r="QR63" s="39"/>
      <c r="QS63" s="39"/>
      <c r="QT63" s="39"/>
      <c r="QU63" s="39"/>
      <c r="QV63" s="39"/>
      <c r="QW63" s="39"/>
      <c r="QX63" s="39"/>
      <c r="QY63" s="39"/>
      <c r="QZ63" s="39"/>
      <c r="RA63" s="39"/>
      <c r="RB63" s="39"/>
      <c r="RC63" s="39"/>
      <c r="RD63" s="39"/>
      <c r="RE63" s="39"/>
      <c r="RF63" s="39"/>
      <c r="RG63" s="39"/>
      <c r="RH63" s="39"/>
      <c r="RI63" s="39"/>
      <c r="RJ63" s="39"/>
      <c r="RK63" s="39"/>
      <c r="RL63" s="39"/>
      <c r="RM63" s="39"/>
      <c r="RN63" s="39"/>
      <c r="RO63" s="39"/>
      <c r="RP63" s="39"/>
      <c r="RQ63" s="39"/>
      <c r="RR63" s="39"/>
      <c r="RS63" s="39"/>
      <c r="RT63" s="39"/>
      <c r="RU63" s="39"/>
      <c r="RV63" s="39"/>
      <c r="RW63" s="39"/>
      <c r="RX63" s="39"/>
      <c r="RY63" s="39"/>
      <c r="RZ63" s="39"/>
      <c r="SA63" s="39"/>
      <c r="SB63" s="39"/>
      <c r="SC63" s="39"/>
      <c r="SD63" s="39"/>
      <c r="SE63" s="39"/>
      <c r="SF63" s="39"/>
      <c r="SG63" s="39"/>
      <c r="SH63" s="39"/>
      <c r="SI63" s="39"/>
      <c r="SJ63" s="39"/>
      <c r="SK63" s="39"/>
      <c r="SL63" s="39"/>
      <c r="SM63" s="39"/>
      <c r="SN63" s="39"/>
      <c r="SO63" s="39"/>
      <c r="SP63" s="39"/>
      <c r="SQ63" s="39"/>
      <c r="SR63" s="39"/>
      <c r="SS63" s="39"/>
      <c r="ST63" s="39"/>
      <c r="SU63" s="39"/>
      <c r="SV63" s="39"/>
      <c r="SW63" s="39"/>
      <c r="SX63" s="39"/>
      <c r="SY63" s="39"/>
      <c r="SZ63" s="39"/>
      <c r="TA63" s="39"/>
      <c r="TB63" s="39"/>
      <c r="TC63" s="39"/>
      <c r="TD63" s="39"/>
      <c r="TE63" s="39"/>
      <c r="TF63" s="39"/>
      <c r="TG63" s="39"/>
      <c r="TH63" s="39"/>
      <c r="TI63" s="39"/>
    </row>
    <row r="64" spans="1:529" s="40" customFormat="1" ht="53.25" customHeight="1" x14ac:dyDescent="0.25">
      <c r="A64" s="81"/>
      <c r="B64" s="70"/>
      <c r="C64" s="70"/>
      <c r="D64" s="33" t="s">
        <v>447</v>
      </c>
      <c r="E64" s="65">
        <f>E69+E74</f>
        <v>1767879</v>
      </c>
      <c r="F64" s="65">
        <f t="shared" ref="F64:P64" si="23">F69+F74</f>
        <v>1767879</v>
      </c>
      <c r="G64" s="65">
        <f t="shared" si="23"/>
        <v>1449080</v>
      </c>
      <c r="H64" s="65">
        <f t="shared" si="23"/>
        <v>0</v>
      </c>
      <c r="I64" s="65">
        <f t="shared" si="23"/>
        <v>0</v>
      </c>
      <c r="J64" s="65">
        <f t="shared" si="23"/>
        <v>744000</v>
      </c>
      <c r="K64" s="65">
        <f t="shared" si="23"/>
        <v>744000</v>
      </c>
      <c r="L64" s="65">
        <f t="shared" si="23"/>
        <v>0</v>
      </c>
      <c r="M64" s="65">
        <f t="shared" si="23"/>
        <v>0</v>
      </c>
      <c r="N64" s="65">
        <f t="shared" si="23"/>
        <v>0</v>
      </c>
      <c r="O64" s="65">
        <f t="shared" si="23"/>
        <v>744000</v>
      </c>
      <c r="P64" s="65">
        <f t="shared" si="23"/>
        <v>2511879</v>
      </c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/>
      <c r="KN64" s="39"/>
      <c r="KO64" s="39"/>
      <c r="KP64" s="39"/>
      <c r="KQ64" s="39"/>
      <c r="KR64" s="39"/>
      <c r="KS64" s="39"/>
      <c r="KT64" s="39"/>
      <c r="KU64" s="39"/>
      <c r="KV64" s="39"/>
      <c r="KW64" s="39"/>
      <c r="KX64" s="39"/>
      <c r="KY64" s="39"/>
      <c r="KZ64" s="39"/>
      <c r="LA64" s="39"/>
      <c r="LB64" s="39"/>
      <c r="LC64" s="39"/>
      <c r="LD64" s="39"/>
      <c r="LE64" s="39"/>
      <c r="LF64" s="39"/>
      <c r="LG64" s="39"/>
      <c r="LH64" s="39"/>
      <c r="LI64" s="39"/>
      <c r="LJ64" s="39"/>
      <c r="LK64" s="39"/>
      <c r="LL64" s="39"/>
      <c r="LM64" s="39"/>
      <c r="LN64" s="39"/>
      <c r="LO64" s="39"/>
      <c r="LP64" s="39"/>
      <c r="LQ64" s="39"/>
      <c r="LR64" s="39"/>
      <c r="LS64" s="39"/>
      <c r="LT64" s="39"/>
      <c r="LU64" s="39"/>
      <c r="LV64" s="39"/>
      <c r="LW64" s="39"/>
      <c r="LX64" s="39"/>
      <c r="LY64" s="39"/>
      <c r="LZ64" s="39"/>
      <c r="MA64" s="39"/>
      <c r="MB64" s="39"/>
      <c r="MC64" s="39"/>
      <c r="MD64" s="39"/>
      <c r="ME64" s="39"/>
      <c r="MF64" s="39"/>
      <c r="MG64" s="39"/>
      <c r="MH64" s="39"/>
      <c r="MI64" s="39"/>
      <c r="MJ64" s="39"/>
      <c r="MK64" s="39"/>
      <c r="ML64" s="39"/>
      <c r="MM64" s="39"/>
      <c r="MN64" s="39"/>
      <c r="MO64" s="39"/>
      <c r="MP64" s="39"/>
      <c r="MQ64" s="39"/>
      <c r="MR64" s="39"/>
      <c r="MS64" s="39"/>
      <c r="MT64" s="39"/>
      <c r="MU64" s="39"/>
      <c r="MV64" s="39"/>
      <c r="MW64" s="39"/>
      <c r="MX64" s="39"/>
      <c r="MY64" s="39"/>
      <c r="MZ64" s="39"/>
      <c r="NA64" s="39"/>
      <c r="NB64" s="39"/>
      <c r="NC64" s="39"/>
      <c r="ND64" s="39"/>
      <c r="NE64" s="39"/>
      <c r="NF64" s="39"/>
      <c r="NG64" s="39"/>
      <c r="NH64" s="39"/>
      <c r="NI64" s="39"/>
      <c r="NJ64" s="39"/>
      <c r="NK64" s="39"/>
      <c r="NL64" s="39"/>
      <c r="NM64" s="39"/>
      <c r="NN64" s="39"/>
      <c r="NO64" s="39"/>
      <c r="NP64" s="39"/>
      <c r="NQ64" s="39"/>
      <c r="NR64" s="39"/>
      <c r="NS64" s="39"/>
      <c r="NT64" s="39"/>
      <c r="NU64" s="39"/>
      <c r="NV64" s="39"/>
      <c r="NW64" s="39"/>
      <c r="NX64" s="39"/>
      <c r="NY64" s="39"/>
      <c r="NZ64" s="39"/>
      <c r="OA64" s="39"/>
      <c r="OB64" s="39"/>
      <c r="OC64" s="39"/>
      <c r="OD64" s="39"/>
      <c r="OE64" s="39"/>
      <c r="OF64" s="39"/>
      <c r="OG64" s="39"/>
      <c r="OH64" s="39"/>
      <c r="OI64" s="39"/>
      <c r="OJ64" s="39"/>
      <c r="OK64" s="39"/>
      <c r="OL64" s="39"/>
      <c r="OM64" s="39"/>
      <c r="ON64" s="39"/>
      <c r="OO64" s="39"/>
      <c r="OP64" s="39"/>
      <c r="OQ64" s="39"/>
      <c r="OR64" s="39"/>
      <c r="OS64" s="39"/>
      <c r="OT64" s="39"/>
      <c r="OU64" s="39"/>
      <c r="OV64" s="39"/>
      <c r="OW64" s="39"/>
      <c r="OX64" s="39"/>
      <c r="OY64" s="39"/>
      <c r="OZ64" s="39"/>
      <c r="PA64" s="39"/>
      <c r="PB64" s="39"/>
      <c r="PC64" s="39"/>
      <c r="PD64" s="39"/>
      <c r="PE64" s="39"/>
      <c r="PF64" s="39"/>
      <c r="PG64" s="39"/>
      <c r="PH64" s="39"/>
      <c r="PI64" s="39"/>
      <c r="PJ64" s="39"/>
      <c r="PK64" s="39"/>
      <c r="PL64" s="39"/>
      <c r="PM64" s="39"/>
      <c r="PN64" s="39"/>
      <c r="PO64" s="39"/>
      <c r="PP64" s="39"/>
      <c r="PQ64" s="39"/>
      <c r="PR64" s="39"/>
      <c r="PS64" s="39"/>
      <c r="PT64" s="39"/>
      <c r="PU64" s="39"/>
      <c r="PV64" s="39"/>
      <c r="PW64" s="39"/>
      <c r="PX64" s="39"/>
      <c r="PY64" s="39"/>
      <c r="PZ64" s="39"/>
      <c r="QA64" s="39"/>
      <c r="QB64" s="39"/>
      <c r="QC64" s="39"/>
      <c r="QD64" s="39"/>
      <c r="QE64" s="39"/>
      <c r="QF64" s="39"/>
      <c r="QG64" s="39"/>
      <c r="QH64" s="39"/>
      <c r="QI64" s="39"/>
      <c r="QJ64" s="39"/>
      <c r="QK64" s="39"/>
      <c r="QL64" s="39"/>
      <c r="QM64" s="39"/>
      <c r="QN64" s="39"/>
      <c r="QO64" s="39"/>
      <c r="QP64" s="39"/>
      <c r="QQ64" s="39"/>
      <c r="QR64" s="39"/>
      <c r="QS64" s="39"/>
      <c r="QT64" s="39"/>
      <c r="QU64" s="39"/>
      <c r="QV64" s="39"/>
      <c r="QW64" s="39"/>
      <c r="QX64" s="39"/>
      <c r="QY64" s="39"/>
      <c r="QZ64" s="39"/>
      <c r="RA64" s="39"/>
      <c r="RB64" s="39"/>
      <c r="RC64" s="39"/>
      <c r="RD64" s="39"/>
      <c r="RE64" s="39"/>
      <c r="RF64" s="39"/>
      <c r="RG64" s="39"/>
      <c r="RH64" s="39"/>
      <c r="RI64" s="39"/>
      <c r="RJ64" s="39"/>
      <c r="RK64" s="39"/>
      <c r="RL64" s="39"/>
      <c r="RM64" s="39"/>
      <c r="RN64" s="39"/>
      <c r="RO64" s="39"/>
      <c r="RP64" s="39"/>
      <c r="RQ64" s="39"/>
      <c r="RR64" s="39"/>
      <c r="RS64" s="39"/>
      <c r="RT64" s="39"/>
      <c r="RU64" s="39"/>
      <c r="RV64" s="39"/>
      <c r="RW64" s="39"/>
      <c r="RX64" s="39"/>
      <c r="RY64" s="39"/>
      <c r="RZ64" s="39"/>
      <c r="SA64" s="39"/>
      <c r="SB64" s="39"/>
      <c r="SC64" s="39"/>
      <c r="SD64" s="39"/>
      <c r="SE64" s="39"/>
      <c r="SF64" s="39"/>
      <c r="SG64" s="39"/>
      <c r="SH64" s="39"/>
      <c r="SI64" s="39"/>
      <c r="SJ64" s="39"/>
      <c r="SK64" s="39"/>
      <c r="SL64" s="39"/>
      <c r="SM64" s="39"/>
      <c r="SN64" s="39"/>
      <c r="SO64" s="39"/>
      <c r="SP64" s="39"/>
      <c r="SQ64" s="39"/>
      <c r="SR64" s="39"/>
      <c r="SS64" s="39"/>
      <c r="ST64" s="39"/>
      <c r="SU64" s="39"/>
      <c r="SV64" s="39"/>
      <c r="SW64" s="39"/>
      <c r="SX64" s="39"/>
      <c r="SY64" s="39"/>
      <c r="SZ64" s="39"/>
      <c r="TA64" s="39"/>
      <c r="TB64" s="39"/>
      <c r="TC64" s="39"/>
      <c r="TD64" s="39"/>
      <c r="TE64" s="39"/>
      <c r="TF64" s="39"/>
      <c r="TG64" s="39"/>
      <c r="TH64" s="39"/>
      <c r="TI64" s="39"/>
    </row>
    <row r="65" spans="1:529" s="40" customFormat="1" ht="60" x14ac:dyDescent="0.25">
      <c r="A65" s="81"/>
      <c r="B65" s="70"/>
      <c r="C65" s="70"/>
      <c r="D65" s="33" t="s">
        <v>449</v>
      </c>
      <c r="E65" s="65">
        <f>E76+E79</f>
        <v>4807997</v>
      </c>
      <c r="F65" s="65">
        <f t="shared" ref="F65:P65" si="24">F76+F79</f>
        <v>4807997</v>
      </c>
      <c r="G65" s="65">
        <f t="shared" si="24"/>
        <v>0</v>
      </c>
      <c r="H65" s="65">
        <f t="shared" si="24"/>
        <v>0</v>
      </c>
      <c r="I65" s="65">
        <f t="shared" si="24"/>
        <v>0</v>
      </c>
      <c r="J65" s="65">
        <f t="shared" si="24"/>
        <v>742539</v>
      </c>
      <c r="K65" s="65">
        <f t="shared" si="24"/>
        <v>742539</v>
      </c>
      <c r="L65" s="65">
        <f t="shared" si="24"/>
        <v>0</v>
      </c>
      <c r="M65" s="65">
        <f t="shared" si="24"/>
        <v>0</v>
      </c>
      <c r="N65" s="65">
        <f t="shared" si="24"/>
        <v>0</v>
      </c>
      <c r="O65" s="65">
        <f t="shared" si="24"/>
        <v>742539</v>
      </c>
      <c r="P65" s="65">
        <f t="shared" si="24"/>
        <v>5550536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/>
      <c r="KN65" s="39"/>
      <c r="KO65" s="39"/>
      <c r="KP65" s="39"/>
      <c r="KQ65" s="39"/>
      <c r="KR65" s="39"/>
      <c r="KS65" s="39"/>
      <c r="KT65" s="39"/>
      <c r="KU65" s="39"/>
      <c r="KV65" s="39"/>
      <c r="KW65" s="39"/>
      <c r="KX65" s="39"/>
      <c r="KY65" s="39"/>
      <c r="KZ65" s="39"/>
      <c r="LA65" s="39"/>
      <c r="LB65" s="39"/>
      <c r="LC65" s="39"/>
      <c r="LD65" s="39"/>
      <c r="LE65" s="39"/>
      <c r="LF65" s="39"/>
      <c r="LG65" s="39"/>
      <c r="LH65" s="39"/>
      <c r="LI65" s="39"/>
      <c r="LJ65" s="39"/>
      <c r="LK65" s="39"/>
      <c r="LL65" s="39"/>
      <c r="LM65" s="39"/>
      <c r="LN65" s="39"/>
      <c r="LO65" s="39"/>
      <c r="LP65" s="39"/>
      <c r="LQ65" s="39"/>
      <c r="LR65" s="39"/>
      <c r="LS65" s="39"/>
      <c r="LT65" s="39"/>
      <c r="LU65" s="39"/>
      <c r="LV65" s="39"/>
      <c r="LW65" s="39"/>
      <c r="LX65" s="39"/>
      <c r="LY65" s="39"/>
      <c r="LZ65" s="39"/>
      <c r="MA65" s="39"/>
      <c r="MB65" s="39"/>
      <c r="MC65" s="39"/>
      <c r="MD65" s="39"/>
      <c r="ME65" s="39"/>
      <c r="MF65" s="39"/>
      <c r="MG65" s="39"/>
      <c r="MH65" s="39"/>
      <c r="MI65" s="39"/>
      <c r="MJ65" s="39"/>
      <c r="MK65" s="39"/>
      <c r="ML65" s="39"/>
      <c r="MM65" s="39"/>
      <c r="MN65" s="39"/>
      <c r="MO65" s="39"/>
      <c r="MP65" s="39"/>
      <c r="MQ65" s="39"/>
      <c r="MR65" s="39"/>
      <c r="MS65" s="39"/>
      <c r="MT65" s="39"/>
      <c r="MU65" s="39"/>
      <c r="MV65" s="39"/>
      <c r="MW65" s="39"/>
      <c r="MX65" s="39"/>
      <c r="MY65" s="39"/>
      <c r="MZ65" s="39"/>
      <c r="NA65" s="39"/>
      <c r="NB65" s="39"/>
      <c r="NC65" s="39"/>
      <c r="ND65" s="39"/>
      <c r="NE65" s="39"/>
      <c r="NF65" s="39"/>
      <c r="NG65" s="39"/>
      <c r="NH65" s="39"/>
      <c r="NI65" s="39"/>
      <c r="NJ65" s="39"/>
      <c r="NK65" s="39"/>
      <c r="NL65" s="39"/>
      <c r="NM65" s="39"/>
      <c r="NN65" s="39"/>
      <c r="NO65" s="39"/>
      <c r="NP65" s="39"/>
      <c r="NQ65" s="39"/>
      <c r="NR65" s="39"/>
      <c r="NS65" s="39"/>
      <c r="NT65" s="39"/>
      <c r="NU65" s="39"/>
      <c r="NV65" s="39"/>
      <c r="NW65" s="39"/>
      <c r="NX65" s="39"/>
      <c r="NY65" s="39"/>
      <c r="NZ65" s="39"/>
      <c r="OA65" s="39"/>
      <c r="OB65" s="39"/>
      <c r="OC65" s="39"/>
      <c r="OD65" s="39"/>
      <c r="OE65" s="39"/>
      <c r="OF65" s="39"/>
      <c r="OG65" s="39"/>
      <c r="OH65" s="39"/>
      <c r="OI65" s="39"/>
      <c r="OJ65" s="39"/>
      <c r="OK65" s="39"/>
      <c r="OL65" s="39"/>
      <c r="OM65" s="39"/>
      <c r="ON65" s="39"/>
      <c r="OO65" s="39"/>
      <c r="OP65" s="39"/>
      <c r="OQ65" s="39"/>
      <c r="OR65" s="39"/>
      <c r="OS65" s="39"/>
      <c r="OT65" s="39"/>
      <c r="OU65" s="39"/>
      <c r="OV65" s="39"/>
      <c r="OW65" s="39"/>
      <c r="OX65" s="39"/>
      <c r="OY65" s="39"/>
      <c r="OZ65" s="39"/>
      <c r="PA65" s="39"/>
      <c r="PB65" s="39"/>
      <c r="PC65" s="39"/>
      <c r="PD65" s="39"/>
      <c r="PE65" s="39"/>
      <c r="PF65" s="39"/>
      <c r="PG65" s="39"/>
      <c r="PH65" s="39"/>
      <c r="PI65" s="39"/>
      <c r="PJ65" s="39"/>
      <c r="PK65" s="39"/>
      <c r="PL65" s="39"/>
      <c r="PM65" s="39"/>
      <c r="PN65" s="39"/>
      <c r="PO65" s="39"/>
      <c r="PP65" s="39"/>
      <c r="PQ65" s="39"/>
      <c r="PR65" s="39"/>
      <c r="PS65" s="39"/>
      <c r="PT65" s="39"/>
      <c r="PU65" s="39"/>
      <c r="PV65" s="39"/>
      <c r="PW65" s="39"/>
      <c r="PX65" s="39"/>
      <c r="PY65" s="39"/>
      <c r="PZ65" s="39"/>
      <c r="QA65" s="39"/>
      <c r="QB65" s="39"/>
      <c r="QC65" s="39"/>
      <c r="QD65" s="39"/>
      <c r="QE65" s="39"/>
      <c r="QF65" s="39"/>
      <c r="QG65" s="39"/>
      <c r="QH65" s="39"/>
      <c r="QI65" s="39"/>
      <c r="QJ65" s="39"/>
      <c r="QK65" s="39"/>
      <c r="QL65" s="39"/>
      <c r="QM65" s="39"/>
      <c r="QN65" s="39"/>
      <c r="QO65" s="39"/>
      <c r="QP65" s="39"/>
      <c r="QQ65" s="39"/>
      <c r="QR65" s="39"/>
      <c r="QS65" s="39"/>
      <c r="QT65" s="39"/>
      <c r="QU65" s="39"/>
      <c r="QV65" s="39"/>
      <c r="QW65" s="39"/>
      <c r="QX65" s="39"/>
      <c r="QY65" s="39"/>
      <c r="QZ65" s="39"/>
      <c r="RA65" s="39"/>
      <c r="RB65" s="39"/>
      <c r="RC65" s="39"/>
      <c r="RD65" s="39"/>
      <c r="RE65" s="39"/>
      <c r="RF65" s="39"/>
      <c r="RG65" s="39"/>
      <c r="RH65" s="39"/>
      <c r="RI65" s="39"/>
      <c r="RJ65" s="39"/>
      <c r="RK65" s="39"/>
      <c r="RL65" s="39"/>
      <c r="RM65" s="39"/>
      <c r="RN65" s="39"/>
      <c r="RO65" s="39"/>
      <c r="RP65" s="39"/>
      <c r="RQ65" s="39"/>
      <c r="RR65" s="39"/>
      <c r="RS65" s="39"/>
      <c r="RT65" s="39"/>
      <c r="RU65" s="39"/>
      <c r="RV65" s="39"/>
      <c r="RW65" s="39"/>
      <c r="RX65" s="39"/>
      <c r="RY65" s="39"/>
      <c r="RZ65" s="39"/>
      <c r="SA65" s="39"/>
      <c r="SB65" s="39"/>
      <c r="SC65" s="39"/>
      <c r="SD65" s="39"/>
      <c r="SE65" s="39"/>
      <c r="SF65" s="39"/>
      <c r="SG65" s="39"/>
      <c r="SH65" s="39"/>
      <c r="SI65" s="39"/>
      <c r="SJ65" s="39"/>
      <c r="SK65" s="39"/>
      <c r="SL65" s="39"/>
      <c r="SM65" s="39"/>
      <c r="SN65" s="39"/>
      <c r="SO65" s="39"/>
      <c r="SP65" s="39"/>
      <c r="SQ65" s="39"/>
      <c r="SR65" s="39"/>
      <c r="SS65" s="39"/>
      <c r="ST65" s="39"/>
      <c r="SU65" s="39"/>
      <c r="SV65" s="39"/>
      <c r="SW65" s="39"/>
      <c r="SX65" s="39"/>
      <c r="SY65" s="39"/>
      <c r="SZ65" s="39"/>
      <c r="TA65" s="39"/>
      <c r="TB65" s="39"/>
      <c r="TC65" s="39"/>
      <c r="TD65" s="39"/>
      <c r="TE65" s="39"/>
      <c r="TF65" s="39"/>
      <c r="TG65" s="39"/>
      <c r="TH65" s="39"/>
      <c r="TI65" s="39"/>
    </row>
    <row r="66" spans="1:529" s="40" customFormat="1" ht="48.75" customHeight="1" x14ac:dyDescent="0.25">
      <c r="A66" s="73"/>
      <c r="B66" s="72"/>
      <c r="C66" s="178"/>
      <c r="D66" s="169" t="s">
        <v>526</v>
      </c>
      <c r="E66" s="65">
        <f>E90</f>
        <v>0</v>
      </c>
      <c r="F66" s="65">
        <f t="shared" ref="F66:P66" si="25">F90</f>
        <v>0</v>
      </c>
      <c r="G66" s="65">
        <f t="shared" si="25"/>
        <v>0</v>
      </c>
      <c r="H66" s="65">
        <f t="shared" si="25"/>
        <v>0</v>
      </c>
      <c r="I66" s="65">
        <f t="shared" si="25"/>
        <v>0</v>
      </c>
      <c r="J66" s="65">
        <f t="shared" si="25"/>
        <v>1180956</v>
      </c>
      <c r="K66" s="65">
        <f t="shared" si="25"/>
        <v>1180956</v>
      </c>
      <c r="L66" s="65">
        <f t="shared" si="25"/>
        <v>0</v>
      </c>
      <c r="M66" s="65">
        <f t="shared" si="25"/>
        <v>0</v>
      </c>
      <c r="N66" s="65">
        <f t="shared" si="25"/>
        <v>0</v>
      </c>
      <c r="O66" s="65">
        <f t="shared" si="25"/>
        <v>1180956</v>
      </c>
      <c r="P66" s="65">
        <f t="shared" si="25"/>
        <v>1180956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  <c r="KL66" s="39"/>
      <c r="KM66" s="39"/>
      <c r="KN66" s="39"/>
      <c r="KO66" s="39"/>
      <c r="KP66" s="39"/>
      <c r="KQ66" s="39"/>
      <c r="KR66" s="39"/>
      <c r="KS66" s="39"/>
      <c r="KT66" s="39"/>
      <c r="KU66" s="39"/>
      <c r="KV66" s="39"/>
      <c r="KW66" s="39"/>
      <c r="KX66" s="39"/>
      <c r="KY66" s="39"/>
      <c r="KZ66" s="39"/>
      <c r="LA66" s="39"/>
      <c r="LB66" s="39"/>
      <c r="LC66" s="39"/>
      <c r="LD66" s="39"/>
      <c r="LE66" s="39"/>
      <c r="LF66" s="39"/>
      <c r="LG66" s="39"/>
      <c r="LH66" s="39"/>
      <c r="LI66" s="39"/>
      <c r="LJ66" s="39"/>
      <c r="LK66" s="39"/>
      <c r="LL66" s="39"/>
      <c r="LM66" s="39"/>
      <c r="LN66" s="39"/>
      <c r="LO66" s="39"/>
      <c r="LP66" s="39"/>
      <c r="LQ66" s="39"/>
      <c r="LR66" s="39"/>
      <c r="LS66" s="39"/>
      <c r="LT66" s="39"/>
      <c r="LU66" s="39"/>
      <c r="LV66" s="39"/>
      <c r="LW66" s="39"/>
      <c r="LX66" s="39"/>
      <c r="LY66" s="39"/>
      <c r="LZ66" s="39"/>
      <c r="MA66" s="39"/>
      <c r="MB66" s="39"/>
      <c r="MC66" s="39"/>
      <c r="MD66" s="39"/>
      <c r="ME66" s="39"/>
      <c r="MF66" s="39"/>
      <c r="MG66" s="39"/>
      <c r="MH66" s="39"/>
      <c r="MI66" s="39"/>
      <c r="MJ66" s="39"/>
      <c r="MK66" s="39"/>
      <c r="ML66" s="39"/>
      <c r="MM66" s="39"/>
      <c r="MN66" s="39"/>
      <c r="MO66" s="39"/>
      <c r="MP66" s="39"/>
      <c r="MQ66" s="39"/>
      <c r="MR66" s="39"/>
      <c r="MS66" s="39"/>
      <c r="MT66" s="39"/>
      <c r="MU66" s="39"/>
      <c r="MV66" s="39"/>
      <c r="MW66" s="39"/>
      <c r="MX66" s="39"/>
      <c r="MY66" s="39"/>
      <c r="MZ66" s="39"/>
      <c r="NA66" s="39"/>
      <c r="NB66" s="39"/>
      <c r="NC66" s="39"/>
      <c r="ND66" s="39"/>
      <c r="NE66" s="39"/>
      <c r="NF66" s="39"/>
      <c r="NG66" s="39"/>
      <c r="NH66" s="39"/>
      <c r="NI66" s="39"/>
      <c r="NJ66" s="39"/>
      <c r="NK66" s="39"/>
      <c r="NL66" s="39"/>
      <c r="NM66" s="39"/>
      <c r="NN66" s="39"/>
      <c r="NO66" s="39"/>
      <c r="NP66" s="39"/>
      <c r="NQ66" s="39"/>
      <c r="NR66" s="39"/>
      <c r="NS66" s="39"/>
      <c r="NT66" s="39"/>
      <c r="NU66" s="39"/>
      <c r="NV66" s="39"/>
      <c r="NW66" s="39"/>
      <c r="NX66" s="39"/>
      <c r="NY66" s="39"/>
      <c r="NZ66" s="39"/>
      <c r="OA66" s="39"/>
      <c r="OB66" s="39"/>
      <c r="OC66" s="39"/>
      <c r="OD66" s="39"/>
      <c r="OE66" s="39"/>
      <c r="OF66" s="39"/>
      <c r="OG66" s="39"/>
      <c r="OH66" s="39"/>
      <c r="OI66" s="39"/>
      <c r="OJ66" s="39"/>
      <c r="OK66" s="39"/>
      <c r="OL66" s="39"/>
      <c r="OM66" s="39"/>
      <c r="ON66" s="39"/>
      <c r="OO66" s="39"/>
      <c r="OP66" s="39"/>
      <c r="OQ66" s="39"/>
      <c r="OR66" s="39"/>
      <c r="OS66" s="39"/>
      <c r="OT66" s="39"/>
      <c r="OU66" s="39"/>
      <c r="OV66" s="39"/>
      <c r="OW66" s="39"/>
      <c r="OX66" s="39"/>
      <c r="OY66" s="39"/>
      <c r="OZ66" s="39"/>
      <c r="PA66" s="39"/>
      <c r="PB66" s="39"/>
      <c r="PC66" s="39"/>
      <c r="PD66" s="39"/>
      <c r="PE66" s="39"/>
      <c r="PF66" s="39"/>
      <c r="PG66" s="39"/>
      <c r="PH66" s="39"/>
      <c r="PI66" s="39"/>
      <c r="PJ66" s="39"/>
      <c r="PK66" s="39"/>
      <c r="PL66" s="39"/>
      <c r="PM66" s="39"/>
      <c r="PN66" s="39"/>
      <c r="PO66" s="39"/>
      <c r="PP66" s="39"/>
      <c r="PQ66" s="39"/>
      <c r="PR66" s="39"/>
      <c r="PS66" s="39"/>
      <c r="PT66" s="39"/>
      <c r="PU66" s="39"/>
      <c r="PV66" s="39"/>
      <c r="PW66" s="39"/>
      <c r="PX66" s="39"/>
      <c r="PY66" s="39"/>
      <c r="PZ66" s="39"/>
      <c r="QA66" s="39"/>
      <c r="QB66" s="39"/>
      <c r="QC66" s="39"/>
      <c r="QD66" s="39"/>
      <c r="QE66" s="39"/>
      <c r="QF66" s="39"/>
      <c r="QG66" s="39"/>
      <c r="QH66" s="39"/>
      <c r="QI66" s="39"/>
      <c r="QJ66" s="39"/>
      <c r="QK66" s="39"/>
      <c r="QL66" s="39"/>
      <c r="QM66" s="39"/>
      <c r="QN66" s="39"/>
      <c r="QO66" s="39"/>
      <c r="QP66" s="39"/>
      <c r="QQ66" s="39"/>
      <c r="QR66" s="39"/>
      <c r="QS66" s="39"/>
      <c r="QT66" s="39"/>
      <c r="QU66" s="39"/>
      <c r="QV66" s="39"/>
      <c r="QW66" s="39"/>
      <c r="QX66" s="39"/>
      <c r="QY66" s="39"/>
      <c r="QZ66" s="39"/>
      <c r="RA66" s="39"/>
      <c r="RB66" s="39"/>
      <c r="RC66" s="39"/>
      <c r="RD66" s="39"/>
      <c r="RE66" s="39"/>
      <c r="RF66" s="39"/>
      <c r="RG66" s="39"/>
      <c r="RH66" s="39"/>
      <c r="RI66" s="39"/>
      <c r="RJ66" s="39"/>
      <c r="RK66" s="39"/>
      <c r="RL66" s="39"/>
      <c r="RM66" s="39"/>
      <c r="RN66" s="39"/>
      <c r="RO66" s="39"/>
      <c r="RP66" s="39"/>
      <c r="RQ66" s="39"/>
      <c r="RR66" s="39"/>
      <c r="RS66" s="39"/>
      <c r="RT66" s="39"/>
      <c r="RU66" s="39"/>
      <c r="RV66" s="39"/>
      <c r="RW66" s="39"/>
      <c r="RX66" s="39"/>
      <c r="RY66" s="39"/>
      <c r="RZ66" s="39"/>
      <c r="SA66" s="39"/>
      <c r="SB66" s="39"/>
      <c r="SC66" s="39"/>
      <c r="SD66" s="39"/>
      <c r="SE66" s="39"/>
      <c r="SF66" s="39"/>
      <c r="SG66" s="39"/>
      <c r="SH66" s="39"/>
      <c r="SI66" s="39"/>
      <c r="SJ66" s="39"/>
      <c r="SK66" s="39"/>
      <c r="SL66" s="39"/>
      <c r="SM66" s="39"/>
      <c r="SN66" s="39"/>
      <c r="SO66" s="39"/>
      <c r="SP66" s="39"/>
      <c r="SQ66" s="39"/>
      <c r="SR66" s="39"/>
      <c r="SS66" s="39"/>
      <c r="ST66" s="39"/>
      <c r="SU66" s="39"/>
      <c r="SV66" s="39"/>
      <c r="SW66" s="39"/>
      <c r="SX66" s="39"/>
      <c r="SY66" s="39"/>
      <c r="SZ66" s="39"/>
      <c r="TA66" s="39"/>
      <c r="TB66" s="39"/>
      <c r="TC66" s="39"/>
      <c r="TD66" s="39"/>
      <c r="TE66" s="39"/>
      <c r="TF66" s="39"/>
      <c r="TG66" s="39"/>
      <c r="TH66" s="39"/>
      <c r="TI66" s="39"/>
    </row>
    <row r="67" spans="1:529" s="23" customFormat="1" ht="46.5" customHeight="1" x14ac:dyDescent="0.25">
      <c r="A67" s="43" t="s">
        <v>178</v>
      </c>
      <c r="B67" s="44" t="str">
        <f>'дод 4'!A20</f>
        <v>0160</v>
      </c>
      <c r="C67" s="44" t="str">
        <f>'дод 4'!B20</f>
        <v>0111</v>
      </c>
      <c r="D67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67" s="66">
        <f t="shared" ref="E67:E102" si="26">F67+I67</f>
        <v>3591940</v>
      </c>
      <c r="F67" s="66">
        <f>3470000+3900-161800+242800-7000+11040+33000</f>
        <v>3591940</v>
      </c>
      <c r="G67" s="66">
        <f>2711100-132600-5700</f>
        <v>2572800</v>
      </c>
      <c r="H67" s="66">
        <v>48700</v>
      </c>
      <c r="I67" s="66"/>
      <c r="J67" s="66">
        <f>L67+O67</f>
        <v>0</v>
      </c>
      <c r="K67" s="66"/>
      <c r="L67" s="66"/>
      <c r="M67" s="66"/>
      <c r="N67" s="66"/>
      <c r="O67" s="66"/>
      <c r="P67" s="66">
        <f t="shared" ref="P67:P102" si="27">E67+J67</f>
        <v>3591940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</row>
    <row r="68" spans="1:529" s="23" customFormat="1" ht="21.75" customHeight="1" x14ac:dyDescent="0.25">
      <c r="A68" s="43" t="s">
        <v>179</v>
      </c>
      <c r="B68" s="44" t="str">
        <f>'дод 4'!A30</f>
        <v>1010</v>
      </c>
      <c r="C68" s="44" t="str">
        <f>'дод 4'!B30</f>
        <v>0910</v>
      </c>
      <c r="D68" s="24" t="s">
        <v>470</v>
      </c>
      <c r="E68" s="66">
        <f t="shared" si="26"/>
        <v>237740548</v>
      </c>
      <c r="F68" s="66">
        <f>244339090+176336+1322957+112300-3000000-13457+307406+40000-2221900-3389500-44684+112000</f>
        <v>237740548</v>
      </c>
      <c r="G68" s="66">
        <f>159350000+144540-11030</f>
        <v>159483510</v>
      </c>
      <c r="H68" s="66">
        <f>26923940-3389500-44684</f>
        <v>23489756</v>
      </c>
      <c r="I68" s="66"/>
      <c r="J68" s="66">
        <f>L68+O68</f>
        <v>17977603</v>
      </c>
      <c r="K68" s="66">
        <f>4200000+500000+88136+760000+703043+347304-7536-5089000+150000</f>
        <v>1651947</v>
      </c>
      <c r="L68" s="66">
        <v>16325656</v>
      </c>
      <c r="M68" s="66"/>
      <c r="N68" s="66"/>
      <c r="O68" s="66">
        <f>4200000+500000+88136+760000+703043+347304-7536-5089000+150000</f>
        <v>1651947</v>
      </c>
      <c r="P68" s="66">
        <f t="shared" si="27"/>
        <v>255718151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</row>
    <row r="69" spans="1:529" s="27" customFormat="1" ht="51" customHeight="1" x14ac:dyDescent="0.25">
      <c r="A69" s="145"/>
      <c r="B69" s="146"/>
      <c r="C69" s="146"/>
      <c r="D69" s="143" t="s">
        <v>447</v>
      </c>
      <c r="E69" s="144">
        <f t="shared" si="26"/>
        <v>162879</v>
      </c>
      <c r="F69" s="144">
        <v>162879</v>
      </c>
      <c r="G69" s="144">
        <v>133510</v>
      </c>
      <c r="H69" s="144"/>
      <c r="I69" s="144"/>
      <c r="J69" s="144">
        <f>L69+O69</f>
        <v>80600</v>
      </c>
      <c r="K69" s="144">
        <v>80600</v>
      </c>
      <c r="L69" s="144"/>
      <c r="M69" s="144"/>
      <c r="N69" s="144"/>
      <c r="O69" s="144">
        <v>80600</v>
      </c>
      <c r="P69" s="144">
        <f t="shared" si="27"/>
        <v>243479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  <c r="IW69" s="36"/>
      <c r="IX69" s="36"/>
      <c r="IY69" s="36"/>
      <c r="IZ69" s="36"/>
      <c r="JA69" s="36"/>
      <c r="JB69" s="36"/>
      <c r="JC69" s="36"/>
      <c r="JD69" s="36"/>
      <c r="JE69" s="36"/>
      <c r="JF69" s="36"/>
      <c r="JG69" s="36"/>
      <c r="JH69" s="36"/>
      <c r="JI69" s="36"/>
      <c r="JJ69" s="36"/>
      <c r="JK69" s="36"/>
      <c r="JL69" s="36"/>
      <c r="JM69" s="36"/>
      <c r="JN69" s="36"/>
      <c r="JO69" s="36"/>
      <c r="JP69" s="36"/>
      <c r="JQ69" s="36"/>
      <c r="JR69" s="36"/>
      <c r="JS69" s="36"/>
      <c r="JT69" s="36"/>
      <c r="JU69" s="36"/>
      <c r="JV69" s="36"/>
      <c r="JW69" s="36"/>
      <c r="JX69" s="36"/>
      <c r="JY69" s="36"/>
      <c r="JZ69" s="36"/>
      <c r="KA69" s="36"/>
      <c r="KB69" s="36"/>
      <c r="KC69" s="36"/>
      <c r="KD69" s="36"/>
      <c r="KE69" s="36"/>
      <c r="KF69" s="36"/>
      <c r="KG69" s="36"/>
      <c r="KH69" s="36"/>
      <c r="KI69" s="36"/>
      <c r="KJ69" s="36"/>
      <c r="KK69" s="36"/>
      <c r="KL69" s="36"/>
      <c r="KM69" s="36"/>
      <c r="KN69" s="36"/>
      <c r="KO69" s="36"/>
      <c r="KP69" s="36"/>
      <c r="KQ69" s="36"/>
      <c r="KR69" s="36"/>
      <c r="KS69" s="36"/>
      <c r="KT69" s="36"/>
      <c r="KU69" s="36"/>
      <c r="KV69" s="36"/>
      <c r="KW69" s="36"/>
      <c r="KX69" s="36"/>
      <c r="KY69" s="36"/>
      <c r="KZ69" s="36"/>
      <c r="LA69" s="36"/>
      <c r="LB69" s="36"/>
      <c r="LC69" s="36"/>
      <c r="LD69" s="36"/>
      <c r="LE69" s="36"/>
      <c r="LF69" s="36"/>
      <c r="LG69" s="36"/>
      <c r="LH69" s="36"/>
      <c r="LI69" s="36"/>
      <c r="LJ69" s="36"/>
      <c r="LK69" s="36"/>
      <c r="LL69" s="36"/>
      <c r="LM69" s="36"/>
      <c r="LN69" s="36"/>
      <c r="LO69" s="36"/>
      <c r="LP69" s="36"/>
      <c r="LQ69" s="36"/>
      <c r="LR69" s="36"/>
      <c r="LS69" s="36"/>
      <c r="LT69" s="36"/>
      <c r="LU69" s="36"/>
      <c r="LV69" s="36"/>
      <c r="LW69" s="36"/>
      <c r="LX69" s="36"/>
      <c r="LY69" s="36"/>
      <c r="LZ69" s="36"/>
      <c r="MA69" s="36"/>
      <c r="MB69" s="36"/>
      <c r="MC69" s="36"/>
      <c r="MD69" s="36"/>
      <c r="ME69" s="36"/>
      <c r="MF69" s="36"/>
      <c r="MG69" s="36"/>
      <c r="MH69" s="36"/>
      <c r="MI69" s="36"/>
      <c r="MJ69" s="36"/>
      <c r="MK69" s="36"/>
      <c r="ML69" s="36"/>
      <c r="MM69" s="36"/>
      <c r="MN69" s="36"/>
      <c r="MO69" s="36"/>
      <c r="MP69" s="36"/>
      <c r="MQ69" s="36"/>
      <c r="MR69" s="36"/>
      <c r="MS69" s="36"/>
      <c r="MT69" s="36"/>
      <c r="MU69" s="36"/>
      <c r="MV69" s="36"/>
      <c r="MW69" s="36"/>
      <c r="MX69" s="36"/>
      <c r="MY69" s="36"/>
      <c r="MZ69" s="36"/>
      <c r="NA69" s="36"/>
      <c r="NB69" s="36"/>
      <c r="NC69" s="36"/>
      <c r="ND69" s="36"/>
      <c r="NE69" s="36"/>
      <c r="NF69" s="36"/>
      <c r="NG69" s="36"/>
      <c r="NH69" s="36"/>
      <c r="NI69" s="36"/>
      <c r="NJ69" s="36"/>
      <c r="NK69" s="36"/>
      <c r="NL69" s="36"/>
      <c r="NM69" s="36"/>
      <c r="NN69" s="36"/>
      <c r="NO69" s="36"/>
      <c r="NP69" s="36"/>
      <c r="NQ69" s="36"/>
      <c r="NR69" s="36"/>
      <c r="NS69" s="36"/>
      <c r="NT69" s="36"/>
      <c r="NU69" s="36"/>
      <c r="NV69" s="36"/>
      <c r="NW69" s="36"/>
      <c r="NX69" s="36"/>
      <c r="NY69" s="36"/>
      <c r="NZ69" s="36"/>
      <c r="OA69" s="36"/>
      <c r="OB69" s="36"/>
      <c r="OC69" s="36"/>
      <c r="OD69" s="36"/>
      <c r="OE69" s="36"/>
      <c r="OF69" s="36"/>
      <c r="OG69" s="36"/>
      <c r="OH69" s="36"/>
      <c r="OI69" s="36"/>
      <c r="OJ69" s="36"/>
      <c r="OK69" s="36"/>
      <c r="OL69" s="36"/>
      <c r="OM69" s="36"/>
      <c r="ON69" s="36"/>
      <c r="OO69" s="36"/>
      <c r="OP69" s="36"/>
      <c r="OQ69" s="36"/>
      <c r="OR69" s="36"/>
      <c r="OS69" s="36"/>
      <c r="OT69" s="36"/>
      <c r="OU69" s="36"/>
      <c r="OV69" s="36"/>
      <c r="OW69" s="36"/>
      <c r="OX69" s="36"/>
      <c r="OY69" s="36"/>
      <c r="OZ69" s="36"/>
      <c r="PA69" s="36"/>
      <c r="PB69" s="36"/>
      <c r="PC69" s="36"/>
      <c r="PD69" s="36"/>
      <c r="PE69" s="36"/>
      <c r="PF69" s="36"/>
      <c r="PG69" s="36"/>
      <c r="PH69" s="36"/>
      <c r="PI69" s="36"/>
      <c r="PJ69" s="36"/>
      <c r="PK69" s="36"/>
      <c r="PL69" s="36"/>
      <c r="PM69" s="36"/>
      <c r="PN69" s="36"/>
      <c r="PO69" s="36"/>
      <c r="PP69" s="36"/>
      <c r="PQ69" s="36"/>
      <c r="PR69" s="36"/>
      <c r="PS69" s="36"/>
      <c r="PT69" s="36"/>
      <c r="PU69" s="36"/>
      <c r="PV69" s="36"/>
      <c r="PW69" s="36"/>
      <c r="PX69" s="36"/>
      <c r="PY69" s="36"/>
      <c r="PZ69" s="36"/>
      <c r="QA69" s="36"/>
      <c r="QB69" s="36"/>
      <c r="QC69" s="36"/>
      <c r="QD69" s="36"/>
      <c r="QE69" s="36"/>
      <c r="QF69" s="36"/>
      <c r="QG69" s="36"/>
      <c r="QH69" s="36"/>
      <c r="QI69" s="36"/>
      <c r="QJ69" s="36"/>
      <c r="QK69" s="36"/>
      <c r="QL69" s="36"/>
      <c r="QM69" s="36"/>
      <c r="QN69" s="36"/>
      <c r="QO69" s="36"/>
      <c r="QP69" s="36"/>
      <c r="QQ69" s="36"/>
      <c r="QR69" s="36"/>
      <c r="QS69" s="36"/>
      <c r="QT69" s="36"/>
      <c r="QU69" s="36"/>
      <c r="QV69" s="36"/>
      <c r="QW69" s="36"/>
      <c r="QX69" s="36"/>
      <c r="QY69" s="36"/>
      <c r="QZ69" s="36"/>
      <c r="RA69" s="36"/>
      <c r="RB69" s="36"/>
      <c r="RC69" s="36"/>
      <c r="RD69" s="36"/>
      <c r="RE69" s="36"/>
      <c r="RF69" s="36"/>
      <c r="RG69" s="36"/>
      <c r="RH69" s="36"/>
      <c r="RI69" s="36"/>
      <c r="RJ69" s="36"/>
      <c r="RK69" s="36"/>
      <c r="RL69" s="36"/>
      <c r="RM69" s="36"/>
      <c r="RN69" s="36"/>
      <c r="RO69" s="36"/>
      <c r="RP69" s="36"/>
      <c r="RQ69" s="36"/>
      <c r="RR69" s="36"/>
      <c r="RS69" s="36"/>
      <c r="RT69" s="36"/>
      <c r="RU69" s="36"/>
      <c r="RV69" s="36"/>
      <c r="RW69" s="36"/>
      <c r="RX69" s="36"/>
      <c r="RY69" s="36"/>
      <c r="RZ69" s="36"/>
      <c r="SA69" s="36"/>
      <c r="SB69" s="36"/>
      <c r="SC69" s="36"/>
      <c r="SD69" s="36"/>
      <c r="SE69" s="36"/>
      <c r="SF69" s="36"/>
      <c r="SG69" s="36"/>
      <c r="SH69" s="36"/>
      <c r="SI69" s="36"/>
      <c r="SJ69" s="36"/>
      <c r="SK69" s="36"/>
      <c r="SL69" s="36"/>
      <c r="SM69" s="36"/>
      <c r="SN69" s="36"/>
      <c r="SO69" s="36"/>
      <c r="SP69" s="36"/>
      <c r="SQ69" s="36"/>
      <c r="SR69" s="36"/>
      <c r="SS69" s="36"/>
      <c r="ST69" s="36"/>
      <c r="SU69" s="36"/>
      <c r="SV69" s="36"/>
      <c r="SW69" s="36"/>
      <c r="SX69" s="36"/>
      <c r="SY69" s="36"/>
      <c r="SZ69" s="36"/>
      <c r="TA69" s="36"/>
      <c r="TB69" s="36"/>
      <c r="TC69" s="36"/>
      <c r="TD69" s="36"/>
      <c r="TE69" s="36"/>
      <c r="TF69" s="36"/>
      <c r="TG69" s="36"/>
      <c r="TH69" s="36"/>
      <c r="TI69" s="36"/>
    </row>
    <row r="70" spans="1:529" s="23" customFormat="1" ht="54" customHeight="1" x14ac:dyDescent="0.25">
      <c r="A70" s="43" t="s">
        <v>180</v>
      </c>
      <c r="B70" s="44" t="str">
        <f>'дод 4'!A32</f>
        <v>1020</v>
      </c>
      <c r="C70" s="44" t="str">
        <f>'дод 4'!B32</f>
        <v>0921</v>
      </c>
      <c r="D70" s="24" t="str">
        <f>'дод 4'!C32</f>
        <v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v>
      </c>
      <c r="E70" s="66">
        <f t="shared" si="26"/>
        <v>536907334</v>
      </c>
      <c r="F70" s="66">
        <f>536744807+70000-3078+30000-145366+60000-10090+161061</f>
        <v>536907334</v>
      </c>
      <c r="G70" s="66">
        <v>378056547</v>
      </c>
      <c r="H70" s="66">
        <v>35373779</v>
      </c>
      <c r="I70" s="66"/>
      <c r="J70" s="66">
        <f t="shared" ref="J70:J102" si="28">L70+O70</f>
        <v>34565974.640000001</v>
      </c>
      <c r="K70" s="66">
        <f>5544914.64+10090+85223+14000</f>
        <v>5654227.6399999997</v>
      </c>
      <c r="L70" s="66">
        <v>28911747</v>
      </c>
      <c r="M70" s="66">
        <v>1713303</v>
      </c>
      <c r="N70" s="66">
        <v>147329</v>
      </c>
      <c r="O70" s="66">
        <f>5544914.64+10090+85223+14000</f>
        <v>5654227.6399999997</v>
      </c>
      <c r="P70" s="66">
        <f t="shared" si="27"/>
        <v>571473308.63999999</v>
      </c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  <c r="KP70" s="26"/>
      <c r="KQ70" s="26"/>
      <c r="KR70" s="26"/>
      <c r="KS70" s="26"/>
      <c r="KT70" s="26"/>
      <c r="KU70" s="26"/>
      <c r="KV70" s="26"/>
      <c r="KW70" s="26"/>
      <c r="KX70" s="26"/>
      <c r="KY70" s="26"/>
      <c r="KZ70" s="26"/>
      <c r="LA70" s="26"/>
      <c r="LB70" s="26"/>
      <c r="LC70" s="26"/>
      <c r="LD70" s="26"/>
      <c r="LE70" s="26"/>
      <c r="LF70" s="26"/>
      <c r="LG70" s="26"/>
      <c r="LH70" s="26"/>
      <c r="LI70" s="26"/>
      <c r="LJ70" s="26"/>
      <c r="LK70" s="26"/>
      <c r="LL70" s="26"/>
      <c r="LM70" s="26"/>
      <c r="LN70" s="26"/>
      <c r="LO70" s="26"/>
      <c r="LP70" s="26"/>
      <c r="LQ70" s="26"/>
      <c r="LR70" s="26"/>
      <c r="LS70" s="26"/>
      <c r="LT70" s="26"/>
      <c r="LU70" s="26"/>
      <c r="LV70" s="26"/>
      <c r="LW70" s="26"/>
      <c r="LX70" s="26"/>
      <c r="LY70" s="26"/>
      <c r="LZ70" s="26"/>
      <c r="MA70" s="26"/>
      <c r="MB70" s="26"/>
      <c r="MC70" s="26"/>
      <c r="MD70" s="26"/>
      <c r="ME70" s="26"/>
      <c r="MF70" s="26"/>
      <c r="MG70" s="26"/>
      <c r="MH70" s="26"/>
      <c r="MI70" s="26"/>
      <c r="MJ70" s="26"/>
      <c r="MK70" s="26"/>
      <c r="ML70" s="26"/>
      <c r="MM70" s="26"/>
      <c r="MN70" s="26"/>
      <c r="MO70" s="26"/>
      <c r="MP70" s="26"/>
      <c r="MQ70" s="26"/>
      <c r="MR70" s="26"/>
      <c r="MS70" s="26"/>
      <c r="MT70" s="26"/>
      <c r="MU70" s="26"/>
      <c r="MV70" s="26"/>
      <c r="MW70" s="26"/>
      <c r="MX70" s="26"/>
      <c r="MY70" s="26"/>
      <c r="MZ70" s="26"/>
      <c r="NA70" s="26"/>
      <c r="NB70" s="26"/>
      <c r="NC70" s="26"/>
      <c r="ND70" s="26"/>
      <c r="NE70" s="26"/>
      <c r="NF70" s="26"/>
      <c r="NG70" s="26"/>
      <c r="NH70" s="26"/>
      <c r="NI70" s="26"/>
      <c r="NJ70" s="26"/>
      <c r="NK70" s="26"/>
      <c r="NL70" s="26"/>
      <c r="NM70" s="26"/>
      <c r="NN70" s="26"/>
      <c r="NO70" s="26"/>
      <c r="NP70" s="26"/>
      <c r="NQ70" s="26"/>
      <c r="NR70" s="26"/>
      <c r="NS70" s="26"/>
      <c r="NT70" s="26"/>
      <c r="NU70" s="26"/>
      <c r="NV70" s="26"/>
      <c r="NW70" s="26"/>
      <c r="NX70" s="26"/>
      <c r="NY70" s="26"/>
      <c r="NZ70" s="26"/>
      <c r="OA70" s="26"/>
      <c r="OB70" s="26"/>
      <c r="OC70" s="26"/>
      <c r="OD70" s="26"/>
      <c r="OE70" s="26"/>
      <c r="OF70" s="26"/>
      <c r="OG70" s="26"/>
      <c r="OH70" s="26"/>
      <c r="OI70" s="26"/>
      <c r="OJ70" s="26"/>
      <c r="OK70" s="26"/>
      <c r="OL70" s="26"/>
      <c r="OM70" s="26"/>
      <c r="ON70" s="26"/>
      <c r="OO70" s="26"/>
      <c r="OP70" s="26"/>
      <c r="OQ70" s="26"/>
      <c r="OR70" s="26"/>
      <c r="OS70" s="26"/>
      <c r="OT70" s="26"/>
      <c r="OU70" s="26"/>
      <c r="OV70" s="26"/>
      <c r="OW70" s="26"/>
      <c r="OX70" s="26"/>
      <c r="OY70" s="26"/>
      <c r="OZ70" s="26"/>
      <c r="PA70" s="26"/>
      <c r="PB70" s="26"/>
      <c r="PC70" s="26"/>
      <c r="PD70" s="26"/>
      <c r="PE70" s="26"/>
      <c r="PF70" s="26"/>
      <c r="PG70" s="26"/>
      <c r="PH70" s="26"/>
      <c r="PI70" s="26"/>
      <c r="PJ70" s="26"/>
      <c r="PK70" s="26"/>
      <c r="PL70" s="26"/>
      <c r="PM70" s="26"/>
      <c r="PN70" s="26"/>
      <c r="PO70" s="26"/>
      <c r="PP70" s="26"/>
      <c r="PQ70" s="26"/>
      <c r="PR70" s="26"/>
      <c r="PS70" s="26"/>
      <c r="PT70" s="26"/>
      <c r="PU70" s="26"/>
      <c r="PV70" s="26"/>
      <c r="PW70" s="26"/>
      <c r="PX70" s="26"/>
      <c r="PY70" s="26"/>
      <c r="PZ70" s="26"/>
      <c r="QA70" s="26"/>
      <c r="QB70" s="26"/>
      <c r="QC70" s="26"/>
      <c r="QD70" s="26"/>
      <c r="QE70" s="26"/>
      <c r="QF70" s="26"/>
      <c r="QG70" s="26"/>
      <c r="QH70" s="26"/>
      <c r="QI70" s="26"/>
      <c r="QJ70" s="26"/>
      <c r="QK70" s="26"/>
      <c r="QL70" s="26"/>
      <c r="QM70" s="26"/>
      <c r="QN70" s="26"/>
      <c r="QO70" s="26"/>
      <c r="QP70" s="26"/>
      <c r="QQ70" s="26"/>
      <c r="QR70" s="26"/>
      <c r="QS70" s="26"/>
      <c r="QT70" s="26"/>
      <c r="QU70" s="26"/>
      <c r="QV70" s="26"/>
      <c r="QW70" s="26"/>
      <c r="QX70" s="26"/>
      <c r="QY70" s="26"/>
      <c r="QZ70" s="26"/>
      <c r="RA70" s="26"/>
      <c r="RB70" s="26"/>
      <c r="RC70" s="26"/>
      <c r="RD70" s="26"/>
      <c r="RE70" s="26"/>
      <c r="RF70" s="26"/>
      <c r="RG70" s="26"/>
      <c r="RH70" s="26"/>
      <c r="RI70" s="26"/>
      <c r="RJ70" s="26"/>
      <c r="RK70" s="26"/>
      <c r="RL70" s="26"/>
      <c r="RM70" s="26"/>
      <c r="RN70" s="26"/>
      <c r="RO70" s="26"/>
      <c r="RP70" s="26"/>
      <c r="RQ70" s="26"/>
      <c r="RR70" s="26"/>
      <c r="RS70" s="26"/>
      <c r="RT70" s="26"/>
      <c r="RU70" s="26"/>
      <c r="RV70" s="26"/>
      <c r="RW70" s="26"/>
      <c r="RX70" s="26"/>
      <c r="RY70" s="26"/>
      <c r="RZ70" s="26"/>
      <c r="SA70" s="26"/>
      <c r="SB70" s="26"/>
      <c r="SC70" s="26"/>
      <c r="SD70" s="26"/>
      <c r="SE70" s="26"/>
      <c r="SF70" s="26"/>
      <c r="SG70" s="26"/>
      <c r="SH70" s="26"/>
      <c r="SI70" s="26"/>
      <c r="SJ70" s="26"/>
      <c r="SK70" s="26"/>
      <c r="SL70" s="26"/>
      <c r="SM70" s="26"/>
      <c r="SN70" s="26"/>
      <c r="SO70" s="26"/>
      <c r="SP70" s="26"/>
      <c r="SQ70" s="26"/>
      <c r="SR70" s="26"/>
      <c r="SS70" s="26"/>
      <c r="ST70" s="26"/>
      <c r="SU70" s="26"/>
      <c r="SV70" s="26"/>
      <c r="SW70" s="26"/>
      <c r="SX70" s="26"/>
      <c r="SY70" s="26"/>
      <c r="SZ70" s="26"/>
      <c r="TA70" s="26"/>
      <c r="TB70" s="26"/>
      <c r="TC70" s="26"/>
      <c r="TD70" s="26"/>
      <c r="TE70" s="26"/>
      <c r="TF70" s="26"/>
      <c r="TG70" s="26"/>
      <c r="TH70" s="26"/>
      <c r="TI70" s="26"/>
    </row>
    <row r="71" spans="1:529" s="27" customFormat="1" ht="69" customHeight="1" x14ac:dyDescent="0.25">
      <c r="A71" s="145"/>
      <c r="B71" s="146"/>
      <c r="C71" s="146"/>
      <c r="D71" s="143" t="s">
        <v>451</v>
      </c>
      <c r="E71" s="144">
        <f t="shared" ref="E71:E74" si="29">F71+I71</f>
        <v>2739700</v>
      </c>
      <c r="F71" s="144">
        <v>2739700</v>
      </c>
      <c r="G71" s="144">
        <v>2249257</v>
      </c>
      <c r="H71" s="144"/>
      <c r="I71" s="144"/>
      <c r="J71" s="144">
        <f t="shared" ref="J71:J74" si="30">L71+O71</f>
        <v>0</v>
      </c>
      <c r="K71" s="144"/>
      <c r="L71" s="144"/>
      <c r="M71" s="144"/>
      <c r="N71" s="144"/>
      <c r="O71" s="144"/>
      <c r="P71" s="144">
        <f t="shared" ref="P71:P74" si="31">E71+J71</f>
        <v>2739700</v>
      </c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  <c r="IW71" s="36"/>
      <c r="IX71" s="36"/>
      <c r="IY71" s="36"/>
      <c r="IZ71" s="36"/>
      <c r="JA71" s="36"/>
      <c r="JB71" s="36"/>
      <c r="JC71" s="36"/>
      <c r="JD71" s="36"/>
      <c r="JE71" s="36"/>
      <c r="JF71" s="36"/>
      <c r="JG71" s="36"/>
      <c r="JH71" s="36"/>
      <c r="JI71" s="36"/>
      <c r="JJ71" s="36"/>
      <c r="JK71" s="36"/>
      <c r="JL71" s="36"/>
      <c r="JM71" s="36"/>
      <c r="JN71" s="36"/>
      <c r="JO71" s="36"/>
      <c r="JP71" s="36"/>
      <c r="JQ71" s="36"/>
      <c r="JR71" s="36"/>
      <c r="JS71" s="36"/>
      <c r="JT71" s="36"/>
      <c r="JU71" s="36"/>
      <c r="JV71" s="36"/>
      <c r="JW71" s="36"/>
      <c r="JX71" s="36"/>
      <c r="JY71" s="36"/>
      <c r="JZ71" s="36"/>
      <c r="KA71" s="36"/>
      <c r="KB71" s="36"/>
      <c r="KC71" s="36"/>
      <c r="KD71" s="36"/>
      <c r="KE71" s="36"/>
      <c r="KF71" s="36"/>
      <c r="KG71" s="36"/>
      <c r="KH71" s="36"/>
      <c r="KI71" s="36"/>
      <c r="KJ71" s="36"/>
      <c r="KK71" s="36"/>
      <c r="KL71" s="36"/>
      <c r="KM71" s="36"/>
      <c r="KN71" s="36"/>
      <c r="KO71" s="36"/>
      <c r="KP71" s="36"/>
      <c r="KQ71" s="36"/>
      <c r="KR71" s="36"/>
      <c r="KS71" s="36"/>
      <c r="KT71" s="36"/>
      <c r="KU71" s="36"/>
      <c r="KV71" s="36"/>
      <c r="KW71" s="36"/>
      <c r="KX71" s="36"/>
      <c r="KY71" s="36"/>
      <c r="KZ71" s="36"/>
      <c r="LA71" s="36"/>
      <c r="LB71" s="36"/>
      <c r="LC71" s="36"/>
      <c r="LD71" s="36"/>
      <c r="LE71" s="36"/>
      <c r="LF71" s="36"/>
      <c r="LG71" s="36"/>
      <c r="LH71" s="36"/>
      <c r="LI71" s="36"/>
      <c r="LJ71" s="36"/>
      <c r="LK71" s="36"/>
      <c r="LL71" s="36"/>
      <c r="LM71" s="36"/>
      <c r="LN71" s="36"/>
      <c r="LO71" s="36"/>
      <c r="LP71" s="36"/>
      <c r="LQ71" s="36"/>
      <c r="LR71" s="36"/>
      <c r="LS71" s="36"/>
      <c r="LT71" s="36"/>
      <c r="LU71" s="36"/>
      <c r="LV71" s="36"/>
      <c r="LW71" s="36"/>
      <c r="LX71" s="36"/>
      <c r="LY71" s="36"/>
      <c r="LZ71" s="36"/>
      <c r="MA71" s="36"/>
      <c r="MB71" s="36"/>
      <c r="MC71" s="36"/>
      <c r="MD71" s="36"/>
      <c r="ME71" s="36"/>
      <c r="MF71" s="36"/>
      <c r="MG71" s="36"/>
      <c r="MH71" s="36"/>
      <c r="MI71" s="36"/>
      <c r="MJ71" s="36"/>
      <c r="MK71" s="36"/>
      <c r="ML71" s="36"/>
      <c r="MM71" s="36"/>
      <c r="MN71" s="36"/>
      <c r="MO71" s="36"/>
      <c r="MP71" s="36"/>
      <c r="MQ71" s="36"/>
      <c r="MR71" s="36"/>
      <c r="MS71" s="36"/>
      <c r="MT71" s="36"/>
      <c r="MU71" s="36"/>
      <c r="MV71" s="36"/>
      <c r="MW71" s="36"/>
      <c r="MX71" s="36"/>
      <c r="MY71" s="36"/>
      <c r="MZ71" s="36"/>
      <c r="NA71" s="36"/>
      <c r="NB71" s="36"/>
      <c r="NC71" s="36"/>
      <c r="ND71" s="36"/>
      <c r="NE71" s="36"/>
      <c r="NF71" s="36"/>
      <c r="NG71" s="36"/>
      <c r="NH71" s="36"/>
      <c r="NI71" s="36"/>
      <c r="NJ71" s="36"/>
      <c r="NK71" s="36"/>
      <c r="NL71" s="36"/>
      <c r="NM71" s="36"/>
      <c r="NN71" s="36"/>
      <c r="NO71" s="36"/>
      <c r="NP71" s="36"/>
      <c r="NQ71" s="36"/>
      <c r="NR71" s="36"/>
      <c r="NS71" s="36"/>
      <c r="NT71" s="36"/>
      <c r="NU71" s="36"/>
      <c r="NV71" s="36"/>
      <c r="NW71" s="36"/>
      <c r="NX71" s="36"/>
      <c r="NY71" s="36"/>
      <c r="NZ71" s="36"/>
      <c r="OA71" s="36"/>
      <c r="OB71" s="36"/>
      <c r="OC71" s="36"/>
      <c r="OD71" s="36"/>
      <c r="OE71" s="36"/>
      <c r="OF71" s="36"/>
      <c r="OG71" s="36"/>
      <c r="OH71" s="36"/>
      <c r="OI71" s="36"/>
      <c r="OJ71" s="36"/>
      <c r="OK71" s="36"/>
      <c r="OL71" s="36"/>
      <c r="OM71" s="36"/>
      <c r="ON71" s="36"/>
      <c r="OO71" s="36"/>
      <c r="OP71" s="36"/>
      <c r="OQ71" s="36"/>
      <c r="OR71" s="36"/>
      <c r="OS71" s="36"/>
      <c r="OT71" s="36"/>
      <c r="OU71" s="36"/>
      <c r="OV71" s="36"/>
      <c r="OW71" s="36"/>
      <c r="OX71" s="36"/>
      <c r="OY71" s="36"/>
      <c r="OZ71" s="36"/>
      <c r="PA71" s="36"/>
      <c r="PB71" s="36"/>
      <c r="PC71" s="36"/>
      <c r="PD71" s="36"/>
      <c r="PE71" s="36"/>
      <c r="PF71" s="36"/>
      <c r="PG71" s="36"/>
      <c r="PH71" s="36"/>
      <c r="PI71" s="36"/>
      <c r="PJ71" s="36"/>
      <c r="PK71" s="36"/>
      <c r="PL71" s="36"/>
      <c r="PM71" s="36"/>
      <c r="PN71" s="36"/>
      <c r="PO71" s="36"/>
      <c r="PP71" s="36"/>
      <c r="PQ71" s="36"/>
      <c r="PR71" s="36"/>
      <c r="PS71" s="36"/>
      <c r="PT71" s="36"/>
      <c r="PU71" s="36"/>
      <c r="PV71" s="36"/>
      <c r="PW71" s="36"/>
      <c r="PX71" s="36"/>
      <c r="PY71" s="36"/>
      <c r="PZ71" s="36"/>
      <c r="QA71" s="36"/>
      <c r="QB71" s="36"/>
      <c r="QC71" s="36"/>
      <c r="QD71" s="36"/>
      <c r="QE71" s="36"/>
      <c r="QF71" s="36"/>
      <c r="QG71" s="36"/>
      <c r="QH71" s="36"/>
      <c r="QI71" s="36"/>
      <c r="QJ71" s="36"/>
      <c r="QK71" s="36"/>
      <c r="QL71" s="36"/>
      <c r="QM71" s="36"/>
      <c r="QN71" s="36"/>
      <c r="QO71" s="36"/>
      <c r="QP71" s="36"/>
      <c r="QQ71" s="36"/>
      <c r="QR71" s="36"/>
      <c r="QS71" s="36"/>
      <c r="QT71" s="36"/>
      <c r="QU71" s="36"/>
      <c r="QV71" s="36"/>
      <c r="QW71" s="36"/>
      <c r="QX71" s="36"/>
      <c r="QY71" s="36"/>
      <c r="QZ71" s="36"/>
      <c r="RA71" s="36"/>
      <c r="RB71" s="36"/>
      <c r="RC71" s="36"/>
      <c r="RD71" s="36"/>
      <c r="RE71" s="36"/>
      <c r="RF71" s="36"/>
      <c r="RG71" s="36"/>
      <c r="RH71" s="36"/>
      <c r="RI71" s="36"/>
      <c r="RJ71" s="36"/>
      <c r="RK71" s="36"/>
      <c r="RL71" s="36"/>
      <c r="RM71" s="36"/>
      <c r="RN71" s="36"/>
      <c r="RO71" s="36"/>
      <c r="RP71" s="36"/>
      <c r="RQ71" s="36"/>
      <c r="RR71" s="36"/>
      <c r="RS71" s="36"/>
      <c r="RT71" s="36"/>
      <c r="RU71" s="36"/>
      <c r="RV71" s="36"/>
      <c r="RW71" s="36"/>
      <c r="RX71" s="36"/>
      <c r="RY71" s="36"/>
      <c r="RZ71" s="36"/>
      <c r="SA71" s="36"/>
      <c r="SB71" s="36"/>
      <c r="SC71" s="36"/>
      <c r="SD71" s="36"/>
      <c r="SE71" s="36"/>
      <c r="SF71" s="36"/>
      <c r="SG71" s="36"/>
      <c r="SH71" s="36"/>
      <c r="SI71" s="36"/>
      <c r="SJ71" s="36"/>
      <c r="SK71" s="36"/>
      <c r="SL71" s="36"/>
      <c r="SM71" s="36"/>
      <c r="SN71" s="36"/>
      <c r="SO71" s="36"/>
      <c r="SP71" s="36"/>
      <c r="SQ71" s="36"/>
      <c r="SR71" s="36"/>
      <c r="SS71" s="36"/>
      <c r="ST71" s="36"/>
      <c r="SU71" s="36"/>
      <c r="SV71" s="36"/>
      <c r="SW71" s="36"/>
      <c r="SX71" s="36"/>
      <c r="SY71" s="36"/>
      <c r="SZ71" s="36"/>
      <c r="TA71" s="36"/>
      <c r="TB71" s="36"/>
      <c r="TC71" s="36"/>
      <c r="TD71" s="36"/>
      <c r="TE71" s="36"/>
      <c r="TF71" s="36"/>
      <c r="TG71" s="36"/>
      <c r="TH71" s="36"/>
      <c r="TI71" s="36"/>
    </row>
    <row r="72" spans="1:529" s="27" customFormat="1" ht="45" x14ac:dyDescent="0.25">
      <c r="A72" s="145"/>
      <c r="B72" s="146"/>
      <c r="C72" s="146"/>
      <c r="D72" s="143" t="s">
        <v>448</v>
      </c>
      <c r="E72" s="144">
        <f t="shared" si="29"/>
        <v>2067000</v>
      </c>
      <c r="F72" s="144">
        <v>2067000</v>
      </c>
      <c r="G72" s="144"/>
      <c r="H72" s="144"/>
      <c r="I72" s="144"/>
      <c r="J72" s="144">
        <f t="shared" si="30"/>
        <v>0</v>
      </c>
      <c r="K72" s="144"/>
      <c r="L72" s="144"/>
      <c r="M72" s="144"/>
      <c r="N72" s="144"/>
      <c r="O72" s="144"/>
      <c r="P72" s="144">
        <f t="shared" si="31"/>
        <v>2067000</v>
      </c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  <c r="IW72" s="36"/>
      <c r="IX72" s="36"/>
      <c r="IY72" s="36"/>
      <c r="IZ72" s="36"/>
      <c r="JA72" s="36"/>
      <c r="JB72" s="36"/>
      <c r="JC72" s="36"/>
      <c r="JD72" s="36"/>
      <c r="JE72" s="36"/>
      <c r="JF72" s="36"/>
      <c r="JG72" s="36"/>
      <c r="JH72" s="36"/>
      <c r="JI72" s="36"/>
      <c r="JJ72" s="36"/>
      <c r="JK72" s="36"/>
      <c r="JL72" s="36"/>
      <c r="JM72" s="36"/>
      <c r="JN72" s="36"/>
      <c r="JO72" s="36"/>
      <c r="JP72" s="36"/>
      <c r="JQ72" s="36"/>
      <c r="JR72" s="36"/>
      <c r="JS72" s="36"/>
      <c r="JT72" s="36"/>
      <c r="JU72" s="36"/>
      <c r="JV72" s="36"/>
      <c r="JW72" s="36"/>
      <c r="JX72" s="36"/>
      <c r="JY72" s="36"/>
      <c r="JZ72" s="36"/>
      <c r="KA72" s="36"/>
      <c r="KB72" s="36"/>
      <c r="KC72" s="36"/>
      <c r="KD72" s="36"/>
      <c r="KE72" s="36"/>
      <c r="KF72" s="36"/>
      <c r="KG72" s="36"/>
      <c r="KH72" s="36"/>
      <c r="KI72" s="36"/>
      <c r="KJ72" s="36"/>
      <c r="KK72" s="36"/>
      <c r="KL72" s="36"/>
      <c r="KM72" s="36"/>
      <c r="KN72" s="36"/>
      <c r="KO72" s="36"/>
      <c r="KP72" s="36"/>
      <c r="KQ72" s="36"/>
      <c r="KR72" s="36"/>
      <c r="KS72" s="36"/>
      <c r="KT72" s="36"/>
      <c r="KU72" s="36"/>
      <c r="KV72" s="36"/>
      <c r="KW72" s="36"/>
      <c r="KX72" s="36"/>
      <c r="KY72" s="36"/>
      <c r="KZ72" s="36"/>
      <c r="LA72" s="36"/>
      <c r="LB72" s="36"/>
      <c r="LC72" s="36"/>
      <c r="LD72" s="36"/>
      <c r="LE72" s="36"/>
      <c r="LF72" s="36"/>
      <c r="LG72" s="36"/>
      <c r="LH72" s="36"/>
      <c r="LI72" s="36"/>
      <c r="LJ72" s="36"/>
      <c r="LK72" s="36"/>
      <c r="LL72" s="36"/>
      <c r="LM72" s="36"/>
      <c r="LN72" s="36"/>
      <c r="LO72" s="36"/>
      <c r="LP72" s="36"/>
      <c r="LQ72" s="36"/>
      <c r="LR72" s="36"/>
      <c r="LS72" s="36"/>
      <c r="LT72" s="36"/>
      <c r="LU72" s="36"/>
      <c r="LV72" s="36"/>
      <c r="LW72" s="36"/>
      <c r="LX72" s="36"/>
      <c r="LY72" s="36"/>
      <c r="LZ72" s="36"/>
      <c r="MA72" s="36"/>
      <c r="MB72" s="36"/>
      <c r="MC72" s="36"/>
      <c r="MD72" s="36"/>
      <c r="ME72" s="36"/>
      <c r="MF72" s="36"/>
      <c r="MG72" s="36"/>
      <c r="MH72" s="36"/>
      <c r="MI72" s="36"/>
      <c r="MJ72" s="36"/>
      <c r="MK72" s="36"/>
      <c r="ML72" s="36"/>
      <c r="MM72" s="36"/>
      <c r="MN72" s="36"/>
      <c r="MO72" s="36"/>
      <c r="MP72" s="36"/>
      <c r="MQ72" s="36"/>
      <c r="MR72" s="36"/>
      <c r="MS72" s="36"/>
      <c r="MT72" s="36"/>
      <c r="MU72" s="36"/>
      <c r="MV72" s="36"/>
      <c r="MW72" s="36"/>
      <c r="MX72" s="36"/>
      <c r="MY72" s="36"/>
      <c r="MZ72" s="36"/>
      <c r="NA72" s="36"/>
      <c r="NB72" s="36"/>
      <c r="NC72" s="36"/>
      <c r="ND72" s="36"/>
      <c r="NE72" s="36"/>
      <c r="NF72" s="36"/>
      <c r="NG72" s="36"/>
      <c r="NH72" s="36"/>
      <c r="NI72" s="36"/>
      <c r="NJ72" s="36"/>
      <c r="NK72" s="36"/>
      <c r="NL72" s="36"/>
      <c r="NM72" s="36"/>
      <c r="NN72" s="36"/>
      <c r="NO72" s="36"/>
      <c r="NP72" s="36"/>
      <c r="NQ72" s="36"/>
      <c r="NR72" s="36"/>
      <c r="NS72" s="36"/>
      <c r="NT72" s="36"/>
      <c r="NU72" s="36"/>
      <c r="NV72" s="36"/>
      <c r="NW72" s="36"/>
      <c r="NX72" s="36"/>
      <c r="NY72" s="36"/>
      <c r="NZ72" s="36"/>
      <c r="OA72" s="36"/>
      <c r="OB72" s="36"/>
      <c r="OC72" s="36"/>
      <c r="OD72" s="36"/>
      <c r="OE72" s="36"/>
      <c r="OF72" s="36"/>
      <c r="OG72" s="36"/>
      <c r="OH72" s="36"/>
      <c r="OI72" s="36"/>
      <c r="OJ72" s="36"/>
      <c r="OK72" s="36"/>
      <c r="OL72" s="36"/>
      <c r="OM72" s="36"/>
      <c r="ON72" s="36"/>
      <c r="OO72" s="36"/>
      <c r="OP72" s="36"/>
      <c r="OQ72" s="36"/>
      <c r="OR72" s="36"/>
      <c r="OS72" s="36"/>
      <c r="OT72" s="36"/>
      <c r="OU72" s="36"/>
      <c r="OV72" s="36"/>
      <c r="OW72" s="36"/>
      <c r="OX72" s="36"/>
      <c r="OY72" s="36"/>
      <c r="OZ72" s="36"/>
      <c r="PA72" s="36"/>
      <c r="PB72" s="36"/>
      <c r="PC72" s="36"/>
      <c r="PD72" s="36"/>
      <c r="PE72" s="36"/>
      <c r="PF72" s="36"/>
      <c r="PG72" s="36"/>
      <c r="PH72" s="36"/>
      <c r="PI72" s="36"/>
      <c r="PJ72" s="36"/>
      <c r="PK72" s="36"/>
      <c r="PL72" s="36"/>
      <c r="PM72" s="36"/>
      <c r="PN72" s="36"/>
      <c r="PO72" s="36"/>
      <c r="PP72" s="36"/>
      <c r="PQ72" s="36"/>
      <c r="PR72" s="36"/>
      <c r="PS72" s="36"/>
      <c r="PT72" s="36"/>
      <c r="PU72" s="36"/>
      <c r="PV72" s="36"/>
      <c r="PW72" s="36"/>
      <c r="PX72" s="36"/>
      <c r="PY72" s="36"/>
      <c r="PZ72" s="36"/>
      <c r="QA72" s="36"/>
      <c r="QB72" s="36"/>
      <c r="QC72" s="36"/>
      <c r="QD72" s="36"/>
      <c r="QE72" s="36"/>
      <c r="QF72" s="36"/>
      <c r="QG72" s="36"/>
      <c r="QH72" s="36"/>
      <c r="QI72" s="36"/>
      <c r="QJ72" s="36"/>
      <c r="QK72" s="36"/>
      <c r="QL72" s="36"/>
      <c r="QM72" s="36"/>
      <c r="QN72" s="36"/>
      <c r="QO72" s="36"/>
      <c r="QP72" s="36"/>
      <c r="QQ72" s="36"/>
      <c r="QR72" s="36"/>
      <c r="QS72" s="36"/>
      <c r="QT72" s="36"/>
      <c r="QU72" s="36"/>
      <c r="QV72" s="36"/>
      <c r="QW72" s="36"/>
      <c r="QX72" s="36"/>
      <c r="QY72" s="36"/>
      <c r="QZ72" s="36"/>
      <c r="RA72" s="36"/>
      <c r="RB72" s="36"/>
      <c r="RC72" s="36"/>
      <c r="RD72" s="36"/>
      <c r="RE72" s="36"/>
      <c r="RF72" s="36"/>
      <c r="RG72" s="36"/>
      <c r="RH72" s="36"/>
      <c r="RI72" s="36"/>
      <c r="RJ72" s="36"/>
      <c r="RK72" s="36"/>
      <c r="RL72" s="36"/>
      <c r="RM72" s="36"/>
      <c r="RN72" s="36"/>
      <c r="RO72" s="36"/>
      <c r="RP72" s="36"/>
      <c r="RQ72" s="36"/>
      <c r="RR72" s="36"/>
      <c r="RS72" s="36"/>
      <c r="RT72" s="36"/>
      <c r="RU72" s="36"/>
      <c r="RV72" s="36"/>
      <c r="RW72" s="36"/>
      <c r="RX72" s="36"/>
      <c r="RY72" s="36"/>
      <c r="RZ72" s="36"/>
      <c r="SA72" s="36"/>
      <c r="SB72" s="36"/>
      <c r="SC72" s="36"/>
      <c r="SD72" s="36"/>
      <c r="SE72" s="36"/>
      <c r="SF72" s="36"/>
      <c r="SG72" s="36"/>
      <c r="SH72" s="36"/>
      <c r="SI72" s="36"/>
      <c r="SJ72" s="36"/>
      <c r="SK72" s="36"/>
      <c r="SL72" s="36"/>
      <c r="SM72" s="36"/>
      <c r="SN72" s="36"/>
      <c r="SO72" s="36"/>
      <c r="SP72" s="36"/>
      <c r="SQ72" s="36"/>
      <c r="SR72" s="36"/>
      <c r="SS72" s="36"/>
      <c r="ST72" s="36"/>
      <c r="SU72" s="36"/>
      <c r="SV72" s="36"/>
      <c r="SW72" s="36"/>
      <c r="SX72" s="36"/>
      <c r="SY72" s="36"/>
      <c r="SZ72" s="36"/>
      <c r="TA72" s="36"/>
      <c r="TB72" s="36"/>
      <c r="TC72" s="36"/>
      <c r="TD72" s="36"/>
      <c r="TE72" s="36"/>
      <c r="TF72" s="36"/>
      <c r="TG72" s="36"/>
      <c r="TH72" s="36"/>
      <c r="TI72" s="36"/>
    </row>
    <row r="73" spans="1:529" s="27" customFormat="1" ht="45" x14ac:dyDescent="0.25">
      <c r="A73" s="145"/>
      <c r="B73" s="146"/>
      <c r="C73" s="146"/>
      <c r="D73" s="143" t="s">
        <v>450</v>
      </c>
      <c r="E73" s="144">
        <f t="shared" si="29"/>
        <v>80516</v>
      </c>
      <c r="F73" s="144">
        <f>182274-101758</f>
        <v>80516</v>
      </c>
      <c r="G73" s="144"/>
      <c r="H73" s="144"/>
      <c r="I73" s="144"/>
      <c r="J73" s="144">
        <f t="shared" si="30"/>
        <v>723684</v>
      </c>
      <c r="K73" s="144">
        <f>621926+101758</f>
        <v>723684</v>
      </c>
      <c r="L73" s="144"/>
      <c r="M73" s="144"/>
      <c r="N73" s="144"/>
      <c r="O73" s="144">
        <f>621926+101758</f>
        <v>723684</v>
      </c>
      <c r="P73" s="144">
        <f t="shared" si="31"/>
        <v>804200</v>
      </c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  <c r="IW73" s="36"/>
      <c r="IX73" s="36"/>
      <c r="IY73" s="36"/>
      <c r="IZ73" s="36"/>
      <c r="JA73" s="36"/>
      <c r="JB73" s="36"/>
      <c r="JC73" s="36"/>
      <c r="JD73" s="36"/>
      <c r="JE73" s="36"/>
      <c r="JF73" s="36"/>
      <c r="JG73" s="36"/>
      <c r="JH73" s="36"/>
      <c r="JI73" s="36"/>
      <c r="JJ73" s="36"/>
      <c r="JK73" s="36"/>
      <c r="JL73" s="36"/>
      <c r="JM73" s="36"/>
      <c r="JN73" s="36"/>
      <c r="JO73" s="36"/>
      <c r="JP73" s="36"/>
      <c r="JQ73" s="36"/>
      <c r="JR73" s="36"/>
      <c r="JS73" s="36"/>
      <c r="JT73" s="36"/>
      <c r="JU73" s="36"/>
      <c r="JV73" s="36"/>
      <c r="JW73" s="36"/>
      <c r="JX73" s="36"/>
      <c r="JY73" s="36"/>
      <c r="JZ73" s="36"/>
      <c r="KA73" s="36"/>
      <c r="KB73" s="36"/>
      <c r="KC73" s="36"/>
      <c r="KD73" s="36"/>
      <c r="KE73" s="36"/>
      <c r="KF73" s="36"/>
      <c r="KG73" s="36"/>
      <c r="KH73" s="36"/>
      <c r="KI73" s="36"/>
      <c r="KJ73" s="36"/>
      <c r="KK73" s="36"/>
      <c r="KL73" s="36"/>
      <c r="KM73" s="36"/>
      <c r="KN73" s="36"/>
      <c r="KO73" s="36"/>
      <c r="KP73" s="36"/>
      <c r="KQ73" s="36"/>
      <c r="KR73" s="36"/>
      <c r="KS73" s="36"/>
      <c r="KT73" s="36"/>
      <c r="KU73" s="36"/>
      <c r="KV73" s="36"/>
      <c r="KW73" s="36"/>
      <c r="KX73" s="36"/>
      <c r="KY73" s="36"/>
      <c r="KZ73" s="36"/>
      <c r="LA73" s="36"/>
      <c r="LB73" s="36"/>
      <c r="LC73" s="36"/>
      <c r="LD73" s="36"/>
      <c r="LE73" s="36"/>
      <c r="LF73" s="36"/>
      <c r="LG73" s="36"/>
      <c r="LH73" s="36"/>
      <c r="LI73" s="36"/>
      <c r="LJ73" s="36"/>
      <c r="LK73" s="36"/>
      <c r="LL73" s="36"/>
      <c r="LM73" s="36"/>
      <c r="LN73" s="36"/>
      <c r="LO73" s="36"/>
      <c r="LP73" s="36"/>
      <c r="LQ73" s="36"/>
      <c r="LR73" s="36"/>
      <c r="LS73" s="36"/>
      <c r="LT73" s="36"/>
      <c r="LU73" s="36"/>
      <c r="LV73" s="36"/>
      <c r="LW73" s="36"/>
      <c r="LX73" s="36"/>
      <c r="LY73" s="36"/>
      <c r="LZ73" s="36"/>
      <c r="MA73" s="36"/>
      <c r="MB73" s="36"/>
      <c r="MC73" s="36"/>
      <c r="MD73" s="36"/>
      <c r="ME73" s="36"/>
      <c r="MF73" s="36"/>
      <c r="MG73" s="36"/>
      <c r="MH73" s="36"/>
      <c r="MI73" s="36"/>
      <c r="MJ73" s="36"/>
      <c r="MK73" s="36"/>
      <c r="ML73" s="36"/>
      <c r="MM73" s="36"/>
      <c r="MN73" s="36"/>
      <c r="MO73" s="36"/>
      <c r="MP73" s="36"/>
      <c r="MQ73" s="36"/>
      <c r="MR73" s="36"/>
      <c r="MS73" s="36"/>
      <c r="MT73" s="36"/>
      <c r="MU73" s="36"/>
      <c r="MV73" s="36"/>
      <c r="MW73" s="36"/>
      <c r="MX73" s="36"/>
      <c r="MY73" s="36"/>
      <c r="MZ73" s="36"/>
      <c r="NA73" s="36"/>
      <c r="NB73" s="36"/>
      <c r="NC73" s="36"/>
      <c r="ND73" s="36"/>
      <c r="NE73" s="36"/>
      <c r="NF73" s="36"/>
      <c r="NG73" s="36"/>
      <c r="NH73" s="36"/>
      <c r="NI73" s="36"/>
      <c r="NJ73" s="36"/>
      <c r="NK73" s="36"/>
      <c r="NL73" s="36"/>
      <c r="NM73" s="36"/>
      <c r="NN73" s="36"/>
      <c r="NO73" s="36"/>
      <c r="NP73" s="36"/>
      <c r="NQ73" s="36"/>
      <c r="NR73" s="36"/>
      <c r="NS73" s="36"/>
      <c r="NT73" s="36"/>
      <c r="NU73" s="36"/>
      <c r="NV73" s="36"/>
      <c r="NW73" s="36"/>
      <c r="NX73" s="36"/>
      <c r="NY73" s="36"/>
      <c r="NZ73" s="36"/>
      <c r="OA73" s="36"/>
      <c r="OB73" s="36"/>
      <c r="OC73" s="36"/>
      <c r="OD73" s="36"/>
      <c r="OE73" s="36"/>
      <c r="OF73" s="36"/>
      <c r="OG73" s="36"/>
      <c r="OH73" s="36"/>
      <c r="OI73" s="36"/>
      <c r="OJ73" s="36"/>
      <c r="OK73" s="36"/>
      <c r="OL73" s="36"/>
      <c r="OM73" s="36"/>
      <c r="ON73" s="36"/>
      <c r="OO73" s="36"/>
      <c r="OP73" s="36"/>
      <c r="OQ73" s="36"/>
      <c r="OR73" s="36"/>
      <c r="OS73" s="36"/>
      <c r="OT73" s="36"/>
      <c r="OU73" s="36"/>
      <c r="OV73" s="36"/>
      <c r="OW73" s="36"/>
      <c r="OX73" s="36"/>
      <c r="OY73" s="36"/>
      <c r="OZ73" s="36"/>
      <c r="PA73" s="36"/>
      <c r="PB73" s="36"/>
      <c r="PC73" s="36"/>
      <c r="PD73" s="36"/>
      <c r="PE73" s="36"/>
      <c r="PF73" s="36"/>
      <c r="PG73" s="36"/>
      <c r="PH73" s="36"/>
      <c r="PI73" s="36"/>
      <c r="PJ73" s="36"/>
      <c r="PK73" s="36"/>
      <c r="PL73" s="36"/>
      <c r="PM73" s="36"/>
      <c r="PN73" s="36"/>
      <c r="PO73" s="36"/>
      <c r="PP73" s="36"/>
      <c r="PQ73" s="36"/>
      <c r="PR73" s="36"/>
      <c r="PS73" s="36"/>
      <c r="PT73" s="36"/>
      <c r="PU73" s="36"/>
      <c r="PV73" s="36"/>
      <c r="PW73" s="36"/>
      <c r="PX73" s="36"/>
      <c r="PY73" s="36"/>
      <c r="PZ73" s="36"/>
      <c r="QA73" s="36"/>
      <c r="QB73" s="36"/>
      <c r="QC73" s="36"/>
      <c r="QD73" s="36"/>
      <c r="QE73" s="36"/>
      <c r="QF73" s="36"/>
      <c r="QG73" s="36"/>
      <c r="QH73" s="36"/>
      <c r="QI73" s="36"/>
      <c r="QJ73" s="36"/>
      <c r="QK73" s="36"/>
      <c r="QL73" s="36"/>
      <c r="QM73" s="36"/>
      <c r="QN73" s="36"/>
      <c r="QO73" s="36"/>
      <c r="QP73" s="36"/>
      <c r="QQ73" s="36"/>
      <c r="QR73" s="36"/>
      <c r="QS73" s="36"/>
      <c r="QT73" s="36"/>
      <c r="QU73" s="36"/>
      <c r="QV73" s="36"/>
      <c r="QW73" s="36"/>
      <c r="QX73" s="36"/>
      <c r="QY73" s="36"/>
      <c r="QZ73" s="36"/>
      <c r="RA73" s="36"/>
      <c r="RB73" s="36"/>
      <c r="RC73" s="36"/>
      <c r="RD73" s="36"/>
      <c r="RE73" s="36"/>
      <c r="RF73" s="36"/>
      <c r="RG73" s="36"/>
      <c r="RH73" s="36"/>
      <c r="RI73" s="36"/>
      <c r="RJ73" s="36"/>
      <c r="RK73" s="36"/>
      <c r="RL73" s="36"/>
      <c r="RM73" s="36"/>
      <c r="RN73" s="36"/>
      <c r="RO73" s="36"/>
      <c r="RP73" s="36"/>
      <c r="RQ73" s="36"/>
      <c r="RR73" s="36"/>
      <c r="RS73" s="36"/>
      <c r="RT73" s="36"/>
      <c r="RU73" s="36"/>
      <c r="RV73" s="36"/>
      <c r="RW73" s="36"/>
      <c r="RX73" s="36"/>
      <c r="RY73" s="36"/>
      <c r="RZ73" s="36"/>
      <c r="SA73" s="36"/>
      <c r="SB73" s="36"/>
      <c r="SC73" s="36"/>
      <c r="SD73" s="36"/>
      <c r="SE73" s="36"/>
      <c r="SF73" s="36"/>
      <c r="SG73" s="36"/>
      <c r="SH73" s="36"/>
      <c r="SI73" s="36"/>
      <c r="SJ73" s="36"/>
      <c r="SK73" s="36"/>
      <c r="SL73" s="36"/>
      <c r="SM73" s="36"/>
      <c r="SN73" s="36"/>
      <c r="SO73" s="36"/>
      <c r="SP73" s="36"/>
      <c r="SQ73" s="36"/>
      <c r="SR73" s="36"/>
      <c r="SS73" s="36"/>
      <c r="ST73" s="36"/>
      <c r="SU73" s="36"/>
      <c r="SV73" s="36"/>
      <c r="SW73" s="36"/>
      <c r="SX73" s="36"/>
      <c r="SY73" s="36"/>
      <c r="SZ73" s="36"/>
      <c r="TA73" s="36"/>
      <c r="TB73" s="36"/>
      <c r="TC73" s="36"/>
      <c r="TD73" s="36"/>
      <c r="TE73" s="36"/>
      <c r="TF73" s="36"/>
      <c r="TG73" s="36"/>
      <c r="TH73" s="36"/>
      <c r="TI73" s="36"/>
    </row>
    <row r="74" spans="1:529" s="27" customFormat="1" ht="52.5" customHeight="1" x14ac:dyDescent="0.25">
      <c r="A74" s="145"/>
      <c r="B74" s="146"/>
      <c r="C74" s="146"/>
      <c r="D74" s="143" t="s">
        <v>447</v>
      </c>
      <c r="E74" s="144">
        <f t="shared" si="29"/>
        <v>1605000</v>
      </c>
      <c r="F74" s="144">
        <v>1605000</v>
      </c>
      <c r="G74" s="144">
        <v>1315570</v>
      </c>
      <c r="H74" s="144"/>
      <c r="I74" s="144"/>
      <c r="J74" s="144">
        <f t="shared" si="30"/>
        <v>663400</v>
      </c>
      <c r="K74" s="144">
        <v>663400</v>
      </c>
      <c r="L74" s="144"/>
      <c r="M74" s="144"/>
      <c r="N74" s="144"/>
      <c r="O74" s="144">
        <v>663400</v>
      </c>
      <c r="P74" s="144">
        <f t="shared" si="31"/>
        <v>2268400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  <c r="IW74" s="36"/>
      <c r="IX74" s="36"/>
      <c r="IY74" s="36"/>
      <c r="IZ74" s="36"/>
      <c r="JA74" s="36"/>
      <c r="JB74" s="36"/>
      <c r="JC74" s="36"/>
      <c r="JD74" s="36"/>
      <c r="JE74" s="36"/>
      <c r="JF74" s="36"/>
      <c r="JG74" s="36"/>
      <c r="JH74" s="36"/>
      <c r="JI74" s="36"/>
      <c r="JJ74" s="36"/>
      <c r="JK74" s="36"/>
      <c r="JL74" s="36"/>
      <c r="JM74" s="36"/>
      <c r="JN74" s="36"/>
      <c r="JO74" s="36"/>
      <c r="JP74" s="36"/>
      <c r="JQ74" s="36"/>
      <c r="JR74" s="36"/>
      <c r="JS74" s="36"/>
      <c r="JT74" s="36"/>
      <c r="JU74" s="36"/>
      <c r="JV74" s="36"/>
      <c r="JW74" s="36"/>
      <c r="JX74" s="36"/>
      <c r="JY74" s="36"/>
      <c r="JZ74" s="36"/>
      <c r="KA74" s="36"/>
      <c r="KB74" s="36"/>
      <c r="KC74" s="36"/>
      <c r="KD74" s="36"/>
      <c r="KE74" s="36"/>
      <c r="KF74" s="36"/>
      <c r="KG74" s="36"/>
      <c r="KH74" s="36"/>
      <c r="KI74" s="36"/>
      <c r="KJ74" s="36"/>
      <c r="KK74" s="36"/>
      <c r="KL74" s="36"/>
      <c r="KM74" s="36"/>
      <c r="KN74" s="36"/>
      <c r="KO74" s="36"/>
      <c r="KP74" s="36"/>
      <c r="KQ74" s="36"/>
      <c r="KR74" s="36"/>
      <c r="KS74" s="36"/>
      <c r="KT74" s="36"/>
      <c r="KU74" s="36"/>
      <c r="KV74" s="36"/>
      <c r="KW74" s="36"/>
      <c r="KX74" s="36"/>
      <c r="KY74" s="36"/>
      <c r="KZ74" s="36"/>
      <c r="LA74" s="36"/>
      <c r="LB74" s="36"/>
      <c r="LC74" s="36"/>
      <c r="LD74" s="36"/>
      <c r="LE74" s="36"/>
      <c r="LF74" s="36"/>
      <c r="LG74" s="36"/>
      <c r="LH74" s="36"/>
      <c r="LI74" s="36"/>
      <c r="LJ74" s="36"/>
      <c r="LK74" s="36"/>
      <c r="LL74" s="36"/>
      <c r="LM74" s="36"/>
      <c r="LN74" s="36"/>
      <c r="LO74" s="36"/>
      <c r="LP74" s="36"/>
      <c r="LQ74" s="36"/>
      <c r="LR74" s="36"/>
      <c r="LS74" s="36"/>
      <c r="LT74" s="36"/>
      <c r="LU74" s="36"/>
      <c r="LV74" s="36"/>
      <c r="LW74" s="36"/>
      <c r="LX74" s="36"/>
      <c r="LY74" s="36"/>
      <c r="LZ74" s="36"/>
      <c r="MA74" s="36"/>
      <c r="MB74" s="36"/>
      <c r="MC74" s="36"/>
      <c r="MD74" s="36"/>
      <c r="ME74" s="36"/>
      <c r="MF74" s="36"/>
      <c r="MG74" s="36"/>
      <c r="MH74" s="36"/>
      <c r="MI74" s="36"/>
      <c r="MJ74" s="36"/>
      <c r="MK74" s="36"/>
      <c r="ML74" s="36"/>
      <c r="MM74" s="36"/>
      <c r="MN74" s="36"/>
      <c r="MO74" s="36"/>
      <c r="MP74" s="36"/>
      <c r="MQ74" s="36"/>
      <c r="MR74" s="36"/>
      <c r="MS74" s="36"/>
      <c r="MT74" s="36"/>
      <c r="MU74" s="36"/>
      <c r="MV74" s="36"/>
      <c r="MW74" s="36"/>
      <c r="MX74" s="36"/>
      <c r="MY74" s="36"/>
      <c r="MZ74" s="36"/>
      <c r="NA74" s="36"/>
      <c r="NB74" s="36"/>
      <c r="NC74" s="36"/>
      <c r="ND74" s="36"/>
      <c r="NE74" s="36"/>
      <c r="NF74" s="36"/>
      <c r="NG74" s="36"/>
      <c r="NH74" s="36"/>
      <c r="NI74" s="36"/>
      <c r="NJ74" s="36"/>
      <c r="NK74" s="36"/>
      <c r="NL74" s="36"/>
      <c r="NM74" s="36"/>
      <c r="NN74" s="36"/>
      <c r="NO74" s="36"/>
      <c r="NP74" s="36"/>
      <c r="NQ74" s="36"/>
      <c r="NR74" s="36"/>
      <c r="NS74" s="36"/>
      <c r="NT74" s="36"/>
      <c r="NU74" s="36"/>
      <c r="NV74" s="36"/>
      <c r="NW74" s="36"/>
      <c r="NX74" s="36"/>
      <c r="NY74" s="36"/>
      <c r="NZ74" s="36"/>
      <c r="OA74" s="36"/>
      <c r="OB74" s="36"/>
      <c r="OC74" s="36"/>
      <c r="OD74" s="36"/>
      <c r="OE74" s="36"/>
      <c r="OF74" s="36"/>
      <c r="OG74" s="36"/>
      <c r="OH74" s="36"/>
      <c r="OI74" s="36"/>
      <c r="OJ74" s="36"/>
      <c r="OK74" s="36"/>
      <c r="OL74" s="36"/>
      <c r="OM74" s="36"/>
      <c r="ON74" s="36"/>
      <c r="OO74" s="36"/>
      <c r="OP74" s="36"/>
      <c r="OQ74" s="36"/>
      <c r="OR74" s="36"/>
      <c r="OS74" s="36"/>
      <c r="OT74" s="36"/>
      <c r="OU74" s="36"/>
      <c r="OV74" s="36"/>
      <c r="OW74" s="36"/>
      <c r="OX74" s="36"/>
      <c r="OY74" s="36"/>
      <c r="OZ74" s="36"/>
      <c r="PA74" s="36"/>
      <c r="PB74" s="36"/>
      <c r="PC74" s="36"/>
      <c r="PD74" s="36"/>
      <c r="PE74" s="36"/>
      <c r="PF74" s="36"/>
      <c r="PG74" s="36"/>
      <c r="PH74" s="36"/>
      <c r="PI74" s="36"/>
      <c r="PJ74" s="36"/>
      <c r="PK74" s="36"/>
      <c r="PL74" s="36"/>
      <c r="PM74" s="36"/>
      <c r="PN74" s="36"/>
      <c r="PO74" s="36"/>
      <c r="PP74" s="36"/>
      <c r="PQ74" s="36"/>
      <c r="PR74" s="36"/>
      <c r="PS74" s="36"/>
      <c r="PT74" s="36"/>
      <c r="PU74" s="36"/>
      <c r="PV74" s="36"/>
      <c r="PW74" s="36"/>
      <c r="PX74" s="36"/>
      <c r="PY74" s="36"/>
      <c r="PZ74" s="36"/>
      <c r="QA74" s="36"/>
      <c r="QB74" s="36"/>
      <c r="QC74" s="36"/>
      <c r="QD74" s="36"/>
      <c r="QE74" s="36"/>
      <c r="QF74" s="36"/>
      <c r="QG74" s="36"/>
      <c r="QH74" s="36"/>
      <c r="QI74" s="36"/>
      <c r="QJ74" s="36"/>
      <c r="QK74" s="36"/>
      <c r="QL74" s="36"/>
      <c r="QM74" s="36"/>
      <c r="QN74" s="36"/>
      <c r="QO74" s="36"/>
      <c r="QP74" s="36"/>
      <c r="QQ74" s="36"/>
      <c r="QR74" s="36"/>
      <c r="QS74" s="36"/>
      <c r="QT74" s="36"/>
      <c r="QU74" s="36"/>
      <c r="QV74" s="36"/>
      <c r="QW74" s="36"/>
      <c r="QX74" s="36"/>
      <c r="QY74" s="36"/>
      <c r="QZ74" s="36"/>
      <c r="RA74" s="36"/>
      <c r="RB74" s="36"/>
      <c r="RC74" s="36"/>
      <c r="RD74" s="36"/>
      <c r="RE74" s="36"/>
      <c r="RF74" s="36"/>
      <c r="RG74" s="36"/>
      <c r="RH74" s="36"/>
      <c r="RI74" s="36"/>
      <c r="RJ74" s="36"/>
      <c r="RK74" s="36"/>
      <c r="RL74" s="36"/>
      <c r="RM74" s="36"/>
      <c r="RN74" s="36"/>
      <c r="RO74" s="36"/>
      <c r="RP74" s="36"/>
      <c r="RQ74" s="36"/>
      <c r="RR74" s="36"/>
      <c r="RS74" s="36"/>
      <c r="RT74" s="36"/>
      <c r="RU74" s="36"/>
      <c r="RV74" s="36"/>
      <c r="RW74" s="36"/>
      <c r="RX74" s="36"/>
      <c r="RY74" s="36"/>
      <c r="RZ74" s="36"/>
      <c r="SA74" s="36"/>
      <c r="SB74" s="36"/>
      <c r="SC74" s="36"/>
      <c r="SD74" s="36"/>
      <c r="SE74" s="36"/>
      <c r="SF74" s="36"/>
      <c r="SG74" s="36"/>
      <c r="SH74" s="36"/>
      <c r="SI74" s="36"/>
      <c r="SJ74" s="36"/>
      <c r="SK74" s="36"/>
      <c r="SL74" s="36"/>
      <c r="SM74" s="36"/>
      <c r="SN74" s="36"/>
      <c r="SO74" s="36"/>
      <c r="SP74" s="36"/>
      <c r="SQ74" s="36"/>
      <c r="SR74" s="36"/>
      <c r="SS74" s="36"/>
      <c r="ST74" s="36"/>
      <c r="SU74" s="36"/>
      <c r="SV74" s="36"/>
      <c r="SW74" s="36"/>
      <c r="SX74" s="36"/>
      <c r="SY74" s="36"/>
      <c r="SZ74" s="36"/>
      <c r="TA74" s="36"/>
      <c r="TB74" s="36"/>
      <c r="TC74" s="36"/>
      <c r="TD74" s="36"/>
      <c r="TE74" s="36"/>
      <c r="TF74" s="36"/>
      <c r="TG74" s="36"/>
      <c r="TH74" s="36"/>
      <c r="TI74" s="36"/>
    </row>
    <row r="75" spans="1:529" s="27" customFormat="1" ht="30" x14ac:dyDescent="0.25">
      <c r="A75" s="145"/>
      <c r="B75" s="146"/>
      <c r="C75" s="146"/>
      <c r="D75" s="143" t="s">
        <v>453</v>
      </c>
      <c r="E75" s="144">
        <f t="shared" si="26"/>
        <v>347149400</v>
      </c>
      <c r="F75" s="144">
        <v>347149400</v>
      </c>
      <c r="G75" s="144">
        <v>285015950</v>
      </c>
      <c r="H75" s="144"/>
      <c r="I75" s="144"/>
      <c r="J75" s="144">
        <f t="shared" si="28"/>
        <v>0</v>
      </c>
      <c r="K75" s="144"/>
      <c r="L75" s="144"/>
      <c r="M75" s="144"/>
      <c r="N75" s="144"/>
      <c r="O75" s="144"/>
      <c r="P75" s="144">
        <f t="shared" si="27"/>
        <v>347149400</v>
      </c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  <c r="IW75" s="36"/>
      <c r="IX75" s="36"/>
      <c r="IY75" s="36"/>
      <c r="IZ75" s="36"/>
      <c r="JA75" s="36"/>
      <c r="JB75" s="36"/>
      <c r="JC75" s="36"/>
      <c r="JD75" s="36"/>
      <c r="JE75" s="36"/>
      <c r="JF75" s="36"/>
      <c r="JG75" s="36"/>
      <c r="JH75" s="36"/>
      <c r="JI75" s="36"/>
      <c r="JJ75" s="36"/>
      <c r="JK75" s="36"/>
      <c r="JL75" s="36"/>
      <c r="JM75" s="36"/>
      <c r="JN75" s="36"/>
      <c r="JO75" s="36"/>
      <c r="JP75" s="36"/>
      <c r="JQ75" s="36"/>
      <c r="JR75" s="36"/>
      <c r="JS75" s="36"/>
      <c r="JT75" s="36"/>
      <c r="JU75" s="36"/>
      <c r="JV75" s="36"/>
      <c r="JW75" s="36"/>
      <c r="JX75" s="36"/>
      <c r="JY75" s="36"/>
      <c r="JZ75" s="36"/>
      <c r="KA75" s="36"/>
      <c r="KB75" s="36"/>
      <c r="KC75" s="36"/>
      <c r="KD75" s="36"/>
      <c r="KE75" s="36"/>
      <c r="KF75" s="36"/>
      <c r="KG75" s="36"/>
      <c r="KH75" s="36"/>
      <c r="KI75" s="36"/>
      <c r="KJ75" s="36"/>
      <c r="KK75" s="36"/>
      <c r="KL75" s="36"/>
      <c r="KM75" s="36"/>
      <c r="KN75" s="36"/>
      <c r="KO75" s="36"/>
      <c r="KP75" s="36"/>
      <c r="KQ75" s="36"/>
      <c r="KR75" s="36"/>
      <c r="KS75" s="36"/>
      <c r="KT75" s="36"/>
      <c r="KU75" s="36"/>
      <c r="KV75" s="36"/>
      <c r="KW75" s="36"/>
      <c r="KX75" s="36"/>
      <c r="KY75" s="36"/>
      <c r="KZ75" s="36"/>
      <c r="LA75" s="36"/>
      <c r="LB75" s="36"/>
      <c r="LC75" s="36"/>
      <c r="LD75" s="36"/>
      <c r="LE75" s="36"/>
      <c r="LF75" s="36"/>
      <c r="LG75" s="36"/>
      <c r="LH75" s="36"/>
      <c r="LI75" s="36"/>
      <c r="LJ75" s="36"/>
      <c r="LK75" s="36"/>
      <c r="LL75" s="36"/>
      <c r="LM75" s="36"/>
      <c r="LN75" s="36"/>
      <c r="LO75" s="36"/>
      <c r="LP75" s="36"/>
      <c r="LQ75" s="36"/>
      <c r="LR75" s="36"/>
      <c r="LS75" s="36"/>
      <c r="LT75" s="36"/>
      <c r="LU75" s="36"/>
      <c r="LV75" s="36"/>
      <c r="LW75" s="36"/>
      <c r="LX75" s="36"/>
      <c r="LY75" s="36"/>
      <c r="LZ75" s="36"/>
      <c r="MA75" s="36"/>
      <c r="MB75" s="36"/>
      <c r="MC75" s="36"/>
      <c r="MD75" s="36"/>
      <c r="ME75" s="36"/>
      <c r="MF75" s="36"/>
      <c r="MG75" s="36"/>
      <c r="MH75" s="36"/>
      <c r="MI75" s="36"/>
      <c r="MJ75" s="36"/>
      <c r="MK75" s="36"/>
      <c r="ML75" s="36"/>
      <c r="MM75" s="36"/>
      <c r="MN75" s="36"/>
      <c r="MO75" s="36"/>
      <c r="MP75" s="36"/>
      <c r="MQ75" s="36"/>
      <c r="MR75" s="36"/>
      <c r="MS75" s="36"/>
      <c r="MT75" s="36"/>
      <c r="MU75" s="36"/>
      <c r="MV75" s="36"/>
      <c r="MW75" s="36"/>
      <c r="MX75" s="36"/>
      <c r="MY75" s="36"/>
      <c r="MZ75" s="36"/>
      <c r="NA75" s="36"/>
      <c r="NB75" s="36"/>
      <c r="NC75" s="36"/>
      <c r="ND75" s="36"/>
      <c r="NE75" s="36"/>
      <c r="NF75" s="36"/>
      <c r="NG75" s="36"/>
      <c r="NH75" s="36"/>
      <c r="NI75" s="36"/>
      <c r="NJ75" s="36"/>
      <c r="NK75" s="36"/>
      <c r="NL75" s="36"/>
      <c r="NM75" s="36"/>
      <c r="NN75" s="36"/>
      <c r="NO75" s="36"/>
      <c r="NP75" s="36"/>
      <c r="NQ75" s="36"/>
      <c r="NR75" s="36"/>
      <c r="NS75" s="36"/>
      <c r="NT75" s="36"/>
      <c r="NU75" s="36"/>
      <c r="NV75" s="36"/>
      <c r="NW75" s="36"/>
      <c r="NX75" s="36"/>
      <c r="NY75" s="36"/>
      <c r="NZ75" s="36"/>
      <c r="OA75" s="36"/>
      <c r="OB75" s="36"/>
      <c r="OC75" s="36"/>
      <c r="OD75" s="36"/>
      <c r="OE75" s="36"/>
      <c r="OF75" s="36"/>
      <c r="OG75" s="36"/>
      <c r="OH75" s="36"/>
      <c r="OI75" s="36"/>
      <c r="OJ75" s="36"/>
      <c r="OK75" s="36"/>
      <c r="OL75" s="36"/>
      <c r="OM75" s="36"/>
      <c r="ON75" s="36"/>
      <c r="OO75" s="36"/>
      <c r="OP75" s="36"/>
      <c r="OQ75" s="36"/>
      <c r="OR75" s="36"/>
      <c r="OS75" s="36"/>
      <c r="OT75" s="36"/>
      <c r="OU75" s="36"/>
      <c r="OV75" s="36"/>
      <c r="OW75" s="36"/>
      <c r="OX75" s="36"/>
      <c r="OY75" s="36"/>
      <c r="OZ75" s="36"/>
      <c r="PA75" s="36"/>
      <c r="PB75" s="36"/>
      <c r="PC75" s="36"/>
      <c r="PD75" s="36"/>
      <c r="PE75" s="36"/>
      <c r="PF75" s="36"/>
      <c r="PG75" s="36"/>
      <c r="PH75" s="36"/>
      <c r="PI75" s="36"/>
      <c r="PJ75" s="36"/>
      <c r="PK75" s="36"/>
      <c r="PL75" s="36"/>
      <c r="PM75" s="36"/>
      <c r="PN75" s="36"/>
      <c r="PO75" s="36"/>
      <c r="PP75" s="36"/>
      <c r="PQ75" s="36"/>
      <c r="PR75" s="36"/>
      <c r="PS75" s="36"/>
      <c r="PT75" s="36"/>
      <c r="PU75" s="36"/>
      <c r="PV75" s="36"/>
      <c r="PW75" s="36"/>
      <c r="PX75" s="36"/>
      <c r="PY75" s="36"/>
      <c r="PZ75" s="36"/>
      <c r="QA75" s="36"/>
      <c r="QB75" s="36"/>
      <c r="QC75" s="36"/>
      <c r="QD75" s="36"/>
      <c r="QE75" s="36"/>
      <c r="QF75" s="36"/>
      <c r="QG75" s="36"/>
      <c r="QH75" s="36"/>
      <c r="QI75" s="36"/>
      <c r="QJ75" s="36"/>
      <c r="QK75" s="36"/>
      <c r="QL75" s="36"/>
      <c r="QM75" s="36"/>
      <c r="QN75" s="36"/>
      <c r="QO75" s="36"/>
      <c r="QP75" s="36"/>
      <c r="QQ75" s="36"/>
      <c r="QR75" s="36"/>
      <c r="QS75" s="36"/>
      <c r="QT75" s="36"/>
      <c r="QU75" s="36"/>
      <c r="QV75" s="36"/>
      <c r="QW75" s="36"/>
      <c r="QX75" s="36"/>
      <c r="QY75" s="36"/>
      <c r="QZ75" s="36"/>
      <c r="RA75" s="36"/>
      <c r="RB75" s="36"/>
      <c r="RC75" s="36"/>
      <c r="RD75" s="36"/>
      <c r="RE75" s="36"/>
      <c r="RF75" s="36"/>
      <c r="RG75" s="36"/>
      <c r="RH75" s="36"/>
      <c r="RI75" s="36"/>
      <c r="RJ75" s="36"/>
      <c r="RK75" s="36"/>
      <c r="RL75" s="36"/>
      <c r="RM75" s="36"/>
      <c r="RN75" s="36"/>
      <c r="RO75" s="36"/>
      <c r="RP75" s="36"/>
      <c r="RQ75" s="36"/>
      <c r="RR75" s="36"/>
      <c r="RS75" s="36"/>
      <c r="RT75" s="36"/>
      <c r="RU75" s="36"/>
      <c r="RV75" s="36"/>
      <c r="RW75" s="36"/>
      <c r="RX75" s="36"/>
      <c r="RY75" s="36"/>
      <c r="RZ75" s="36"/>
      <c r="SA75" s="36"/>
      <c r="SB75" s="36"/>
      <c r="SC75" s="36"/>
      <c r="SD75" s="36"/>
      <c r="SE75" s="36"/>
      <c r="SF75" s="36"/>
      <c r="SG75" s="36"/>
      <c r="SH75" s="36"/>
      <c r="SI75" s="36"/>
      <c r="SJ75" s="36"/>
      <c r="SK75" s="36"/>
      <c r="SL75" s="36"/>
      <c r="SM75" s="36"/>
      <c r="SN75" s="36"/>
      <c r="SO75" s="36"/>
      <c r="SP75" s="36"/>
      <c r="SQ75" s="36"/>
      <c r="SR75" s="36"/>
      <c r="SS75" s="36"/>
      <c r="ST75" s="36"/>
      <c r="SU75" s="36"/>
      <c r="SV75" s="36"/>
      <c r="SW75" s="36"/>
      <c r="SX75" s="36"/>
      <c r="SY75" s="36"/>
      <c r="SZ75" s="36"/>
      <c r="TA75" s="36"/>
      <c r="TB75" s="36"/>
      <c r="TC75" s="36"/>
      <c r="TD75" s="36"/>
      <c r="TE75" s="36"/>
      <c r="TF75" s="36"/>
      <c r="TG75" s="36"/>
      <c r="TH75" s="36"/>
      <c r="TI75" s="36"/>
    </row>
    <row r="76" spans="1:529" s="27" customFormat="1" ht="60" x14ac:dyDescent="0.25">
      <c r="A76" s="145"/>
      <c r="B76" s="146"/>
      <c r="C76" s="146"/>
      <c r="D76" s="143" t="s">
        <v>449</v>
      </c>
      <c r="E76" s="144">
        <f t="shared" si="26"/>
        <v>4782158</v>
      </c>
      <c r="F76" s="144">
        <f>5970690-1188532</f>
        <v>4782158</v>
      </c>
      <c r="G76" s="144"/>
      <c r="H76" s="144"/>
      <c r="I76" s="144"/>
      <c r="J76" s="144">
        <f t="shared" si="28"/>
        <v>721310</v>
      </c>
      <c r="K76" s="144">
        <v>721310</v>
      </c>
      <c r="L76" s="144"/>
      <c r="M76" s="144"/>
      <c r="N76" s="144"/>
      <c r="O76" s="144">
        <v>721310</v>
      </c>
      <c r="P76" s="144">
        <f t="shared" si="27"/>
        <v>5503468</v>
      </c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  <c r="IW76" s="36"/>
      <c r="IX76" s="36"/>
      <c r="IY76" s="36"/>
      <c r="IZ76" s="36"/>
      <c r="JA76" s="36"/>
      <c r="JB76" s="36"/>
      <c r="JC76" s="36"/>
      <c r="JD76" s="36"/>
      <c r="JE76" s="36"/>
      <c r="JF76" s="36"/>
      <c r="JG76" s="36"/>
      <c r="JH76" s="36"/>
      <c r="JI76" s="36"/>
      <c r="JJ76" s="36"/>
      <c r="JK76" s="36"/>
      <c r="JL76" s="36"/>
      <c r="JM76" s="36"/>
      <c r="JN76" s="36"/>
      <c r="JO76" s="36"/>
      <c r="JP76" s="36"/>
      <c r="JQ76" s="36"/>
      <c r="JR76" s="36"/>
      <c r="JS76" s="36"/>
      <c r="JT76" s="36"/>
      <c r="JU76" s="36"/>
      <c r="JV76" s="36"/>
      <c r="JW76" s="36"/>
      <c r="JX76" s="36"/>
      <c r="JY76" s="36"/>
      <c r="JZ76" s="36"/>
      <c r="KA76" s="36"/>
      <c r="KB76" s="36"/>
      <c r="KC76" s="36"/>
      <c r="KD76" s="36"/>
      <c r="KE76" s="36"/>
      <c r="KF76" s="36"/>
      <c r="KG76" s="36"/>
      <c r="KH76" s="36"/>
      <c r="KI76" s="36"/>
      <c r="KJ76" s="36"/>
      <c r="KK76" s="36"/>
      <c r="KL76" s="36"/>
      <c r="KM76" s="36"/>
      <c r="KN76" s="36"/>
      <c r="KO76" s="36"/>
      <c r="KP76" s="36"/>
      <c r="KQ76" s="36"/>
      <c r="KR76" s="36"/>
      <c r="KS76" s="36"/>
      <c r="KT76" s="36"/>
      <c r="KU76" s="36"/>
      <c r="KV76" s="36"/>
      <c r="KW76" s="36"/>
      <c r="KX76" s="36"/>
      <c r="KY76" s="36"/>
      <c r="KZ76" s="36"/>
      <c r="LA76" s="36"/>
      <c r="LB76" s="36"/>
      <c r="LC76" s="36"/>
      <c r="LD76" s="36"/>
      <c r="LE76" s="36"/>
      <c r="LF76" s="36"/>
      <c r="LG76" s="36"/>
      <c r="LH76" s="36"/>
      <c r="LI76" s="36"/>
      <c r="LJ76" s="36"/>
      <c r="LK76" s="36"/>
      <c r="LL76" s="36"/>
      <c r="LM76" s="36"/>
      <c r="LN76" s="36"/>
      <c r="LO76" s="36"/>
      <c r="LP76" s="36"/>
      <c r="LQ76" s="36"/>
      <c r="LR76" s="36"/>
      <c r="LS76" s="36"/>
      <c r="LT76" s="36"/>
      <c r="LU76" s="36"/>
      <c r="LV76" s="36"/>
      <c r="LW76" s="36"/>
      <c r="LX76" s="36"/>
      <c r="LY76" s="36"/>
      <c r="LZ76" s="36"/>
      <c r="MA76" s="36"/>
      <c r="MB76" s="36"/>
      <c r="MC76" s="36"/>
      <c r="MD76" s="36"/>
      <c r="ME76" s="36"/>
      <c r="MF76" s="36"/>
      <c r="MG76" s="36"/>
      <c r="MH76" s="36"/>
      <c r="MI76" s="36"/>
      <c r="MJ76" s="36"/>
      <c r="MK76" s="36"/>
      <c r="ML76" s="36"/>
      <c r="MM76" s="36"/>
      <c r="MN76" s="36"/>
      <c r="MO76" s="36"/>
      <c r="MP76" s="36"/>
      <c r="MQ76" s="36"/>
      <c r="MR76" s="36"/>
      <c r="MS76" s="36"/>
      <c r="MT76" s="36"/>
      <c r="MU76" s="36"/>
      <c r="MV76" s="36"/>
      <c r="MW76" s="36"/>
      <c r="MX76" s="36"/>
      <c r="MY76" s="36"/>
      <c r="MZ76" s="36"/>
      <c r="NA76" s="36"/>
      <c r="NB76" s="36"/>
      <c r="NC76" s="36"/>
      <c r="ND76" s="36"/>
      <c r="NE76" s="36"/>
      <c r="NF76" s="36"/>
      <c r="NG76" s="36"/>
      <c r="NH76" s="36"/>
      <c r="NI76" s="36"/>
      <c r="NJ76" s="36"/>
      <c r="NK76" s="36"/>
      <c r="NL76" s="36"/>
      <c r="NM76" s="36"/>
      <c r="NN76" s="36"/>
      <c r="NO76" s="36"/>
      <c r="NP76" s="36"/>
      <c r="NQ76" s="36"/>
      <c r="NR76" s="36"/>
      <c r="NS76" s="36"/>
      <c r="NT76" s="36"/>
      <c r="NU76" s="36"/>
      <c r="NV76" s="36"/>
      <c r="NW76" s="36"/>
      <c r="NX76" s="36"/>
      <c r="NY76" s="36"/>
      <c r="NZ76" s="36"/>
      <c r="OA76" s="36"/>
      <c r="OB76" s="36"/>
      <c r="OC76" s="36"/>
      <c r="OD76" s="36"/>
      <c r="OE76" s="36"/>
      <c r="OF76" s="36"/>
      <c r="OG76" s="36"/>
      <c r="OH76" s="36"/>
      <c r="OI76" s="36"/>
      <c r="OJ76" s="36"/>
      <c r="OK76" s="36"/>
      <c r="OL76" s="36"/>
      <c r="OM76" s="36"/>
      <c r="ON76" s="36"/>
      <c r="OO76" s="36"/>
      <c r="OP76" s="36"/>
      <c r="OQ76" s="36"/>
      <c r="OR76" s="36"/>
      <c r="OS76" s="36"/>
      <c r="OT76" s="36"/>
      <c r="OU76" s="36"/>
      <c r="OV76" s="36"/>
      <c r="OW76" s="36"/>
      <c r="OX76" s="36"/>
      <c r="OY76" s="36"/>
      <c r="OZ76" s="36"/>
      <c r="PA76" s="36"/>
      <c r="PB76" s="36"/>
      <c r="PC76" s="36"/>
      <c r="PD76" s="36"/>
      <c r="PE76" s="36"/>
      <c r="PF76" s="36"/>
      <c r="PG76" s="36"/>
      <c r="PH76" s="36"/>
      <c r="PI76" s="36"/>
      <c r="PJ76" s="36"/>
      <c r="PK76" s="36"/>
      <c r="PL76" s="36"/>
      <c r="PM76" s="36"/>
      <c r="PN76" s="36"/>
      <c r="PO76" s="36"/>
      <c r="PP76" s="36"/>
      <c r="PQ76" s="36"/>
      <c r="PR76" s="36"/>
      <c r="PS76" s="36"/>
      <c r="PT76" s="36"/>
      <c r="PU76" s="36"/>
      <c r="PV76" s="36"/>
      <c r="PW76" s="36"/>
      <c r="PX76" s="36"/>
      <c r="PY76" s="36"/>
      <c r="PZ76" s="36"/>
      <c r="QA76" s="36"/>
      <c r="QB76" s="36"/>
      <c r="QC76" s="36"/>
      <c r="QD76" s="36"/>
      <c r="QE76" s="36"/>
      <c r="QF76" s="36"/>
      <c r="QG76" s="36"/>
      <c r="QH76" s="36"/>
      <c r="QI76" s="36"/>
      <c r="QJ76" s="36"/>
      <c r="QK76" s="36"/>
      <c r="QL76" s="36"/>
      <c r="QM76" s="36"/>
      <c r="QN76" s="36"/>
      <c r="QO76" s="36"/>
      <c r="QP76" s="36"/>
      <c r="QQ76" s="36"/>
      <c r="QR76" s="36"/>
      <c r="QS76" s="36"/>
      <c r="QT76" s="36"/>
      <c r="QU76" s="36"/>
      <c r="QV76" s="36"/>
      <c r="QW76" s="36"/>
      <c r="QX76" s="36"/>
      <c r="QY76" s="36"/>
      <c r="QZ76" s="36"/>
      <c r="RA76" s="36"/>
      <c r="RB76" s="36"/>
      <c r="RC76" s="36"/>
      <c r="RD76" s="36"/>
      <c r="RE76" s="36"/>
      <c r="RF76" s="36"/>
      <c r="RG76" s="36"/>
      <c r="RH76" s="36"/>
      <c r="RI76" s="36"/>
      <c r="RJ76" s="36"/>
      <c r="RK76" s="36"/>
      <c r="RL76" s="36"/>
      <c r="RM76" s="36"/>
      <c r="RN76" s="36"/>
      <c r="RO76" s="36"/>
      <c r="RP76" s="36"/>
      <c r="RQ76" s="36"/>
      <c r="RR76" s="36"/>
      <c r="RS76" s="36"/>
      <c r="RT76" s="36"/>
      <c r="RU76" s="36"/>
      <c r="RV76" s="36"/>
      <c r="RW76" s="36"/>
      <c r="RX76" s="36"/>
      <c r="RY76" s="36"/>
      <c r="RZ76" s="36"/>
      <c r="SA76" s="36"/>
      <c r="SB76" s="36"/>
      <c r="SC76" s="36"/>
      <c r="SD76" s="36"/>
      <c r="SE76" s="36"/>
      <c r="SF76" s="36"/>
      <c r="SG76" s="36"/>
      <c r="SH76" s="36"/>
      <c r="SI76" s="36"/>
      <c r="SJ76" s="36"/>
      <c r="SK76" s="36"/>
      <c r="SL76" s="36"/>
      <c r="SM76" s="36"/>
      <c r="SN76" s="36"/>
      <c r="SO76" s="36"/>
      <c r="SP76" s="36"/>
      <c r="SQ76" s="36"/>
      <c r="SR76" s="36"/>
      <c r="SS76" s="36"/>
      <c r="ST76" s="36"/>
      <c r="SU76" s="36"/>
      <c r="SV76" s="36"/>
      <c r="SW76" s="36"/>
      <c r="SX76" s="36"/>
      <c r="SY76" s="36"/>
      <c r="SZ76" s="36"/>
      <c r="TA76" s="36"/>
      <c r="TB76" s="36"/>
      <c r="TC76" s="36"/>
      <c r="TD76" s="36"/>
      <c r="TE76" s="36"/>
      <c r="TF76" s="36"/>
      <c r="TG76" s="36"/>
      <c r="TH76" s="36"/>
      <c r="TI76" s="36"/>
    </row>
    <row r="77" spans="1:529" s="23" customFormat="1" ht="54" customHeight="1" x14ac:dyDescent="0.25">
      <c r="A77" s="43" t="s">
        <v>403</v>
      </c>
      <c r="B77" s="44">
        <f>'дод 4'!A39</f>
        <v>1030</v>
      </c>
      <c r="C77" s="44" t="str">
        <f>'дод 4'!B39</f>
        <v>0922</v>
      </c>
      <c r="D77" s="24" t="str">
        <f>'дод 4'!C39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v>
      </c>
      <c r="E77" s="66">
        <f t="shared" si="26"/>
        <v>9281995</v>
      </c>
      <c r="F77" s="66">
        <f>9152880+50000+110000+106000+25839+11076-150800-60000+37000</f>
        <v>9281995</v>
      </c>
      <c r="G77" s="66">
        <v>6532300</v>
      </c>
      <c r="H77" s="66">
        <f>709270-60000</f>
        <v>649270</v>
      </c>
      <c r="I77" s="66">
        <v>0</v>
      </c>
      <c r="J77" s="66">
        <f t="shared" si="28"/>
        <v>52327</v>
      </c>
      <c r="K77" s="66">
        <f>150000+22000+20174+21229-11076-150000</f>
        <v>52327</v>
      </c>
      <c r="L77" s="66"/>
      <c r="M77" s="66"/>
      <c r="N77" s="66"/>
      <c r="O77" s="66">
        <f>150000+22000+20174+21229-11076-150000</f>
        <v>52327</v>
      </c>
      <c r="P77" s="66">
        <f t="shared" si="27"/>
        <v>9334322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</row>
    <row r="78" spans="1:529" s="27" customFormat="1" ht="30" x14ac:dyDescent="0.25">
      <c r="A78" s="145"/>
      <c r="B78" s="146"/>
      <c r="C78" s="146"/>
      <c r="D78" s="143" t="s">
        <v>453</v>
      </c>
      <c r="E78" s="144">
        <f t="shared" si="26"/>
        <v>6214300</v>
      </c>
      <c r="F78" s="144">
        <v>6214300</v>
      </c>
      <c r="G78" s="144">
        <v>5102000</v>
      </c>
      <c r="H78" s="144"/>
      <c r="I78" s="144"/>
      <c r="J78" s="144">
        <f t="shared" si="28"/>
        <v>0</v>
      </c>
      <c r="K78" s="144"/>
      <c r="L78" s="144"/>
      <c r="M78" s="144"/>
      <c r="N78" s="144"/>
      <c r="O78" s="144"/>
      <c r="P78" s="144">
        <f t="shared" si="27"/>
        <v>6214300</v>
      </c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  <c r="IW78" s="36"/>
      <c r="IX78" s="36"/>
      <c r="IY78" s="36"/>
      <c r="IZ78" s="36"/>
      <c r="JA78" s="36"/>
      <c r="JB78" s="36"/>
      <c r="JC78" s="36"/>
      <c r="JD78" s="36"/>
      <c r="JE78" s="36"/>
      <c r="JF78" s="36"/>
      <c r="JG78" s="36"/>
      <c r="JH78" s="36"/>
      <c r="JI78" s="36"/>
      <c r="JJ78" s="36"/>
      <c r="JK78" s="36"/>
      <c r="JL78" s="36"/>
      <c r="JM78" s="36"/>
      <c r="JN78" s="36"/>
      <c r="JO78" s="36"/>
      <c r="JP78" s="36"/>
      <c r="JQ78" s="36"/>
      <c r="JR78" s="36"/>
      <c r="JS78" s="36"/>
      <c r="JT78" s="36"/>
      <c r="JU78" s="36"/>
      <c r="JV78" s="36"/>
      <c r="JW78" s="36"/>
      <c r="JX78" s="36"/>
      <c r="JY78" s="36"/>
      <c r="JZ78" s="36"/>
      <c r="KA78" s="36"/>
      <c r="KB78" s="36"/>
      <c r="KC78" s="36"/>
      <c r="KD78" s="36"/>
      <c r="KE78" s="36"/>
      <c r="KF78" s="36"/>
      <c r="KG78" s="36"/>
      <c r="KH78" s="36"/>
      <c r="KI78" s="36"/>
      <c r="KJ78" s="36"/>
      <c r="KK78" s="36"/>
      <c r="KL78" s="36"/>
      <c r="KM78" s="36"/>
      <c r="KN78" s="36"/>
      <c r="KO78" s="36"/>
      <c r="KP78" s="36"/>
      <c r="KQ78" s="36"/>
      <c r="KR78" s="36"/>
      <c r="KS78" s="36"/>
      <c r="KT78" s="36"/>
      <c r="KU78" s="36"/>
      <c r="KV78" s="36"/>
      <c r="KW78" s="36"/>
      <c r="KX78" s="36"/>
      <c r="KY78" s="36"/>
      <c r="KZ78" s="36"/>
      <c r="LA78" s="36"/>
      <c r="LB78" s="36"/>
      <c r="LC78" s="36"/>
      <c r="LD78" s="36"/>
      <c r="LE78" s="36"/>
      <c r="LF78" s="36"/>
      <c r="LG78" s="36"/>
      <c r="LH78" s="36"/>
      <c r="LI78" s="36"/>
      <c r="LJ78" s="36"/>
      <c r="LK78" s="36"/>
      <c r="LL78" s="36"/>
      <c r="LM78" s="36"/>
      <c r="LN78" s="36"/>
      <c r="LO78" s="36"/>
      <c r="LP78" s="36"/>
      <c r="LQ78" s="36"/>
      <c r="LR78" s="36"/>
      <c r="LS78" s="36"/>
      <c r="LT78" s="36"/>
      <c r="LU78" s="36"/>
      <c r="LV78" s="36"/>
      <c r="LW78" s="36"/>
      <c r="LX78" s="36"/>
      <c r="LY78" s="36"/>
      <c r="LZ78" s="36"/>
      <c r="MA78" s="36"/>
      <c r="MB78" s="36"/>
      <c r="MC78" s="36"/>
      <c r="MD78" s="36"/>
      <c r="ME78" s="36"/>
      <c r="MF78" s="36"/>
      <c r="MG78" s="36"/>
      <c r="MH78" s="36"/>
      <c r="MI78" s="36"/>
      <c r="MJ78" s="36"/>
      <c r="MK78" s="36"/>
      <c r="ML78" s="36"/>
      <c r="MM78" s="36"/>
      <c r="MN78" s="36"/>
      <c r="MO78" s="36"/>
      <c r="MP78" s="36"/>
      <c r="MQ78" s="36"/>
      <c r="MR78" s="36"/>
      <c r="MS78" s="36"/>
      <c r="MT78" s="36"/>
      <c r="MU78" s="36"/>
      <c r="MV78" s="36"/>
      <c r="MW78" s="36"/>
      <c r="MX78" s="36"/>
      <c r="MY78" s="36"/>
      <c r="MZ78" s="36"/>
      <c r="NA78" s="36"/>
      <c r="NB78" s="36"/>
      <c r="NC78" s="36"/>
      <c r="ND78" s="36"/>
      <c r="NE78" s="36"/>
      <c r="NF78" s="36"/>
      <c r="NG78" s="36"/>
      <c r="NH78" s="36"/>
      <c r="NI78" s="36"/>
      <c r="NJ78" s="36"/>
      <c r="NK78" s="36"/>
      <c r="NL78" s="36"/>
      <c r="NM78" s="36"/>
      <c r="NN78" s="36"/>
      <c r="NO78" s="36"/>
      <c r="NP78" s="36"/>
      <c r="NQ78" s="36"/>
      <c r="NR78" s="36"/>
      <c r="NS78" s="36"/>
      <c r="NT78" s="36"/>
      <c r="NU78" s="36"/>
      <c r="NV78" s="36"/>
      <c r="NW78" s="36"/>
      <c r="NX78" s="36"/>
      <c r="NY78" s="36"/>
      <c r="NZ78" s="36"/>
      <c r="OA78" s="36"/>
      <c r="OB78" s="36"/>
      <c r="OC78" s="36"/>
      <c r="OD78" s="36"/>
      <c r="OE78" s="36"/>
      <c r="OF78" s="36"/>
      <c r="OG78" s="36"/>
      <c r="OH78" s="36"/>
      <c r="OI78" s="36"/>
      <c r="OJ78" s="36"/>
      <c r="OK78" s="36"/>
      <c r="OL78" s="36"/>
      <c r="OM78" s="36"/>
      <c r="ON78" s="36"/>
      <c r="OO78" s="36"/>
      <c r="OP78" s="36"/>
      <c r="OQ78" s="36"/>
      <c r="OR78" s="36"/>
      <c r="OS78" s="36"/>
      <c r="OT78" s="36"/>
      <c r="OU78" s="36"/>
      <c r="OV78" s="36"/>
      <c r="OW78" s="36"/>
      <c r="OX78" s="36"/>
      <c r="OY78" s="36"/>
      <c r="OZ78" s="36"/>
      <c r="PA78" s="36"/>
      <c r="PB78" s="36"/>
      <c r="PC78" s="36"/>
      <c r="PD78" s="36"/>
      <c r="PE78" s="36"/>
      <c r="PF78" s="36"/>
      <c r="PG78" s="36"/>
      <c r="PH78" s="36"/>
      <c r="PI78" s="36"/>
      <c r="PJ78" s="36"/>
      <c r="PK78" s="36"/>
      <c r="PL78" s="36"/>
      <c r="PM78" s="36"/>
      <c r="PN78" s="36"/>
      <c r="PO78" s="36"/>
      <c r="PP78" s="36"/>
      <c r="PQ78" s="36"/>
      <c r="PR78" s="36"/>
      <c r="PS78" s="36"/>
      <c r="PT78" s="36"/>
      <c r="PU78" s="36"/>
      <c r="PV78" s="36"/>
      <c r="PW78" s="36"/>
      <c r="PX78" s="36"/>
      <c r="PY78" s="36"/>
      <c r="PZ78" s="36"/>
      <c r="QA78" s="36"/>
      <c r="QB78" s="36"/>
      <c r="QC78" s="36"/>
      <c r="QD78" s="36"/>
      <c r="QE78" s="36"/>
      <c r="QF78" s="36"/>
      <c r="QG78" s="36"/>
      <c r="QH78" s="36"/>
      <c r="QI78" s="36"/>
      <c r="QJ78" s="36"/>
      <c r="QK78" s="36"/>
      <c r="QL78" s="36"/>
      <c r="QM78" s="36"/>
      <c r="QN78" s="36"/>
      <c r="QO78" s="36"/>
      <c r="QP78" s="36"/>
      <c r="QQ78" s="36"/>
      <c r="QR78" s="36"/>
      <c r="QS78" s="36"/>
      <c r="QT78" s="36"/>
      <c r="QU78" s="36"/>
      <c r="QV78" s="36"/>
      <c r="QW78" s="36"/>
      <c r="QX78" s="36"/>
      <c r="QY78" s="36"/>
      <c r="QZ78" s="36"/>
      <c r="RA78" s="36"/>
      <c r="RB78" s="36"/>
      <c r="RC78" s="36"/>
      <c r="RD78" s="36"/>
      <c r="RE78" s="36"/>
      <c r="RF78" s="36"/>
      <c r="RG78" s="36"/>
      <c r="RH78" s="36"/>
      <c r="RI78" s="36"/>
      <c r="RJ78" s="36"/>
      <c r="RK78" s="36"/>
      <c r="RL78" s="36"/>
      <c r="RM78" s="36"/>
      <c r="RN78" s="36"/>
      <c r="RO78" s="36"/>
      <c r="RP78" s="36"/>
      <c r="RQ78" s="36"/>
      <c r="RR78" s="36"/>
      <c r="RS78" s="36"/>
      <c r="RT78" s="36"/>
      <c r="RU78" s="36"/>
      <c r="RV78" s="36"/>
      <c r="RW78" s="36"/>
      <c r="RX78" s="36"/>
      <c r="RY78" s="36"/>
      <c r="RZ78" s="36"/>
      <c r="SA78" s="36"/>
      <c r="SB78" s="36"/>
      <c r="SC78" s="36"/>
      <c r="SD78" s="36"/>
      <c r="SE78" s="36"/>
      <c r="SF78" s="36"/>
      <c r="SG78" s="36"/>
      <c r="SH78" s="36"/>
      <c r="SI78" s="36"/>
      <c r="SJ78" s="36"/>
      <c r="SK78" s="36"/>
      <c r="SL78" s="36"/>
      <c r="SM78" s="36"/>
      <c r="SN78" s="36"/>
      <c r="SO78" s="36"/>
      <c r="SP78" s="36"/>
      <c r="SQ78" s="36"/>
      <c r="SR78" s="36"/>
      <c r="SS78" s="36"/>
      <c r="ST78" s="36"/>
      <c r="SU78" s="36"/>
      <c r="SV78" s="36"/>
      <c r="SW78" s="36"/>
      <c r="SX78" s="36"/>
      <c r="SY78" s="36"/>
      <c r="SZ78" s="36"/>
      <c r="TA78" s="36"/>
      <c r="TB78" s="36"/>
      <c r="TC78" s="36"/>
      <c r="TD78" s="36"/>
      <c r="TE78" s="36"/>
      <c r="TF78" s="36"/>
      <c r="TG78" s="36"/>
      <c r="TH78" s="36"/>
      <c r="TI78" s="36"/>
    </row>
    <row r="79" spans="1:529" s="27" customFormat="1" ht="60" x14ac:dyDescent="0.25">
      <c r="A79" s="145"/>
      <c r="B79" s="146"/>
      <c r="C79" s="146"/>
      <c r="D79" s="143" t="s">
        <v>449</v>
      </c>
      <c r="E79" s="144">
        <f t="shared" si="26"/>
        <v>25839</v>
      </c>
      <c r="F79" s="144">
        <v>25839</v>
      </c>
      <c r="G79" s="144"/>
      <c r="H79" s="144"/>
      <c r="I79" s="144"/>
      <c r="J79" s="144">
        <f t="shared" si="28"/>
        <v>21229</v>
      </c>
      <c r="K79" s="144">
        <v>21229</v>
      </c>
      <c r="L79" s="144"/>
      <c r="M79" s="144"/>
      <c r="N79" s="144"/>
      <c r="O79" s="144">
        <v>21229</v>
      </c>
      <c r="P79" s="144">
        <f t="shared" si="27"/>
        <v>47068</v>
      </c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  <c r="IW79" s="36"/>
      <c r="IX79" s="36"/>
      <c r="IY79" s="36"/>
      <c r="IZ79" s="36"/>
      <c r="JA79" s="36"/>
      <c r="JB79" s="36"/>
      <c r="JC79" s="36"/>
      <c r="JD79" s="36"/>
      <c r="JE79" s="36"/>
      <c r="JF79" s="36"/>
      <c r="JG79" s="36"/>
      <c r="JH79" s="36"/>
      <c r="JI79" s="36"/>
      <c r="JJ79" s="36"/>
      <c r="JK79" s="36"/>
      <c r="JL79" s="36"/>
      <c r="JM79" s="36"/>
      <c r="JN79" s="36"/>
      <c r="JO79" s="36"/>
      <c r="JP79" s="36"/>
      <c r="JQ79" s="36"/>
      <c r="JR79" s="36"/>
      <c r="JS79" s="36"/>
      <c r="JT79" s="36"/>
      <c r="JU79" s="36"/>
      <c r="JV79" s="36"/>
      <c r="JW79" s="36"/>
      <c r="JX79" s="36"/>
      <c r="JY79" s="36"/>
      <c r="JZ79" s="36"/>
      <c r="KA79" s="36"/>
      <c r="KB79" s="36"/>
      <c r="KC79" s="36"/>
      <c r="KD79" s="36"/>
      <c r="KE79" s="36"/>
      <c r="KF79" s="36"/>
      <c r="KG79" s="36"/>
      <c r="KH79" s="36"/>
      <c r="KI79" s="36"/>
      <c r="KJ79" s="36"/>
      <c r="KK79" s="36"/>
      <c r="KL79" s="36"/>
      <c r="KM79" s="36"/>
      <c r="KN79" s="36"/>
      <c r="KO79" s="36"/>
      <c r="KP79" s="36"/>
      <c r="KQ79" s="36"/>
      <c r="KR79" s="36"/>
      <c r="KS79" s="36"/>
      <c r="KT79" s="36"/>
      <c r="KU79" s="36"/>
      <c r="KV79" s="36"/>
      <c r="KW79" s="36"/>
      <c r="KX79" s="36"/>
      <c r="KY79" s="36"/>
      <c r="KZ79" s="36"/>
      <c r="LA79" s="36"/>
      <c r="LB79" s="36"/>
      <c r="LC79" s="36"/>
      <c r="LD79" s="36"/>
      <c r="LE79" s="36"/>
      <c r="LF79" s="36"/>
      <c r="LG79" s="36"/>
      <c r="LH79" s="36"/>
      <c r="LI79" s="36"/>
      <c r="LJ79" s="36"/>
      <c r="LK79" s="36"/>
      <c r="LL79" s="36"/>
      <c r="LM79" s="36"/>
      <c r="LN79" s="36"/>
      <c r="LO79" s="36"/>
      <c r="LP79" s="36"/>
      <c r="LQ79" s="36"/>
      <c r="LR79" s="36"/>
      <c r="LS79" s="36"/>
      <c r="LT79" s="36"/>
      <c r="LU79" s="36"/>
      <c r="LV79" s="36"/>
      <c r="LW79" s="36"/>
      <c r="LX79" s="36"/>
      <c r="LY79" s="36"/>
      <c r="LZ79" s="36"/>
      <c r="MA79" s="36"/>
      <c r="MB79" s="36"/>
      <c r="MC79" s="36"/>
      <c r="MD79" s="36"/>
      <c r="ME79" s="36"/>
      <c r="MF79" s="36"/>
      <c r="MG79" s="36"/>
      <c r="MH79" s="36"/>
      <c r="MI79" s="36"/>
      <c r="MJ79" s="36"/>
      <c r="MK79" s="36"/>
      <c r="ML79" s="36"/>
      <c r="MM79" s="36"/>
      <c r="MN79" s="36"/>
      <c r="MO79" s="36"/>
      <c r="MP79" s="36"/>
      <c r="MQ79" s="36"/>
      <c r="MR79" s="36"/>
      <c r="MS79" s="36"/>
      <c r="MT79" s="36"/>
      <c r="MU79" s="36"/>
      <c r="MV79" s="36"/>
      <c r="MW79" s="36"/>
      <c r="MX79" s="36"/>
      <c r="MY79" s="36"/>
      <c r="MZ79" s="36"/>
      <c r="NA79" s="36"/>
      <c r="NB79" s="36"/>
      <c r="NC79" s="36"/>
      <c r="ND79" s="36"/>
      <c r="NE79" s="36"/>
      <c r="NF79" s="36"/>
      <c r="NG79" s="36"/>
      <c r="NH79" s="36"/>
      <c r="NI79" s="36"/>
      <c r="NJ79" s="36"/>
      <c r="NK79" s="36"/>
      <c r="NL79" s="36"/>
      <c r="NM79" s="36"/>
      <c r="NN79" s="36"/>
      <c r="NO79" s="36"/>
      <c r="NP79" s="36"/>
      <c r="NQ79" s="36"/>
      <c r="NR79" s="36"/>
      <c r="NS79" s="36"/>
      <c r="NT79" s="36"/>
      <c r="NU79" s="36"/>
      <c r="NV79" s="36"/>
      <c r="NW79" s="36"/>
      <c r="NX79" s="36"/>
      <c r="NY79" s="36"/>
      <c r="NZ79" s="36"/>
      <c r="OA79" s="36"/>
      <c r="OB79" s="36"/>
      <c r="OC79" s="36"/>
      <c r="OD79" s="36"/>
      <c r="OE79" s="36"/>
      <c r="OF79" s="36"/>
      <c r="OG79" s="36"/>
      <c r="OH79" s="36"/>
      <c r="OI79" s="36"/>
      <c r="OJ79" s="36"/>
      <c r="OK79" s="36"/>
      <c r="OL79" s="36"/>
      <c r="OM79" s="36"/>
      <c r="ON79" s="36"/>
      <c r="OO79" s="36"/>
      <c r="OP79" s="36"/>
      <c r="OQ79" s="36"/>
      <c r="OR79" s="36"/>
      <c r="OS79" s="36"/>
      <c r="OT79" s="36"/>
      <c r="OU79" s="36"/>
      <c r="OV79" s="36"/>
      <c r="OW79" s="36"/>
      <c r="OX79" s="36"/>
      <c r="OY79" s="36"/>
      <c r="OZ79" s="36"/>
      <c r="PA79" s="36"/>
      <c r="PB79" s="36"/>
      <c r="PC79" s="36"/>
      <c r="PD79" s="36"/>
      <c r="PE79" s="36"/>
      <c r="PF79" s="36"/>
      <c r="PG79" s="36"/>
      <c r="PH79" s="36"/>
      <c r="PI79" s="36"/>
      <c r="PJ79" s="36"/>
      <c r="PK79" s="36"/>
      <c r="PL79" s="36"/>
      <c r="PM79" s="36"/>
      <c r="PN79" s="36"/>
      <c r="PO79" s="36"/>
      <c r="PP79" s="36"/>
      <c r="PQ79" s="36"/>
      <c r="PR79" s="36"/>
      <c r="PS79" s="36"/>
      <c r="PT79" s="36"/>
      <c r="PU79" s="36"/>
      <c r="PV79" s="36"/>
      <c r="PW79" s="36"/>
      <c r="PX79" s="36"/>
      <c r="PY79" s="36"/>
      <c r="PZ79" s="36"/>
      <c r="QA79" s="36"/>
      <c r="QB79" s="36"/>
      <c r="QC79" s="36"/>
      <c r="QD79" s="36"/>
      <c r="QE79" s="36"/>
      <c r="QF79" s="36"/>
      <c r="QG79" s="36"/>
      <c r="QH79" s="36"/>
      <c r="QI79" s="36"/>
      <c r="QJ79" s="36"/>
      <c r="QK79" s="36"/>
      <c r="QL79" s="36"/>
      <c r="QM79" s="36"/>
      <c r="QN79" s="36"/>
      <c r="QO79" s="36"/>
      <c r="QP79" s="36"/>
      <c r="QQ79" s="36"/>
      <c r="QR79" s="36"/>
      <c r="QS79" s="36"/>
      <c r="QT79" s="36"/>
      <c r="QU79" s="36"/>
      <c r="QV79" s="36"/>
      <c r="QW79" s="36"/>
      <c r="QX79" s="36"/>
      <c r="QY79" s="36"/>
      <c r="QZ79" s="36"/>
      <c r="RA79" s="36"/>
      <c r="RB79" s="36"/>
      <c r="RC79" s="36"/>
      <c r="RD79" s="36"/>
      <c r="RE79" s="36"/>
      <c r="RF79" s="36"/>
      <c r="RG79" s="36"/>
      <c r="RH79" s="36"/>
      <c r="RI79" s="36"/>
      <c r="RJ79" s="36"/>
      <c r="RK79" s="36"/>
      <c r="RL79" s="36"/>
      <c r="RM79" s="36"/>
      <c r="RN79" s="36"/>
      <c r="RO79" s="36"/>
      <c r="RP79" s="36"/>
      <c r="RQ79" s="36"/>
      <c r="RR79" s="36"/>
      <c r="RS79" s="36"/>
      <c r="RT79" s="36"/>
      <c r="RU79" s="36"/>
      <c r="RV79" s="36"/>
      <c r="RW79" s="36"/>
      <c r="RX79" s="36"/>
      <c r="RY79" s="36"/>
      <c r="RZ79" s="36"/>
      <c r="SA79" s="36"/>
      <c r="SB79" s="36"/>
      <c r="SC79" s="36"/>
      <c r="SD79" s="36"/>
      <c r="SE79" s="36"/>
      <c r="SF79" s="36"/>
      <c r="SG79" s="36"/>
      <c r="SH79" s="36"/>
      <c r="SI79" s="36"/>
      <c r="SJ79" s="36"/>
      <c r="SK79" s="36"/>
      <c r="SL79" s="36"/>
      <c r="SM79" s="36"/>
      <c r="SN79" s="36"/>
      <c r="SO79" s="36"/>
      <c r="SP79" s="36"/>
      <c r="SQ79" s="36"/>
      <c r="SR79" s="36"/>
      <c r="SS79" s="36"/>
      <c r="ST79" s="36"/>
      <c r="SU79" s="36"/>
      <c r="SV79" s="36"/>
      <c r="SW79" s="36"/>
      <c r="SX79" s="36"/>
      <c r="SY79" s="36"/>
      <c r="SZ79" s="36"/>
      <c r="TA79" s="36"/>
      <c r="TB79" s="36"/>
      <c r="TC79" s="36"/>
      <c r="TD79" s="36"/>
      <c r="TE79" s="36"/>
      <c r="TF79" s="36"/>
      <c r="TG79" s="36"/>
      <c r="TH79" s="36"/>
      <c r="TI79" s="36"/>
    </row>
    <row r="80" spans="1:529" s="23" customFormat="1" ht="32.25" customHeight="1" x14ac:dyDescent="0.25">
      <c r="A80" s="43" t="s">
        <v>243</v>
      </c>
      <c r="B80" s="44" t="str">
        <f>'дод 4'!A42</f>
        <v>1090</v>
      </c>
      <c r="C80" s="44" t="str">
        <f>'дод 4'!B42</f>
        <v>0960</v>
      </c>
      <c r="D80" s="24" t="str">
        <f>'дод 4'!C42</f>
        <v>Надання позашкільної освіти закладами позашкільної освіти, заходи із позашкільної роботи з дітьми</v>
      </c>
      <c r="E80" s="66">
        <f t="shared" si="26"/>
        <v>27758440</v>
      </c>
      <c r="F80" s="66">
        <f>27792840+230600+25000-380000+90000</f>
        <v>27758440</v>
      </c>
      <c r="G80" s="66">
        <v>19715700</v>
      </c>
      <c r="H80" s="66">
        <f>3358190-380000</f>
        <v>2978190</v>
      </c>
      <c r="I80" s="66">
        <v>0</v>
      </c>
      <c r="J80" s="66">
        <f t="shared" si="28"/>
        <v>15000</v>
      </c>
      <c r="K80" s="66">
        <f>300000-300000+15000</f>
        <v>15000</v>
      </c>
      <c r="L80" s="66"/>
      <c r="M80" s="66"/>
      <c r="N80" s="66"/>
      <c r="O80" s="66">
        <f>300000-300000+15000</f>
        <v>15000</v>
      </c>
      <c r="P80" s="66">
        <f t="shared" si="27"/>
        <v>27773440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  <c r="IW80" s="26"/>
      <c r="IX80" s="26"/>
      <c r="IY80" s="26"/>
      <c r="IZ80" s="26"/>
      <c r="JA80" s="26"/>
      <c r="JB80" s="26"/>
      <c r="JC80" s="26"/>
      <c r="JD80" s="26"/>
      <c r="JE80" s="26"/>
      <c r="JF80" s="26"/>
      <c r="JG80" s="26"/>
      <c r="JH80" s="26"/>
      <c r="JI80" s="26"/>
      <c r="JJ80" s="26"/>
      <c r="JK80" s="26"/>
      <c r="JL80" s="26"/>
      <c r="JM80" s="26"/>
      <c r="JN80" s="26"/>
      <c r="JO80" s="26"/>
      <c r="JP80" s="26"/>
      <c r="JQ80" s="26"/>
      <c r="JR80" s="26"/>
      <c r="JS80" s="26"/>
      <c r="JT80" s="26"/>
      <c r="JU80" s="26"/>
      <c r="JV80" s="26"/>
      <c r="JW80" s="26"/>
      <c r="JX80" s="26"/>
      <c r="JY80" s="26"/>
      <c r="JZ80" s="26"/>
      <c r="KA80" s="26"/>
      <c r="KB80" s="26"/>
      <c r="KC80" s="26"/>
      <c r="KD80" s="26"/>
      <c r="KE80" s="26"/>
      <c r="KF80" s="26"/>
      <c r="KG80" s="26"/>
      <c r="KH80" s="26"/>
      <c r="KI80" s="26"/>
      <c r="KJ80" s="26"/>
      <c r="KK80" s="26"/>
      <c r="KL80" s="26"/>
      <c r="KM80" s="26"/>
      <c r="KN80" s="26"/>
      <c r="KO80" s="26"/>
      <c r="KP80" s="26"/>
      <c r="KQ80" s="26"/>
      <c r="KR80" s="26"/>
      <c r="KS80" s="26"/>
      <c r="KT80" s="26"/>
      <c r="KU80" s="26"/>
      <c r="KV80" s="26"/>
      <c r="KW80" s="26"/>
      <c r="KX80" s="26"/>
      <c r="KY80" s="26"/>
      <c r="KZ80" s="26"/>
      <c r="LA80" s="26"/>
      <c r="LB80" s="26"/>
      <c r="LC80" s="26"/>
      <c r="LD80" s="26"/>
      <c r="LE80" s="26"/>
      <c r="LF80" s="26"/>
      <c r="LG80" s="26"/>
      <c r="LH80" s="26"/>
      <c r="LI80" s="26"/>
      <c r="LJ80" s="26"/>
      <c r="LK80" s="26"/>
      <c r="LL80" s="26"/>
      <c r="LM80" s="26"/>
      <c r="LN80" s="26"/>
      <c r="LO80" s="26"/>
      <c r="LP80" s="26"/>
      <c r="LQ80" s="26"/>
      <c r="LR80" s="26"/>
      <c r="LS80" s="26"/>
      <c r="LT80" s="26"/>
      <c r="LU80" s="26"/>
      <c r="LV80" s="26"/>
      <c r="LW80" s="26"/>
      <c r="LX80" s="26"/>
      <c r="LY80" s="26"/>
      <c r="LZ80" s="26"/>
      <c r="MA80" s="26"/>
      <c r="MB80" s="26"/>
      <c r="MC80" s="26"/>
      <c r="MD80" s="26"/>
      <c r="ME80" s="26"/>
      <c r="MF80" s="26"/>
      <c r="MG80" s="26"/>
      <c r="MH80" s="26"/>
      <c r="MI80" s="26"/>
      <c r="MJ80" s="26"/>
      <c r="MK80" s="26"/>
      <c r="ML80" s="26"/>
      <c r="MM80" s="26"/>
      <c r="MN80" s="26"/>
      <c r="MO80" s="26"/>
      <c r="MP80" s="26"/>
      <c r="MQ80" s="26"/>
      <c r="MR80" s="26"/>
      <c r="MS80" s="26"/>
      <c r="MT80" s="26"/>
      <c r="MU80" s="26"/>
      <c r="MV80" s="26"/>
      <c r="MW80" s="26"/>
      <c r="MX80" s="26"/>
      <c r="MY80" s="26"/>
      <c r="MZ80" s="26"/>
      <c r="NA80" s="26"/>
      <c r="NB80" s="26"/>
      <c r="NC80" s="26"/>
      <c r="ND80" s="26"/>
      <c r="NE80" s="26"/>
      <c r="NF80" s="26"/>
      <c r="NG80" s="26"/>
      <c r="NH80" s="26"/>
      <c r="NI80" s="26"/>
      <c r="NJ80" s="26"/>
      <c r="NK80" s="26"/>
      <c r="NL80" s="26"/>
      <c r="NM80" s="26"/>
      <c r="NN80" s="26"/>
      <c r="NO80" s="26"/>
      <c r="NP80" s="26"/>
      <c r="NQ80" s="26"/>
      <c r="NR80" s="26"/>
      <c r="NS80" s="26"/>
      <c r="NT80" s="26"/>
      <c r="NU80" s="26"/>
      <c r="NV80" s="26"/>
      <c r="NW80" s="26"/>
      <c r="NX80" s="26"/>
      <c r="NY80" s="26"/>
      <c r="NZ80" s="26"/>
      <c r="OA80" s="26"/>
      <c r="OB80" s="26"/>
      <c r="OC80" s="26"/>
      <c r="OD80" s="26"/>
      <c r="OE80" s="26"/>
      <c r="OF80" s="26"/>
      <c r="OG80" s="26"/>
      <c r="OH80" s="26"/>
      <c r="OI80" s="26"/>
      <c r="OJ80" s="26"/>
      <c r="OK80" s="26"/>
      <c r="OL80" s="26"/>
      <c r="OM80" s="26"/>
      <c r="ON80" s="26"/>
      <c r="OO80" s="26"/>
      <c r="OP80" s="26"/>
      <c r="OQ80" s="26"/>
      <c r="OR80" s="26"/>
      <c r="OS80" s="26"/>
      <c r="OT80" s="26"/>
      <c r="OU80" s="26"/>
      <c r="OV80" s="26"/>
      <c r="OW80" s="26"/>
      <c r="OX80" s="26"/>
      <c r="OY80" s="26"/>
      <c r="OZ80" s="26"/>
      <c r="PA80" s="26"/>
      <c r="PB80" s="26"/>
      <c r="PC80" s="26"/>
      <c r="PD80" s="26"/>
      <c r="PE80" s="26"/>
      <c r="PF80" s="26"/>
      <c r="PG80" s="26"/>
      <c r="PH80" s="26"/>
      <c r="PI80" s="26"/>
      <c r="PJ80" s="26"/>
      <c r="PK80" s="26"/>
      <c r="PL80" s="26"/>
      <c r="PM80" s="26"/>
      <c r="PN80" s="26"/>
      <c r="PO80" s="26"/>
      <c r="PP80" s="26"/>
      <c r="PQ80" s="26"/>
      <c r="PR80" s="26"/>
      <c r="PS80" s="26"/>
      <c r="PT80" s="26"/>
      <c r="PU80" s="26"/>
      <c r="PV80" s="26"/>
      <c r="PW80" s="26"/>
      <c r="PX80" s="26"/>
      <c r="PY80" s="26"/>
      <c r="PZ80" s="26"/>
      <c r="QA80" s="26"/>
      <c r="QB80" s="26"/>
      <c r="QC80" s="26"/>
      <c r="QD80" s="26"/>
      <c r="QE80" s="26"/>
      <c r="QF80" s="26"/>
      <c r="QG80" s="26"/>
      <c r="QH80" s="26"/>
      <c r="QI80" s="26"/>
      <c r="QJ80" s="26"/>
      <c r="QK80" s="26"/>
      <c r="QL80" s="26"/>
      <c r="QM80" s="26"/>
      <c r="QN80" s="26"/>
      <c r="QO80" s="26"/>
      <c r="QP80" s="26"/>
      <c r="QQ80" s="26"/>
      <c r="QR80" s="26"/>
      <c r="QS80" s="26"/>
      <c r="QT80" s="26"/>
      <c r="QU80" s="26"/>
      <c r="QV80" s="26"/>
      <c r="QW80" s="26"/>
      <c r="QX80" s="26"/>
      <c r="QY80" s="26"/>
      <c r="QZ80" s="26"/>
      <c r="RA80" s="26"/>
      <c r="RB80" s="26"/>
      <c r="RC80" s="26"/>
      <c r="RD80" s="26"/>
      <c r="RE80" s="26"/>
      <c r="RF80" s="26"/>
      <c r="RG80" s="26"/>
      <c r="RH80" s="26"/>
      <c r="RI80" s="26"/>
      <c r="RJ80" s="26"/>
      <c r="RK80" s="26"/>
      <c r="RL80" s="26"/>
      <c r="RM80" s="26"/>
      <c r="RN80" s="26"/>
      <c r="RO80" s="26"/>
      <c r="RP80" s="26"/>
      <c r="RQ80" s="26"/>
      <c r="RR80" s="26"/>
      <c r="RS80" s="26"/>
      <c r="RT80" s="26"/>
      <c r="RU80" s="26"/>
      <c r="RV80" s="26"/>
      <c r="RW80" s="26"/>
      <c r="RX80" s="26"/>
      <c r="RY80" s="26"/>
      <c r="RZ80" s="26"/>
      <c r="SA80" s="26"/>
      <c r="SB80" s="26"/>
      <c r="SC80" s="26"/>
      <c r="SD80" s="26"/>
      <c r="SE80" s="26"/>
      <c r="SF80" s="26"/>
      <c r="SG80" s="26"/>
      <c r="SH80" s="26"/>
      <c r="SI80" s="26"/>
      <c r="SJ80" s="26"/>
      <c r="SK80" s="26"/>
      <c r="SL80" s="26"/>
      <c r="SM80" s="26"/>
      <c r="SN80" s="26"/>
      <c r="SO80" s="26"/>
      <c r="SP80" s="26"/>
      <c r="SQ80" s="26"/>
      <c r="SR80" s="26"/>
      <c r="SS80" s="26"/>
      <c r="ST80" s="26"/>
      <c r="SU80" s="26"/>
      <c r="SV80" s="26"/>
      <c r="SW80" s="26"/>
      <c r="SX80" s="26"/>
      <c r="SY80" s="26"/>
      <c r="SZ80" s="26"/>
      <c r="TA80" s="26"/>
      <c r="TB80" s="26"/>
      <c r="TC80" s="26"/>
      <c r="TD80" s="26"/>
      <c r="TE80" s="26"/>
      <c r="TF80" s="26"/>
      <c r="TG80" s="26"/>
      <c r="TH80" s="26"/>
      <c r="TI80" s="26"/>
    </row>
    <row r="81" spans="1:529" s="23" customFormat="1" ht="43.5" customHeight="1" x14ac:dyDescent="0.25">
      <c r="A81" s="43" t="s">
        <v>242</v>
      </c>
      <c r="B81" s="44" t="str">
        <f>'дод 4'!A44</f>
        <v>1110</v>
      </c>
      <c r="C81" s="44" t="str">
        <f>'дод 4'!B44</f>
        <v>0930</v>
      </c>
      <c r="D81" s="24" t="str">
        <f>'дод 4'!C44</f>
        <v>Підготовка кадрів закладами професійної (професійно-технічної) освіти та іншими закладами освіти, у т.ч. за рахунок:</v>
      </c>
      <c r="E81" s="66">
        <f t="shared" si="26"/>
        <v>90228846</v>
      </c>
      <c r="F81" s="66">
        <f>116310900-341000+217000+621000+200000-850000-2040100-25815954+1927000</f>
        <v>90228846</v>
      </c>
      <c r="G81" s="66">
        <f>69744500-16628791</f>
        <v>53115709</v>
      </c>
      <c r="H81" s="66">
        <f>11348217-341000-2040100-1469012</f>
        <v>7498105</v>
      </c>
      <c r="I81" s="66"/>
      <c r="J81" s="66">
        <f t="shared" si="28"/>
        <v>8383105</v>
      </c>
      <c r="K81" s="66">
        <v>304000</v>
      </c>
      <c r="L81" s="66">
        <v>7974105</v>
      </c>
      <c r="M81" s="66">
        <v>2495573</v>
      </c>
      <c r="N81" s="66">
        <v>2976862</v>
      </c>
      <c r="O81" s="66">
        <f>105000+304000</f>
        <v>409000</v>
      </c>
      <c r="P81" s="66">
        <f t="shared" si="27"/>
        <v>98611951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  <c r="JK81" s="26"/>
      <c r="JL81" s="26"/>
      <c r="JM81" s="26"/>
      <c r="JN81" s="26"/>
      <c r="JO81" s="26"/>
      <c r="JP81" s="26"/>
      <c r="JQ81" s="26"/>
      <c r="JR81" s="26"/>
      <c r="JS81" s="26"/>
      <c r="JT81" s="26"/>
      <c r="JU81" s="26"/>
      <c r="JV81" s="26"/>
      <c r="JW81" s="26"/>
      <c r="JX81" s="26"/>
      <c r="JY81" s="26"/>
      <c r="JZ81" s="26"/>
      <c r="KA81" s="26"/>
      <c r="KB81" s="26"/>
      <c r="KC81" s="26"/>
      <c r="KD81" s="26"/>
      <c r="KE81" s="26"/>
      <c r="KF81" s="26"/>
      <c r="KG81" s="26"/>
      <c r="KH81" s="26"/>
      <c r="KI81" s="26"/>
      <c r="KJ81" s="26"/>
      <c r="KK81" s="26"/>
      <c r="KL81" s="26"/>
      <c r="KM81" s="26"/>
      <c r="KN81" s="26"/>
      <c r="KO81" s="26"/>
      <c r="KP81" s="26"/>
      <c r="KQ81" s="26"/>
      <c r="KR81" s="26"/>
      <c r="KS81" s="26"/>
      <c r="KT81" s="26"/>
      <c r="KU81" s="26"/>
      <c r="KV81" s="26"/>
      <c r="KW81" s="26"/>
      <c r="KX81" s="26"/>
      <c r="KY81" s="26"/>
      <c r="KZ81" s="26"/>
      <c r="LA81" s="26"/>
      <c r="LB81" s="26"/>
      <c r="LC81" s="26"/>
      <c r="LD81" s="26"/>
      <c r="LE81" s="26"/>
      <c r="LF81" s="26"/>
      <c r="LG81" s="26"/>
      <c r="LH81" s="26"/>
      <c r="LI81" s="26"/>
      <c r="LJ81" s="26"/>
      <c r="LK81" s="26"/>
      <c r="LL81" s="26"/>
      <c r="LM81" s="26"/>
      <c r="LN81" s="26"/>
      <c r="LO81" s="26"/>
      <c r="LP81" s="26"/>
      <c r="LQ81" s="26"/>
      <c r="LR81" s="26"/>
      <c r="LS81" s="26"/>
      <c r="LT81" s="26"/>
      <c r="LU81" s="26"/>
      <c r="LV81" s="26"/>
      <c r="LW81" s="26"/>
      <c r="LX81" s="26"/>
      <c r="LY81" s="26"/>
      <c r="LZ81" s="26"/>
      <c r="MA81" s="26"/>
      <c r="MB81" s="26"/>
      <c r="MC81" s="26"/>
      <c r="MD81" s="26"/>
      <c r="ME81" s="26"/>
      <c r="MF81" s="26"/>
      <c r="MG81" s="26"/>
      <c r="MH81" s="26"/>
      <c r="MI81" s="26"/>
      <c r="MJ81" s="26"/>
      <c r="MK81" s="26"/>
      <c r="ML81" s="26"/>
      <c r="MM81" s="26"/>
      <c r="MN81" s="26"/>
      <c r="MO81" s="26"/>
      <c r="MP81" s="26"/>
      <c r="MQ81" s="26"/>
      <c r="MR81" s="26"/>
      <c r="MS81" s="26"/>
      <c r="MT81" s="26"/>
      <c r="MU81" s="26"/>
      <c r="MV81" s="26"/>
      <c r="MW81" s="26"/>
      <c r="MX81" s="26"/>
      <c r="MY81" s="26"/>
      <c r="MZ81" s="26"/>
      <c r="NA81" s="26"/>
      <c r="NB81" s="26"/>
      <c r="NC81" s="26"/>
      <c r="ND81" s="26"/>
      <c r="NE81" s="26"/>
      <c r="NF81" s="26"/>
      <c r="NG81" s="26"/>
      <c r="NH81" s="26"/>
      <c r="NI81" s="26"/>
      <c r="NJ81" s="26"/>
      <c r="NK81" s="26"/>
      <c r="NL81" s="26"/>
      <c r="NM81" s="26"/>
      <c r="NN81" s="26"/>
      <c r="NO81" s="26"/>
      <c r="NP81" s="26"/>
      <c r="NQ81" s="26"/>
      <c r="NR81" s="26"/>
      <c r="NS81" s="26"/>
      <c r="NT81" s="26"/>
      <c r="NU81" s="26"/>
      <c r="NV81" s="26"/>
      <c r="NW81" s="26"/>
      <c r="NX81" s="26"/>
      <c r="NY81" s="26"/>
      <c r="NZ81" s="26"/>
      <c r="OA81" s="26"/>
      <c r="OB81" s="26"/>
      <c r="OC81" s="26"/>
      <c r="OD81" s="26"/>
      <c r="OE81" s="26"/>
      <c r="OF81" s="26"/>
      <c r="OG81" s="26"/>
      <c r="OH81" s="26"/>
      <c r="OI81" s="26"/>
      <c r="OJ81" s="26"/>
      <c r="OK81" s="26"/>
      <c r="OL81" s="26"/>
      <c r="OM81" s="26"/>
      <c r="ON81" s="26"/>
      <c r="OO81" s="26"/>
      <c r="OP81" s="26"/>
      <c r="OQ81" s="26"/>
      <c r="OR81" s="26"/>
      <c r="OS81" s="26"/>
      <c r="OT81" s="26"/>
      <c r="OU81" s="26"/>
      <c r="OV81" s="26"/>
      <c r="OW81" s="26"/>
      <c r="OX81" s="26"/>
      <c r="OY81" s="26"/>
      <c r="OZ81" s="26"/>
      <c r="PA81" s="26"/>
      <c r="PB81" s="26"/>
      <c r="PC81" s="26"/>
      <c r="PD81" s="26"/>
      <c r="PE81" s="26"/>
      <c r="PF81" s="26"/>
      <c r="PG81" s="26"/>
      <c r="PH81" s="26"/>
      <c r="PI81" s="26"/>
      <c r="PJ81" s="26"/>
      <c r="PK81" s="26"/>
      <c r="PL81" s="26"/>
      <c r="PM81" s="26"/>
      <c r="PN81" s="26"/>
      <c r="PO81" s="26"/>
      <c r="PP81" s="26"/>
      <c r="PQ81" s="26"/>
      <c r="PR81" s="26"/>
      <c r="PS81" s="26"/>
      <c r="PT81" s="26"/>
      <c r="PU81" s="26"/>
      <c r="PV81" s="26"/>
      <c r="PW81" s="26"/>
      <c r="PX81" s="26"/>
      <c r="PY81" s="26"/>
      <c r="PZ81" s="26"/>
      <c r="QA81" s="26"/>
      <c r="QB81" s="26"/>
      <c r="QC81" s="26"/>
      <c r="QD81" s="26"/>
      <c r="QE81" s="26"/>
      <c r="QF81" s="26"/>
      <c r="QG81" s="26"/>
      <c r="QH81" s="26"/>
      <c r="QI81" s="26"/>
      <c r="QJ81" s="26"/>
      <c r="QK81" s="26"/>
      <c r="QL81" s="26"/>
      <c r="QM81" s="26"/>
      <c r="QN81" s="26"/>
      <c r="QO81" s="26"/>
      <c r="QP81" s="26"/>
      <c r="QQ81" s="26"/>
      <c r="QR81" s="26"/>
      <c r="QS81" s="26"/>
      <c r="QT81" s="26"/>
      <c r="QU81" s="26"/>
      <c r="QV81" s="26"/>
      <c r="QW81" s="26"/>
      <c r="QX81" s="26"/>
      <c r="QY81" s="26"/>
      <c r="QZ81" s="26"/>
      <c r="RA81" s="26"/>
      <c r="RB81" s="26"/>
      <c r="RC81" s="26"/>
      <c r="RD81" s="26"/>
      <c r="RE81" s="26"/>
      <c r="RF81" s="26"/>
      <c r="RG81" s="26"/>
      <c r="RH81" s="26"/>
      <c r="RI81" s="26"/>
      <c r="RJ81" s="26"/>
      <c r="RK81" s="26"/>
      <c r="RL81" s="26"/>
      <c r="RM81" s="26"/>
      <c r="RN81" s="26"/>
      <c r="RO81" s="26"/>
      <c r="RP81" s="26"/>
      <c r="RQ81" s="26"/>
      <c r="RR81" s="26"/>
      <c r="RS81" s="26"/>
      <c r="RT81" s="26"/>
      <c r="RU81" s="26"/>
      <c r="RV81" s="26"/>
      <c r="RW81" s="26"/>
      <c r="RX81" s="26"/>
      <c r="RY81" s="26"/>
      <c r="RZ81" s="26"/>
      <c r="SA81" s="26"/>
      <c r="SB81" s="26"/>
      <c r="SC81" s="26"/>
      <c r="SD81" s="26"/>
      <c r="SE81" s="26"/>
      <c r="SF81" s="26"/>
      <c r="SG81" s="26"/>
      <c r="SH81" s="26"/>
      <c r="SI81" s="26"/>
      <c r="SJ81" s="26"/>
      <c r="SK81" s="26"/>
      <c r="SL81" s="26"/>
      <c r="SM81" s="26"/>
      <c r="SN81" s="26"/>
      <c r="SO81" s="26"/>
      <c r="SP81" s="26"/>
      <c r="SQ81" s="26"/>
      <c r="SR81" s="26"/>
      <c r="SS81" s="26"/>
      <c r="ST81" s="26"/>
      <c r="SU81" s="26"/>
      <c r="SV81" s="26"/>
      <c r="SW81" s="26"/>
      <c r="SX81" s="26"/>
      <c r="SY81" s="26"/>
      <c r="SZ81" s="26"/>
      <c r="TA81" s="26"/>
      <c r="TB81" s="26"/>
      <c r="TC81" s="26"/>
      <c r="TD81" s="26"/>
      <c r="TE81" s="26"/>
      <c r="TF81" s="26"/>
      <c r="TG81" s="26"/>
      <c r="TH81" s="26"/>
      <c r="TI81" s="26"/>
    </row>
    <row r="82" spans="1:529" s="27" customFormat="1" ht="30" x14ac:dyDescent="0.25">
      <c r="A82" s="145"/>
      <c r="B82" s="146"/>
      <c r="C82" s="146"/>
      <c r="D82" s="143" t="s">
        <v>453</v>
      </c>
      <c r="E82" s="144">
        <f t="shared" si="26"/>
        <v>8033046</v>
      </c>
      <c r="F82" s="144">
        <f>17825000-9791954</f>
        <v>8033046</v>
      </c>
      <c r="G82" s="144">
        <f>14610650-8026186</f>
        <v>6584464</v>
      </c>
      <c r="H82" s="144"/>
      <c r="I82" s="144"/>
      <c r="J82" s="144">
        <f t="shared" si="28"/>
        <v>0</v>
      </c>
      <c r="K82" s="144"/>
      <c r="L82" s="144"/>
      <c r="M82" s="144"/>
      <c r="N82" s="144"/>
      <c r="O82" s="144"/>
      <c r="P82" s="144">
        <f t="shared" si="27"/>
        <v>8033046</v>
      </c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  <c r="IW82" s="36"/>
      <c r="IX82" s="36"/>
      <c r="IY82" s="36"/>
      <c r="IZ82" s="36"/>
      <c r="JA82" s="36"/>
      <c r="JB82" s="36"/>
      <c r="JC82" s="36"/>
      <c r="JD82" s="36"/>
      <c r="JE82" s="36"/>
      <c r="JF82" s="36"/>
      <c r="JG82" s="36"/>
      <c r="JH82" s="36"/>
      <c r="JI82" s="36"/>
      <c r="JJ82" s="36"/>
      <c r="JK82" s="36"/>
      <c r="JL82" s="36"/>
      <c r="JM82" s="36"/>
      <c r="JN82" s="36"/>
      <c r="JO82" s="36"/>
      <c r="JP82" s="36"/>
      <c r="JQ82" s="36"/>
      <c r="JR82" s="36"/>
      <c r="JS82" s="36"/>
      <c r="JT82" s="36"/>
      <c r="JU82" s="36"/>
      <c r="JV82" s="36"/>
      <c r="JW82" s="36"/>
      <c r="JX82" s="36"/>
      <c r="JY82" s="36"/>
      <c r="JZ82" s="36"/>
      <c r="KA82" s="36"/>
      <c r="KB82" s="36"/>
      <c r="KC82" s="36"/>
      <c r="KD82" s="36"/>
      <c r="KE82" s="36"/>
      <c r="KF82" s="36"/>
      <c r="KG82" s="36"/>
      <c r="KH82" s="36"/>
      <c r="KI82" s="36"/>
      <c r="KJ82" s="36"/>
      <c r="KK82" s="36"/>
      <c r="KL82" s="36"/>
      <c r="KM82" s="36"/>
      <c r="KN82" s="36"/>
      <c r="KO82" s="36"/>
      <c r="KP82" s="36"/>
      <c r="KQ82" s="36"/>
      <c r="KR82" s="36"/>
      <c r="KS82" s="36"/>
      <c r="KT82" s="36"/>
      <c r="KU82" s="36"/>
      <c r="KV82" s="36"/>
      <c r="KW82" s="36"/>
      <c r="KX82" s="36"/>
      <c r="KY82" s="36"/>
      <c r="KZ82" s="36"/>
      <c r="LA82" s="36"/>
      <c r="LB82" s="36"/>
      <c r="LC82" s="36"/>
      <c r="LD82" s="36"/>
      <c r="LE82" s="36"/>
      <c r="LF82" s="36"/>
      <c r="LG82" s="36"/>
      <c r="LH82" s="36"/>
      <c r="LI82" s="36"/>
      <c r="LJ82" s="36"/>
      <c r="LK82" s="36"/>
      <c r="LL82" s="36"/>
      <c r="LM82" s="36"/>
      <c r="LN82" s="36"/>
      <c r="LO82" s="36"/>
      <c r="LP82" s="36"/>
      <c r="LQ82" s="36"/>
      <c r="LR82" s="36"/>
      <c r="LS82" s="36"/>
      <c r="LT82" s="36"/>
      <c r="LU82" s="36"/>
      <c r="LV82" s="36"/>
      <c r="LW82" s="36"/>
      <c r="LX82" s="36"/>
      <c r="LY82" s="36"/>
      <c r="LZ82" s="36"/>
      <c r="MA82" s="36"/>
      <c r="MB82" s="36"/>
      <c r="MC82" s="36"/>
      <c r="MD82" s="36"/>
      <c r="ME82" s="36"/>
      <c r="MF82" s="36"/>
      <c r="MG82" s="36"/>
      <c r="MH82" s="36"/>
      <c r="MI82" s="36"/>
      <c r="MJ82" s="36"/>
      <c r="MK82" s="36"/>
      <c r="ML82" s="36"/>
      <c r="MM82" s="36"/>
      <c r="MN82" s="36"/>
      <c r="MO82" s="36"/>
      <c r="MP82" s="36"/>
      <c r="MQ82" s="36"/>
      <c r="MR82" s="36"/>
      <c r="MS82" s="36"/>
      <c r="MT82" s="36"/>
      <c r="MU82" s="36"/>
      <c r="MV82" s="36"/>
      <c r="MW82" s="36"/>
      <c r="MX82" s="36"/>
      <c r="MY82" s="36"/>
      <c r="MZ82" s="36"/>
      <c r="NA82" s="36"/>
      <c r="NB82" s="36"/>
      <c r="NC82" s="36"/>
      <c r="ND82" s="36"/>
      <c r="NE82" s="36"/>
      <c r="NF82" s="36"/>
      <c r="NG82" s="36"/>
      <c r="NH82" s="36"/>
      <c r="NI82" s="36"/>
      <c r="NJ82" s="36"/>
      <c r="NK82" s="36"/>
      <c r="NL82" s="36"/>
      <c r="NM82" s="36"/>
      <c r="NN82" s="36"/>
      <c r="NO82" s="36"/>
      <c r="NP82" s="36"/>
      <c r="NQ82" s="36"/>
      <c r="NR82" s="36"/>
      <c r="NS82" s="36"/>
      <c r="NT82" s="36"/>
      <c r="NU82" s="36"/>
      <c r="NV82" s="36"/>
      <c r="NW82" s="36"/>
      <c r="NX82" s="36"/>
      <c r="NY82" s="36"/>
      <c r="NZ82" s="36"/>
      <c r="OA82" s="36"/>
      <c r="OB82" s="36"/>
      <c r="OC82" s="36"/>
      <c r="OD82" s="36"/>
      <c r="OE82" s="36"/>
      <c r="OF82" s="36"/>
      <c r="OG82" s="36"/>
      <c r="OH82" s="36"/>
      <c r="OI82" s="36"/>
      <c r="OJ82" s="36"/>
      <c r="OK82" s="36"/>
      <c r="OL82" s="36"/>
      <c r="OM82" s="36"/>
      <c r="ON82" s="36"/>
      <c r="OO82" s="36"/>
      <c r="OP82" s="36"/>
      <c r="OQ82" s="36"/>
      <c r="OR82" s="36"/>
      <c r="OS82" s="36"/>
      <c r="OT82" s="36"/>
      <c r="OU82" s="36"/>
      <c r="OV82" s="36"/>
      <c r="OW82" s="36"/>
      <c r="OX82" s="36"/>
      <c r="OY82" s="36"/>
      <c r="OZ82" s="36"/>
      <c r="PA82" s="36"/>
      <c r="PB82" s="36"/>
      <c r="PC82" s="36"/>
      <c r="PD82" s="36"/>
      <c r="PE82" s="36"/>
      <c r="PF82" s="36"/>
      <c r="PG82" s="36"/>
      <c r="PH82" s="36"/>
      <c r="PI82" s="36"/>
      <c r="PJ82" s="36"/>
      <c r="PK82" s="36"/>
      <c r="PL82" s="36"/>
      <c r="PM82" s="36"/>
      <c r="PN82" s="36"/>
      <c r="PO82" s="36"/>
      <c r="PP82" s="36"/>
      <c r="PQ82" s="36"/>
      <c r="PR82" s="36"/>
      <c r="PS82" s="36"/>
      <c r="PT82" s="36"/>
      <c r="PU82" s="36"/>
      <c r="PV82" s="36"/>
      <c r="PW82" s="36"/>
      <c r="PX82" s="36"/>
      <c r="PY82" s="36"/>
      <c r="PZ82" s="36"/>
      <c r="QA82" s="36"/>
      <c r="QB82" s="36"/>
      <c r="QC82" s="36"/>
      <c r="QD82" s="36"/>
      <c r="QE82" s="36"/>
      <c r="QF82" s="36"/>
      <c r="QG82" s="36"/>
      <c r="QH82" s="36"/>
      <c r="QI82" s="36"/>
      <c r="QJ82" s="36"/>
      <c r="QK82" s="36"/>
      <c r="QL82" s="36"/>
      <c r="QM82" s="36"/>
      <c r="QN82" s="36"/>
      <c r="QO82" s="36"/>
      <c r="QP82" s="36"/>
      <c r="QQ82" s="36"/>
      <c r="QR82" s="36"/>
      <c r="QS82" s="36"/>
      <c r="QT82" s="36"/>
      <c r="QU82" s="36"/>
      <c r="QV82" s="36"/>
      <c r="QW82" s="36"/>
      <c r="QX82" s="36"/>
      <c r="QY82" s="36"/>
      <c r="QZ82" s="36"/>
      <c r="RA82" s="36"/>
      <c r="RB82" s="36"/>
      <c r="RC82" s="36"/>
      <c r="RD82" s="36"/>
      <c r="RE82" s="36"/>
      <c r="RF82" s="36"/>
      <c r="RG82" s="36"/>
      <c r="RH82" s="36"/>
      <c r="RI82" s="36"/>
      <c r="RJ82" s="36"/>
      <c r="RK82" s="36"/>
      <c r="RL82" s="36"/>
      <c r="RM82" s="36"/>
      <c r="RN82" s="36"/>
      <c r="RO82" s="36"/>
      <c r="RP82" s="36"/>
      <c r="RQ82" s="36"/>
      <c r="RR82" s="36"/>
      <c r="RS82" s="36"/>
      <c r="RT82" s="36"/>
      <c r="RU82" s="36"/>
      <c r="RV82" s="36"/>
      <c r="RW82" s="36"/>
      <c r="RX82" s="36"/>
      <c r="RY82" s="36"/>
      <c r="RZ82" s="36"/>
      <c r="SA82" s="36"/>
      <c r="SB82" s="36"/>
      <c r="SC82" s="36"/>
      <c r="SD82" s="36"/>
      <c r="SE82" s="36"/>
      <c r="SF82" s="36"/>
      <c r="SG82" s="36"/>
      <c r="SH82" s="36"/>
      <c r="SI82" s="36"/>
      <c r="SJ82" s="36"/>
      <c r="SK82" s="36"/>
      <c r="SL82" s="36"/>
      <c r="SM82" s="36"/>
      <c r="SN82" s="36"/>
      <c r="SO82" s="36"/>
      <c r="SP82" s="36"/>
      <c r="SQ82" s="36"/>
      <c r="SR82" s="36"/>
      <c r="SS82" s="36"/>
      <c r="ST82" s="36"/>
      <c r="SU82" s="36"/>
      <c r="SV82" s="36"/>
      <c r="SW82" s="36"/>
      <c r="SX82" s="36"/>
      <c r="SY82" s="36"/>
      <c r="SZ82" s="36"/>
      <c r="TA82" s="36"/>
      <c r="TB82" s="36"/>
      <c r="TC82" s="36"/>
      <c r="TD82" s="36"/>
      <c r="TE82" s="36"/>
      <c r="TF82" s="36"/>
      <c r="TG82" s="36"/>
      <c r="TH82" s="36"/>
      <c r="TI82" s="36"/>
    </row>
    <row r="83" spans="1:529" s="27" customFormat="1" ht="45" x14ac:dyDescent="0.25">
      <c r="A83" s="145"/>
      <c r="B83" s="146"/>
      <c r="C83" s="146"/>
      <c r="D83" s="143" t="s">
        <v>523</v>
      </c>
      <c r="E83" s="144">
        <f t="shared" si="26"/>
        <v>1927000</v>
      </c>
      <c r="F83" s="144">
        <v>1927000</v>
      </c>
      <c r="G83" s="144"/>
      <c r="H83" s="144"/>
      <c r="I83" s="144"/>
      <c r="J83" s="144">
        <f t="shared" ref="J83" si="32">L83+O83</f>
        <v>304000</v>
      </c>
      <c r="K83" s="144">
        <v>304000</v>
      </c>
      <c r="L83" s="144"/>
      <c r="M83" s="144"/>
      <c r="N83" s="144"/>
      <c r="O83" s="144">
        <v>304000</v>
      </c>
      <c r="P83" s="144">
        <f t="shared" ref="P83" si="33">E83+J83</f>
        <v>2231000</v>
      </c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  <c r="IW83" s="36"/>
      <c r="IX83" s="36"/>
      <c r="IY83" s="36"/>
      <c r="IZ83" s="36"/>
      <c r="JA83" s="36"/>
      <c r="JB83" s="36"/>
      <c r="JC83" s="36"/>
      <c r="JD83" s="36"/>
      <c r="JE83" s="36"/>
      <c r="JF83" s="36"/>
      <c r="JG83" s="36"/>
      <c r="JH83" s="36"/>
      <c r="JI83" s="36"/>
      <c r="JJ83" s="36"/>
      <c r="JK83" s="36"/>
      <c r="JL83" s="36"/>
      <c r="JM83" s="36"/>
      <c r="JN83" s="36"/>
      <c r="JO83" s="36"/>
      <c r="JP83" s="36"/>
      <c r="JQ83" s="36"/>
      <c r="JR83" s="36"/>
      <c r="JS83" s="36"/>
      <c r="JT83" s="36"/>
      <c r="JU83" s="36"/>
      <c r="JV83" s="36"/>
      <c r="JW83" s="36"/>
      <c r="JX83" s="36"/>
      <c r="JY83" s="36"/>
      <c r="JZ83" s="36"/>
      <c r="KA83" s="36"/>
      <c r="KB83" s="36"/>
      <c r="KC83" s="36"/>
      <c r="KD83" s="36"/>
      <c r="KE83" s="36"/>
      <c r="KF83" s="36"/>
      <c r="KG83" s="36"/>
      <c r="KH83" s="36"/>
      <c r="KI83" s="36"/>
      <c r="KJ83" s="36"/>
      <c r="KK83" s="36"/>
      <c r="KL83" s="36"/>
      <c r="KM83" s="36"/>
      <c r="KN83" s="36"/>
      <c r="KO83" s="36"/>
      <c r="KP83" s="36"/>
      <c r="KQ83" s="36"/>
      <c r="KR83" s="36"/>
      <c r="KS83" s="36"/>
      <c r="KT83" s="36"/>
      <c r="KU83" s="36"/>
      <c r="KV83" s="36"/>
      <c r="KW83" s="36"/>
      <c r="KX83" s="36"/>
      <c r="KY83" s="36"/>
      <c r="KZ83" s="36"/>
      <c r="LA83" s="36"/>
      <c r="LB83" s="36"/>
      <c r="LC83" s="36"/>
      <c r="LD83" s="36"/>
      <c r="LE83" s="36"/>
      <c r="LF83" s="36"/>
      <c r="LG83" s="36"/>
      <c r="LH83" s="36"/>
      <c r="LI83" s="36"/>
      <c r="LJ83" s="36"/>
      <c r="LK83" s="36"/>
      <c r="LL83" s="36"/>
      <c r="LM83" s="36"/>
      <c r="LN83" s="36"/>
      <c r="LO83" s="36"/>
      <c r="LP83" s="36"/>
      <c r="LQ83" s="36"/>
      <c r="LR83" s="36"/>
      <c r="LS83" s="36"/>
      <c r="LT83" s="36"/>
      <c r="LU83" s="36"/>
      <c r="LV83" s="36"/>
      <c r="LW83" s="36"/>
      <c r="LX83" s="36"/>
      <c r="LY83" s="36"/>
      <c r="LZ83" s="36"/>
      <c r="MA83" s="36"/>
      <c r="MB83" s="36"/>
      <c r="MC83" s="36"/>
      <c r="MD83" s="36"/>
      <c r="ME83" s="36"/>
      <c r="MF83" s="36"/>
      <c r="MG83" s="36"/>
      <c r="MH83" s="36"/>
      <c r="MI83" s="36"/>
      <c r="MJ83" s="36"/>
      <c r="MK83" s="36"/>
      <c r="ML83" s="36"/>
      <c r="MM83" s="36"/>
      <c r="MN83" s="36"/>
      <c r="MO83" s="36"/>
      <c r="MP83" s="36"/>
      <c r="MQ83" s="36"/>
      <c r="MR83" s="36"/>
      <c r="MS83" s="36"/>
      <c r="MT83" s="36"/>
      <c r="MU83" s="36"/>
      <c r="MV83" s="36"/>
      <c r="MW83" s="36"/>
      <c r="MX83" s="36"/>
      <c r="MY83" s="36"/>
      <c r="MZ83" s="36"/>
      <c r="NA83" s="36"/>
      <c r="NB83" s="36"/>
      <c r="NC83" s="36"/>
      <c r="ND83" s="36"/>
      <c r="NE83" s="36"/>
      <c r="NF83" s="36"/>
      <c r="NG83" s="36"/>
      <c r="NH83" s="36"/>
      <c r="NI83" s="36"/>
      <c r="NJ83" s="36"/>
      <c r="NK83" s="36"/>
      <c r="NL83" s="36"/>
      <c r="NM83" s="36"/>
      <c r="NN83" s="36"/>
      <c r="NO83" s="36"/>
      <c r="NP83" s="36"/>
      <c r="NQ83" s="36"/>
      <c r="NR83" s="36"/>
      <c r="NS83" s="36"/>
      <c r="NT83" s="36"/>
      <c r="NU83" s="36"/>
      <c r="NV83" s="36"/>
      <c r="NW83" s="36"/>
      <c r="NX83" s="36"/>
      <c r="NY83" s="36"/>
      <c r="NZ83" s="36"/>
      <c r="OA83" s="36"/>
      <c r="OB83" s="36"/>
      <c r="OC83" s="36"/>
      <c r="OD83" s="36"/>
      <c r="OE83" s="36"/>
      <c r="OF83" s="36"/>
      <c r="OG83" s="36"/>
      <c r="OH83" s="36"/>
      <c r="OI83" s="36"/>
      <c r="OJ83" s="36"/>
      <c r="OK83" s="36"/>
      <c r="OL83" s="36"/>
      <c r="OM83" s="36"/>
      <c r="ON83" s="36"/>
      <c r="OO83" s="36"/>
      <c r="OP83" s="36"/>
      <c r="OQ83" s="36"/>
      <c r="OR83" s="36"/>
      <c r="OS83" s="36"/>
      <c r="OT83" s="36"/>
      <c r="OU83" s="36"/>
      <c r="OV83" s="36"/>
      <c r="OW83" s="36"/>
      <c r="OX83" s="36"/>
      <c r="OY83" s="36"/>
      <c r="OZ83" s="36"/>
      <c r="PA83" s="36"/>
      <c r="PB83" s="36"/>
      <c r="PC83" s="36"/>
      <c r="PD83" s="36"/>
      <c r="PE83" s="36"/>
      <c r="PF83" s="36"/>
      <c r="PG83" s="36"/>
      <c r="PH83" s="36"/>
      <c r="PI83" s="36"/>
      <c r="PJ83" s="36"/>
      <c r="PK83" s="36"/>
      <c r="PL83" s="36"/>
      <c r="PM83" s="36"/>
      <c r="PN83" s="36"/>
      <c r="PO83" s="36"/>
      <c r="PP83" s="36"/>
      <c r="PQ83" s="36"/>
      <c r="PR83" s="36"/>
      <c r="PS83" s="36"/>
      <c r="PT83" s="36"/>
      <c r="PU83" s="36"/>
      <c r="PV83" s="36"/>
      <c r="PW83" s="36"/>
      <c r="PX83" s="36"/>
      <c r="PY83" s="36"/>
      <c r="PZ83" s="36"/>
      <c r="QA83" s="36"/>
      <c r="QB83" s="36"/>
      <c r="QC83" s="36"/>
      <c r="QD83" s="36"/>
      <c r="QE83" s="36"/>
      <c r="QF83" s="36"/>
      <c r="QG83" s="36"/>
      <c r="QH83" s="36"/>
      <c r="QI83" s="36"/>
      <c r="QJ83" s="36"/>
      <c r="QK83" s="36"/>
      <c r="QL83" s="36"/>
      <c r="QM83" s="36"/>
      <c r="QN83" s="36"/>
      <c r="QO83" s="36"/>
      <c r="QP83" s="36"/>
      <c r="QQ83" s="36"/>
      <c r="QR83" s="36"/>
      <c r="QS83" s="36"/>
      <c r="QT83" s="36"/>
      <c r="QU83" s="36"/>
      <c r="QV83" s="36"/>
      <c r="QW83" s="36"/>
      <c r="QX83" s="36"/>
      <c r="QY83" s="36"/>
      <c r="QZ83" s="36"/>
      <c r="RA83" s="36"/>
      <c r="RB83" s="36"/>
      <c r="RC83" s="36"/>
      <c r="RD83" s="36"/>
      <c r="RE83" s="36"/>
      <c r="RF83" s="36"/>
      <c r="RG83" s="36"/>
      <c r="RH83" s="36"/>
      <c r="RI83" s="36"/>
      <c r="RJ83" s="36"/>
      <c r="RK83" s="36"/>
      <c r="RL83" s="36"/>
      <c r="RM83" s="36"/>
      <c r="RN83" s="36"/>
      <c r="RO83" s="36"/>
      <c r="RP83" s="36"/>
      <c r="RQ83" s="36"/>
      <c r="RR83" s="36"/>
      <c r="RS83" s="36"/>
      <c r="RT83" s="36"/>
      <c r="RU83" s="36"/>
      <c r="RV83" s="36"/>
      <c r="RW83" s="36"/>
      <c r="RX83" s="36"/>
      <c r="RY83" s="36"/>
      <c r="RZ83" s="36"/>
      <c r="SA83" s="36"/>
      <c r="SB83" s="36"/>
      <c r="SC83" s="36"/>
      <c r="SD83" s="36"/>
      <c r="SE83" s="36"/>
      <c r="SF83" s="36"/>
      <c r="SG83" s="36"/>
      <c r="SH83" s="36"/>
      <c r="SI83" s="36"/>
      <c r="SJ83" s="36"/>
      <c r="SK83" s="36"/>
      <c r="SL83" s="36"/>
      <c r="SM83" s="36"/>
      <c r="SN83" s="36"/>
      <c r="SO83" s="36"/>
      <c r="SP83" s="36"/>
      <c r="SQ83" s="36"/>
      <c r="SR83" s="36"/>
      <c r="SS83" s="36"/>
      <c r="ST83" s="36"/>
      <c r="SU83" s="36"/>
      <c r="SV83" s="36"/>
      <c r="SW83" s="36"/>
      <c r="SX83" s="36"/>
      <c r="SY83" s="36"/>
      <c r="SZ83" s="36"/>
      <c r="TA83" s="36"/>
      <c r="TB83" s="36"/>
      <c r="TC83" s="36"/>
      <c r="TD83" s="36"/>
      <c r="TE83" s="36"/>
      <c r="TF83" s="36"/>
      <c r="TG83" s="36"/>
      <c r="TH83" s="36"/>
      <c r="TI83" s="36"/>
    </row>
    <row r="84" spans="1:529" s="23" customFormat="1" ht="21.75" customHeight="1" x14ac:dyDescent="0.25">
      <c r="A84" s="43" t="s">
        <v>181</v>
      </c>
      <c r="B84" s="44" t="str">
        <f>'дод 4'!A47</f>
        <v>1150</v>
      </c>
      <c r="C84" s="44" t="str">
        <f>'дод 4'!B47</f>
        <v>0990</v>
      </c>
      <c r="D84" s="24" t="str">
        <f>'дод 4'!C47</f>
        <v>Методичне забезпечення діяльності закладів освіти</v>
      </c>
      <c r="E84" s="66">
        <f t="shared" si="26"/>
        <v>2878530</v>
      </c>
      <c r="F84" s="66">
        <f>2893730+15000-30200</f>
        <v>2878530</v>
      </c>
      <c r="G84" s="66">
        <v>2237500</v>
      </c>
      <c r="H84" s="66">
        <f>120380-30200</f>
        <v>90180</v>
      </c>
      <c r="I84" s="66"/>
      <c r="J84" s="66">
        <f t="shared" si="28"/>
        <v>0</v>
      </c>
      <c r="K84" s="66"/>
      <c r="L84" s="66"/>
      <c r="M84" s="66"/>
      <c r="N84" s="66"/>
      <c r="O84" s="66"/>
      <c r="P84" s="66">
        <f t="shared" si="27"/>
        <v>2878530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  <c r="IX84" s="26"/>
      <c r="IY84" s="26"/>
      <c r="IZ84" s="26"/>
      <c r="JA84" s="26"/>
      <c r="JB84" s="26"/>
      <c r="JC84" s="26"/>
      <c r="JD84" s="26"/>
      <c r="JE84" s="26"/>
      <c r="JF84" s="26"/>
      <c r="JG84" s="26"/>
      <c r="JH84" s="26"/>
      <c r="JI84" s="26"/>
      <c r="JJ84" s="26"/>
      <c r="JK84" s="26"/>
      <c r="JL84" s="26"/>
      <c r="JM84" s="26"/>
      <c r="JN84" s="26"/>
      <c r="JO84" s="26"/>
      <c r="JP84" s="26"/>
      <c r="JQ84" s="26"/>
      <c r="JR84" s="26"/>
      <c r="JS84" s="26"/>
      <c r="JT84" s="26"/>
      <c r="JU84" s="26"/>
      <c r="JV84" s="26"/>
      <c r="JW84" s="26"/>
      <c r="JX84" s="26"/>
      <c r="JY84" s="26"/>
      <c r="JZ84" s="26"/>
      <c r="KA84" s="26"/>
      <c r="KB84" s="26"/>
      <c r="KC84" s="26"/>
      <c r="KD84" s="26"/>
      <c r="KE84" s="26"/>
      <c r="KF84" s="26"/>
      <c r="KG84" s="26"/>
      <c r="KH84" s="26"/>
      <c r="KI84" s="26"/>
      <c r="KJ84" s="26"/>
      <c r="KK84" s="26"/>
      <c r="KL84" s="26"/>
      <c r="KM84" s="26"/>
      <c r="KN84" s="26"/>
      <c r="KO84" s="26"/>
      <c r="KP84" s="26"/>
      <c r="KQ84" s="26"/>
      <c r="KR84" s="26"/>
      <c r="KS84" s="26"/>
      <c r="KT84" s="26"/>
      <c r="KU84" s="26"/>
      <c r="KV84" s="26"/>
      <c r="KW84" s="26"/>
      <c r="KX84" s="26"/>
      <c r="KY84" s="26"/>
      <c r="KZ84" s="26"/>
      <c r="LA84" s="26"/>
      <c r="LB84" s="26"/>
      <c r="LC84" s="26"/>
      <c r="LD84" s="26"/>
      <c r="LE84" s="26"/>
      <c r="LF84" s="26"/>
      <c r="LG84" s="26"/>
      <c r="LH84" s="26"/>
      <c r="LI84" s="26"/>
      <c r="LJ84" s="26"/>
      <c r="LK84" s="26"/>
      <c r="LL84" s="26"/>
      <c r="LM84" s="26"/>
      <c r="LN84" s="26"/>
      <c r="LO84" s="26"/>
      <c r="LP84" s="26"/>
      <c r="LQ84" s="26"/>
      <c r="LR84" s="26"/>
      <c r="LS84" s="26"/>
      <c r="LT84" s="26"/>
      <c r="LU84" s="26"/>
      <c r="LV84" s="26"/>
      <c r="LW84" s="26"/>
      <c r="LX84" s="26"/>
      <c r="LY84" s="26"/>
      <c r="LZ84" s="26"/>
      <c r="MA84" s="26"/>
      <c r="MB84" s="26"/>
      <c r="MC84" s="26"/>
      <c r="MD84" s="26"/>
      <c r="ME84" s="26"/>
      <c r="MF84" s="26"/>
      <c r="MG84" s="26"/>
      <c r="MH84" s="26"/>
      <c r="MI84" s="26"/>
      <c r="MJ84" s="26"/>
      <c r="MK84" s="26"/>
      <c r="ML84" s="26"/>
      <c r="MM84" s="26"/>
      <c r="MN84" s="26"/>
      <c r="MO84" s="26"/>
      <c r="MP84" s="26"/>
      <c r="MQ84" s="26"/>
      <c r="MR84" s="26"/>
      <c r="MS84" s="26"/>
      <c r="MT84" s="26"/>
      <c r="MU84" s="26"/>
      <c r="MV84" s="26"/>
      <c r="MW84" s="26"/>
      <c r="MX84" s="26"/>
      <c r="MY84" s="26"/>
      <c r="MZ84" s="26"/>
      <c r="NA84" s="26"/>
      <c r="NB84" s="26"/>
      <c r="NC84" s="26"/>
      <c r="ND84" s="26"/>
      <c r="NE84" s="26"/>
      <c r="NF84" s="26"/>
      <c r="NG84" s="26"/>
      <c r="NH84" s="26"/>
      <c r="NI84" s="26"/>
      <c r="NJ84" s="26"/>
      <c r="NK84" s="26"/>
      <c r="NL84" s="26"/>
      <c r="NM84" s="26"/>
      <c r="NN84" s="26"/>
      <c r="NO84" s="26"/>
      <c r="NP84" s="26"/>
      <c r="NQ84" s="26"/>
      <c r="NR84" s="26"/>
      <c r="NS84" s="26"/>
      <c r="NT84" s="26"/>
      <c r="NU84" s="26"/>
      <c r="NV84" s="26"/>
      <c r="NW84" s="26"/>
      <c r="NX84" s="26"/>
      <c r="NY84" s="26"/>
      <c r="NZ84" s="26"/>
      <c r="OA84" s="26"/>
      <c r="OB84" s="26"/>
      <c r="OC84" s="26"/>
      <c r="OD84" s="26"/>
      <c r="OE84" s="26"/>
      <c r="OF84" s="26"/>
      <c r="OG84" s="26"/>
      <c r="OH84" s="26"/>
      <c r="OI84" s="26"/>
      <c r="OJ84" s="26"/>
      <c r="OK84" s="26"/>
      <c r="OL84" s="26"/>
      <c r="OM84" s="26"/>
      <c r="ON84" s="26"/>
      <c r="OO84" s="26"/>
      <c r="OP84" s="26"/>
      <c r="OQ84" s="26"/>
      <c r="OR84" s="26"/>
      <c r="OS84" s="26"/>
      <c r="OT84" s="26"/>
      <c r="OU84" s="26"/>
      <c r="OV84" s="26"/>
      <c r="OW84" s="26"/>
      <c r="OX84" s="26"/>
      <c r="OY84" s="26"/>
      <c r="OZ84" s="26"/>
      <c r="PA84" s="26"/>
      <c r="PB84" s="26"/>
      <c r="PC84" s="26"/>
      <c r="PD84" s="26"/>
      <c r="PE84" s="26"/>
      <c r="PF84" s="26"/>
      <c r="PG84" s="26"/>
      <c r="PH84" s="26"/>
      <c r="PI84" s="26"/>
      <c r="PJ84" s="26"/>
      <c r="PK84" s="26"/>
      <c r="PL84" s="26"/>
      <c r="PM84" s="26"/>
      <c r="PN84" s="26"/>
      <c r="PO84" s="26"/>
      <c r="PP84" s="26"/>
      <c r="PQ84" s="26"/>
      <c r="PR84" s="26"/>
      <c r="PS84" s="26"/>
      <c r="PT84" s="26"/>
      <c r="PU84" s="26"/>
      <c r="PV84" s="26"/>
      <c r="PW84" s="26"/>
      <c r="PX84" s="26"/>
      <c r="PY84" s="26"/>
      <c r="PZ84" s="26"/>
      <c r="QA84" s="26"/>
      <c r="QB84" s="26"/>
      <c r="QC84" s="26"/>
      <c r="QD84" s="26"/>
      <c r="QE84" s="26"/>
      <c r="QF84" s="26"/>
      <c r="QG84" s="26"/>
      <c r="QH84" s="26"/>
      <c r="QI84" s="26"/>
      <c r="QJ84" s="26"/>
      <c r="QK84" s="26"/>
      <c r="QL84" s="26"/>
      <c r="QM84" s="26"/>
      <c r="QN84" s="26"/>
      <c r="QO84" s="26"/>
      <c r="QP84" s="26"/>
      <c r="QQ84" s="26"/>
      <c r="QR84" s="26"/>
      <c r="QS84" s="26"/>
      <c r="QT84" s="26"/>
      <c r="QU84" s="26"/>
      <c r="QV84" s="26"/>
      <c r="QW84" s="26"/>
      <c r="QX84" s="26"/>
      <c r="QY84" s="26"/>
      <c r="QZ84" s="26"/>
      <c r="RA84" s="26"/>
      <c r="RB84" s="26"/>
      <c r="RC84" s="26"/>
      <c r="RD84" s="26"/>
      <c r="RE84" s="26"/>
      <c r="RF84" s="26"/>
      <c r="RG84" s="26"/>
      <c r="RH84" s="26"/>
      <c r="RI84" s="26"/>
      <c r="RJ84" s="26"/>
      <c r="RK84" s="26"/>
      <c r="RL84" s="26"/>
      <c r="RM84" s="26"/>
      <c r="RN84" s="26"/>
      <c r="RO84" s="26"/>
      <c r="RP84" s="26"/>
      <c r="RQ84" s="26"/>
      <c r="RR84" s="26"/>
      <c r="RS84" s="26"/>
      <c r="RT84" s="26"/>
      <c r="RU84" s="26"/>
      <c r="RV84" s="26"/>
      <c r="RW84" s="26"/>
      <c r="RX84" s="26"/>
      <c r="RY84" s="26"/>
      <c r="RZ84" s="26"/>
      <c r="SA84" s="26"/>
      <c r="SB84" s="26"/>
      <c r="SC84" s="26"/>
      <c r="SD84" s="26"/>
      <c r="SE84" s="26"/>
      <c r="SF84" s="26"/>
      <c r="SG84" s="26"/>
      <c r="SH84" s="26"/>
      <c r="SI84" s="26"/>
      <c r="SJ84" s="26"/>
      <c r="SK84" s="26"/>
      <c r="SL84" s="26"/>
      <c r="SM84" s="26"/>
      <c r="SN84" s="26"/>
      <c r="SO84" s="26"/>
      <c r="SP84" s="26"/>
      <c r="SQ84" s="26"/>
      <c r="SR84" s="26"/>
      <c r="SS84" s="26"/>
      <c r="ST84" s="26"/>
      <c r="SU84" s="26"/>
      <c r="SV84" s="26"/>
      <c r="SW84" s="26"/>
      <c r="SX84" s="26"/>
      <c r="SY84" s="26"/>
      <c r="SZ84" s="26"/>
      <c r="TA84" s="26"/>
      <c r="TB84" s="26"/>
      <c r="TC84" s="26"/>
      <c r="TD84" s="26"/>
      <c r="TE84" s="26"/>
      <c r="TF84" s="26"/>
      <c r="TG84" s="26"/>
      <c r="TH84" s="26"/>
      <c r="TI84" s="26"/>
    </row>
    <row r="85" spans="1:529" s="23" customFormat="1" ht="16.5" customHeight="1" x14ac:dyDescent="0.25">
      <c r="A85" s="43" t="s">
        <v>335</v>
      </c>
      <c r="B85" s="44" t="str">
        <f>'дод 4'!A48</f>
        <v>1161</v>
      </c>
      <c r="C85" s="44" t="str">
        <f>'дод 4'!B48</f>
        <v>0990</v>
      </c>
      <c r="D85" s="24" t="str">
        <f>'дод 4'!C48</f>
        <v>Забезпечення діяльності інших закладів у сфері освіти</v>
      </c>
      <c r="E85" s="66">
        <f t="shared" si="26"/>
        <v>9312520</v>
      </c>
      <c r="F85" s="66">
        <f>9333170+12000+43350-76000</f>
        <v>9312520</v>
      </c>
      <c r="G85" s="66">
        <v>6782550</v>
      </c>
      <c r="H85" s="66">
        <f>613500-76000</f>
        <v>537500</v>
      </c>
      <c r="I85" s="66"/>
      <c r="J85" s="66">
        <f t="shared" si="28"/>
        <v>132000</v>
      </c>
      <c r="K85" s="66">
        <f>100000+200000+132000-300000</f>
        <v>132000</v>
      </c>
      <c r="L85" s="66"/>
      <c r="M85" s="66"/>
      <c r="N85" s="66"/>
      <c r="O85" s="66">
        <f>100000+200000+132000-300000</f>
        <v>132000</v>
      </c>
      <c r="P85" s="66">
        <f t="shared" si="27"/>
        <v>9444520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  <c r="IW85" s="26"/>
      <c r="IX85" s="26"/>
      <c r="IY85" s="26"/>
      <c r="IZ85" s="26"/>
      <c r="JA85" s="26"/>
      <c r="JB85" s="26"/>
      <c r="JC85" s="26"/>
      <c r="JD85" s="26"/>
      <c r="JE85" s="26"/>
      <c r="JF85" s="26"/>
      <c r="JG85" s="26"/>
      <c r="JH85" s="26"/>
      <c r="JI85" s="26"/>
      <c r="JJ85" s="26"/>
      <c r="JK85" s="26"/>
      <c r="JL85" s="26"/>
      <c r="JM85" s="26"/>
      <c r="JN85" s="26"/>
      <c r="JO85" s="26"/>
      <c r="JP85" s="26"/>
      <c r="JQ85" s="26"/>
      <c r="JR85" s="26"/>
      <c r="JS85" s="26"/>
      <c r="JT85" s="26"/>
      <c r="JU85" s="26"/>
      <c r="JV85" s="26"/>
      <c r="JW85" s="26"/>
      <c r="JX85" s="26"/>
      <c r="JY85" s="26"/>
      <c r="JZ85" s="26"/>
      <c r="KA85" s="26"/>
      <c r="KB85" s="26"/>
      <c r="KC85" s="26"/>
      <c r="KD85" s="26"/>
      <c r="KE85" s="26"/>
      <c r="KF85" s="26"/>
      <c r="KG85" s="26"/>
      <c r="KH85" s="26"/>
      <c r="KI85" s="26"/>
      <c r="KJ85" s="26"/>
      <c r="KK85" s="26"/>
      <c r="KL85" s="26"/>
      <c r="KM85" s="26"/>
      <c r="KN85" s="26"/>
      <c r="KO85" s="26"/>
      <c r="KP85" s="26"/>
      <c r="KQ85" s="26"/>
      <c r="KR85" s="26"/>
      <c r="KS85" s="26"/>
      <c r="KT85" s="26"/>
      <c r="KU85" s="26"/>
      <c r="KV85" s="26"/>
      <c r="KW85" s="26"/>
      <c r="KX85" s="26"/>
      <c r="KY85" s="26"/>
      <c r="KZ85" s="26"/>
      <c r="LA85" s="26"/>
      <c r="LB85" s="26"/>
      <c r="LC85" s="26"/>
      <c r="LD85" s="26"/>
      <c r="LE85" s="26"/>
      <c r="LF85" s="26"/>
      <c r="LG85" s="26"/>
      <c r="LH85" s="26"/>
      <c r="LI85" s="26"/>
      <c r="LJ85" s="26"/>
      <c r="LK85" s="26"/>
      <c r="LL85" s="26"/>
      <c r="LM85" s="26"/>
      <c r="LN85" s="26"/>
      <c r="LO85" s="26"/>
      <c r="LP85" s="26"/>
      <c r="LQ85" s="26"/>
      <c r="LR85" s="26"/>
      <c r="LS85" s="26"/>
      <c r="LT85" s="26"/>
      <c r="LU85" s="26"/>
      <c r="LV85" s="26"/>
      <c r="LW85" s="26"/>
      <c r="LX85" s="26"/>
      <c r="LY85" s="26"/>
      <c r="LZ85" s="26"/>
      <c r="MA85" s="26"/>
      <c r="MB85" s="26"/>
      <c r="MC85" s="26"/>
      <c r="MD85" s="26"/>
      <c r="ME85" s="26"/>
      <c r="MF85" s="26"/>
      <c r="MG85" s="26"/>
      <c r="MH85" s="26"/>
      <c r="MI85" s="26"/>
      <c r="MJ85" s="26"/>
      <c r="MK85" s="26"/>
      <c r="ML85" s="26"/>
      <c r="MM85" s="26"/>
      <c r="MN85" s="26"/>
      <c r="MO85" s="26"/>
      <c r="MP85" s="26"/>
      <c r="MQ85" s="26"/>
      <c r="MR85" s="26"/>
      <c r="MS85" s="26"/>
      <c r="MT85" s="26"/>
      <c r="MU85" s="26"/>
      <c r="MV85" s="26"/>
      <c r="MW85" s="26"/>
      <c r="MX85" s="26"/>
      <c r="MY85" s="26"/>
      <c r="MZ85" s="26"/>
      <c r="NA85" s="26"/>
      <c r="NB85" s="26"/>
      <c r="NC85" s="26"/>
      <c r="ND85" s="26"/>
      <c r="NE85" s="26"/>
      <c r="NF85" s="26"/>
      <c r="NG85" s="26"/>
      <c r="NH85" s="26"/>
      <c r="NI85" s="26"/>
      <c r="NJ85" s="26"/>
      <c r="NK85" s="26"/>
      <c r="NL85" s="26"/>
      <c r="NM85" s="26"/>
      <c r="NN85" s="26"/>
      <c r="NO85" s="26"/>
      <c r="NP85" s="26"/>
      <c r="NQ85" s="26"/>
      <c r="NR85" s="26"/>
      <c r="NS85" s="26"/>
      <c r="NT85" s="26"/>
      <c r="NU85" s="26"/>
      <c r="NV85" s="26"/>
      <c r="NW85" s="26"/>
      <c r="NX85" s="26"/>
      <c r="NY85" s="26"/>
      <c r="NZ85" s="26"/>
      <c r="OA85" s="26"/>
      <c r="OB85" s="26"/>
      <c r="OC85" s="26"/>
      <c r="OD85" s="26"/>
      <c r="OE85" s="26"/>
      <c r="OF85" s="26"/>
      <c r="OG85" s="26"/>
      <c r="OH85" s="26"/>
      <c r="OI85" s="26"/>
      <c r="OJ85" s="26"/>
      <c r="OK85" s="26"/>
      <c r="OL85" s="26"/>
      <c r="OM85" s="26"/>
      <c r="ON85" s="26"/>
      <c r="OO85" s="26"/>
      <c r="OP85" s="26"/>
      <c r="OQ85" s="26"/>
      <c r="OR85" s="26"/>
      <c r="OS85" s="26"/>
      <c r="OT85" s="26"/>
      <c r="OU85" s="26"/>
      <c r="OV85" s="26"/>
      <c r="OW85" s="26"/>
      <c r="OX85" s="26"/>
      <c r="OY85" s="26"/>
      <c r="OZ85" s="26"/>
      <c r="PA85" s="26"/>
      <c r="PB85" s="26"/>
      <c r="PC85" s="26"/>
      <c r="PD85" s="26"/>
      <c r="PE85" s="26"/>
      <c r="PF85" s="26"/>
      <c r="PG85" s="26"/>
      <c r="PH85" s="26"/>
      <c r="PI85" s="26"/>
      <c r="PJ85" s="26"/>
      <c r="PK85" s="26"/>
      <c r="PL85" s="26"/>
      <c r="PM85" s="26"/>
      <c r="PN85" s="26"/>
      <c r="PO85" s="26"/>
      <c r="PP85" s="26"/>
      <c r="PQ85" s="26"/>
      <c r="PR85" s="26"/>
      <c r="PS85" s="26"/>
      <c r="PT85" s="26"/>
      <c r="PU85" s="26"/>
      <c r="PV85" s="26"/>
      <c r="PW85" s="26"/>
      <c r="PX85" s="26"/>
      <c r="PY85" s="26"/>
      <c r="PZ85" s="26"/>
      <c r="QA85" s="26"/>
      <c r="QB85" s="26"/>
      <c r="QC85" s="26"/>
      <c r="QD85" s="26"/>
      <c r="QE85" s="26"/>
      <c r="QF85" s="26"/>
      <c r="QG85" s="26"/>
      <c r="QH85" s="26"/>
      <c r="QI85" s="26"/>
      <c r="QJ85" s="26"/>
      <c r="QK85" s="26"/>
      <c r="QL85" s="26"/>
      <c r="QM85" s="26"/>
      <c r="QN85" s="26"/>
      <c r="QO85" s="26"/>
      <c r="QP85" s="26"/>
      <c r="QQ85" s="26"/>
      <c r="QR85" s="26"/>
      <c r="QS85" s="26"/>
      <c r="QT85" s="26"/>
      <c r="QU85" s="26"/>
      <c r="QV85" s="26"/>
      <c r="QW85" s="26"/>
      <c r="QX85" s="26"/>
      <c r="QY85" s="26"/>
      <c r="QZ85" s="26"/>
      <c r="RA85" s="26"/>
      <c r="RB85" s="26"/>
      <c r="RC85" s="26"/>
      <c r="RD85" s="26"/>
      <c r="RE85" s="26"/>
      <c r="RF85" s="26"/>
      <c r="RG85" s="26"/>
      <c r="RH85" s="26"/>
      <c r="RI85" s="26"/>
      <c r="RJ85" s="26"/>
      <c r="RK85" s="26"/>
      <c r="RL85" s="26"/>
      <c r="RM85" s="26"/>
      <c r="RN85" s="26"/>
      <c r="RO85" s="26"/>
      <c r="RP85" s="26"/>
      <c r="RQ85" s="26"/>
      <c r="RR85" s="26"/>
      <c r="RS85" s="26"/>
      <c r="RT85" s="26"/>
      <c r="RU85" s="26"/>
      <c r="RV85" s="26"/>
      <c r="RW85" s="26"/>
      <c r="RX85" s="26"/>
      <c r="RY85" s="26"/>
      <c r="RZ85" s="26"/>
      <c r="SA85" s="26"/>
      <c r="SB85" s="26"/>
      <c r="SC85" s="26"/>
      <c r="SD85" s="26"/>
      <c r="SE85" s="26"/>
      <c r="SF85" s="26"/>
      <c r="SG85" s="26"/>
      <c r="SH85" s="26"/>
      <c r="SI85" s="26"/>
      <c r="SJ85" s="26"/>
      <c r="SK85" s="26"/>
      <c r="SL85" s="26"/>
      <c r="SM85" s="26"/>
      <c r="SN85" s="26"/>
      <c r="SO85" s="26"/>
      <c r="SP85" s="26"/>
      <c r="SQ85" s="26"/>
      <c r="SR85" s="26"/>
      <c r="SS85" s="26"/>
      <c r="ST85" s="26"/>
      <c r="SU85" s="26"/>
      <c r="SV85" s="26"/>
      <c r="SW85" s="26"/>
      <c r="SX85" s="26"/>
      <c r="SY85" s="26"/>
      <c r="SZ85" s="26"/>
      <c r="TA85" s="26"/>
      <c r="TB85" s="26"/>
      <c r="TC85" s="26"/>
      <c r="TD85" s="26"/>
      <c r="TE85" s="26"/>
      <c r="TF85" s="26"/>
      <c r="TG85" s="26"/>
      <c r="TH85" s="26"/>
      <c r="TI85" s="26"/>
    </row>
    <row r="86" spans="1:529" s="23" customFormat="1" ht="20.25" customHeight="1" x14ac:dyDescent="0.25">
      <c r="A86" s="43" t="s">
        <v>336</v>
      </c>
      <c r="B86" s="44" t="str">
        <f>'дод 4'!A49</f>
        <v>1162</v>
      </c>
      <c r="C86" s="44" t="str">
        <f>'дод 4'!B49</f>
        <v>0990</v>
      </c>
      <c r="D86" s="24" t="str">
        <f>'дод 4'!C49</f>
        <v>Інші програми та заходи у сфері освіти</v>
      </c>
      <c r="E86" s="66">
        <f t="shared" si="26"/>
        <v>107400</v>
      </c>
      <c r="F86" s="66">
        <v>107400</v>
      </c>
      <c r="G86" s="66"/>
      <c r="H86" s="66"/>
      <c r="I86" s="66"/>
      <c r="J86" s="66">
        <f t="shared" si="28"/>
        <v>0</v>
      </c>
      <c r="K86" s="66"/>
      <c r="L86" s="66"/>
      <c r="M86" s="66"/>
      <c r="N86" s="66"/>
      <c r="O86" s="66"/>
      <c r="P86" s="66">
        <f t="shared" si="27"/>
        <v>107400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  <c r="IW86" s="26"/>
      <c r="IX86" s="26"/>
      <c r="IY86" s="26"/>
      <c r="IZ86" s="26"/>
      <c r="JA86" s="26"/>
      <c r="JB86" s="26"/>
      <c r="JC86" s="26"/>
      <c r="JD86" s="26"/>
      <c r="JE86" s="26"/>
      <c r="JF86" s="26"/>
      <c r="JG86" s="26"/>
      <c r="JH86" s="26"/>
      <c r="JI86" s="26"/>
      <c r="JJ86" s="26"/>
      <c r="JK86" s="26"/>
      <c r="JL86" s="26"/>
      <c r="JM86" s="26"/>
      <c r="JN86" s="26"/>
      <c r="JO86" s="26"/>
      <c r="JP86" s="26"/>
      <c r="JQ86" s="26"/>
      <c r="JR86" s="26"/>
      <c r="JS86" s="26"/>
      <c r="JT86" s="26"/>
      <c r="JU86" s="26"/>
      <c r="JV86" s="26"/>
      <c r="JW86" s="26"/>
      <c r="JX86" s="26"/>
      <c r="JY86" s="26"/>
      <c r="JZ86" s="26"/>
      <c r="KA86" s="26"/>
      <c r="KB86" s="26"/>
      <c r="KC86" s="26"/>
      <c r="KD86" s="26"/>
      <c r="KE86" s="26"/>
      <c r="KF86" s="26"/>
      <c r="KG86" s="26"/>
      <c r="KH86" s="26"/>
      <c r="KI86" s="26"/>
      <c r="KJ86" s="26"/>
      <c r="KK86" s="26"/>
      <c r="KL86" s="26"/>
      <c r="KM86" s="26"/>
      <c r="KN86" s="26"/>
      <c r="KO86" s="26"/>
      <c r="KP86" s="26"/>
      <c r="KQ86" s="26"/>
      <c r="KR86" s="26"/>
      <c r="KS86" s="26"/>
      <c r="KT86" s="26"/>
      <c r="KU86" s="26"/>
      <c r="KV86" s="26"/>
      <c r="KW86" s="26"/>
      <c r="KX86" s="26"/>
      <c r="KY86" s="26"/>
      <c r="KZ86" s="26"/>
      <c r="LA86" s="26"/>
      <c r="LB86" s="26"/>
      <c r="LC86" s="26"/>
      <c r="LD86" s="26"/>
      <c r="LE86" s="26"/>
      <c r="LF86" s="26"/>
      <c r="LG86" s="26"/>
      <c r="LH86" s="26"/>
      <c r="LI86" s="26"/>
      <c r="LJ86" s="26"/>
      <c r="LK86" s="26"/>
      <c r="LL86" s="26"/>
      <c r="LM86" s="26"/>
      <c r="LN86" s="26"/>
      <c r="LO86" s="26"/>
      <c r="LP86" s="26"/>
      <c r="LQ86" s="26"/>
      <c r="LR86" s="26"/>
      <c r="LS86" s="26"/>
      <c r="LT86" s="26"/>
      <c r="LU86" s="26"/>
      <c r="LV86" s="26"/>
      <c r="LW86" s="26"/>
      <c r="LX86" s="26"/>
      <c r="LY86" s="26"/>
      <c r="LZ86" s="26"/>
      <c r="MA86" s="26"/>
      <c r="MB86" s="26"/>
      <c r="MC86" s="26"/>
      <c r="MD86" s="26"/>
      <c r="ME86" s="26"/>
      <c r="MF86" s="26"/>
      <c r="MG86" s="26"/>
      <c r="MH86" s="26"/>
      <c r="MI86" s="26"/>
      <c r="MJ86" s="26"/>
      <c r="MK86" s="26"/>
      <c r="ML86" s="26"/>
      <c r="MM86" s="26"/>
      <c r="MN86" s="26"/>
      <c r="MO86" s="26"/>
      <c r="MP86" s="26"/>
      <c r="MQ86" s="26"/>
      <c r="MR86" s="26"/>
      <c r="MS86" s="26"/>
      <c r="MT86" s="26"/>
      <c r="MU86" s="26"/>
      <c r="MV86" s="26"/>
      <c r="MW86" s="26"/>
      <c r="MX86" s="26"/>
      <c r="MY86" s="26"/>
      <c r="MZ86" s="26"/>
      <c r="NA86" s="26"/>
      <c r="NB86" s="26"/>
      <c r="NC86" s="26"/>
      <c r="ND86" s="26"/>
      <c r="NE86" s="26"/>
      <c r="NF86" s="26"/>
      <c r="NG86" s="26"/>
      <c r="NH86" s="26"/>
      <c r="NI86" s="26"/>
      <c r="NJ86" s="26"/>
      <c r="NK86" s="26"/>
      <c r="NL86" s="26"/>
      <c r="NM86" s="26"/>
      <c r="NN86" s="26"/>
      <c r="NO86" s="26"/>
      <c r="NP86" s="26"/>
      <c r="NQ86" s="26"/>
      <c r="NR86" s="26"/>
      <c r="NS86" s="26"/>
      <c r="NT86" s="26"/>
      <c r="NU86" s="26"/>
      <c r="NV86" s="26"/>
      <c r="NW86" s="26"/>
      <c r="NX86" s="26"/>
      <c r="NY86" s="26"/>
      <c r="NZ86" s="26"/>
      <c r="OA86" s="26"/>
      <c r="OB86" s="26"/>
      <c r="OC86" s="26"/>
      <c r="OD86" s="26"/>
      <c r="OE86" s="26"/>
      <c r="OF86" s="26"/>
      <c r="OG86" s="26"/>
      <c r="OH86" s="26"/>
      <c r="OI86" s="26"/>
      <c r="OJ86" s="26"/>
      <c r="OK86" s="26"/>
      <c r="OL86" s="26"/>
      <c r="OM86" s="26"/>
      <c r="ON86" s="26"/>
      <c r="OO86" s="26"/>
      <c r="OP86" s="26"/>
      <c r="OQ86" s="26"/>
      <c r="OR86" s="26"/>
      <c r="OS86" s="26"/>
      <c r="OT86" s="26"/>
      <c r="OU86" s="26"/>
      <c r="OV86" s="26"/>
      <c r="OW86" s="26"/>
      <c r="OX86" s="26"/>
      <c r="OY86" s="26"/>
      <c r="OZ86" s="26"/>
      <c r="PA86" s="26"/>
      <c r="PB86" s="26"/>
      <c r="PC86" s="26"/>
      <c r="PD86" s="26"/>
      <c r="PE86" s="26"/>
      <c r="PF86" s="26"/>
      <c r="PG86" s="26"/>
      <c r="PH86" s="26"/>
      <c r="PI86" s="26"/>
      <c r="PJ86" s="26"/>
      <c r="PK86" s="26"/>
      <c r="PL86" s="26"/>
      <c r="PM86" s="26"/>
      <c r="PN86" s="26"/>
      <c r="PO86" s="26"/>
      <c r="PP86" s="26"/>
      <c r="PQ86" s="26"/>
      <c r="PR86" s="26"/>
      <c r="PS86" s="26"/>
      <c r="PT86" s="26"/>
      <c r="PU86" s="26"/>
      <c r="PV86" s="26"/>
      <c r="PW86" s="26"/>
      <c r="PX86" s="26"/>
      <c r="PY86" s="26"/>
      <c r="PZ86" s="26"/>
      <c r="QA86" s="26"/>
      <c r="QB86" s="26"/>
      <c r="QC86" s="26"/>
      <c r="QD86" s="26"/>
      <c r="QE86" s="26"/>
      <c r="QF86" s="26"/>
      <c r="QG86" s="26"/>
      <c r="QH86" s="26"/>
      <c r="QI86" s="26"/>
      <c r="QJ86" s="26"/>
      <c r="QK86" s="26"/>
      <c r="QL86" s="26"/>
      <c r="QM86" s="26"/>
      <c r="QN86" s="26"/>
      <c r="QO86" s="26"/>
      <c r="QP86" s="26"/>
      <c r="QQ86" s="26"/>
      <c r="QR86" s="26"/>
      <c r="QS86" s="26"/>
      <c r="QT86" s="26"/>
      <c r="QU86" s="26"/>
      <c r="QV86" s="26"/>
      <c r="QW86" s="26"/>
      <c r="QX86" s="26"/>
      <c r="QY86" s="26"/>
      <c r="QZ86" s="26"/>
      <c r="RA86" s="26"/>
      <c r="RB86" s="26"/>
      <c r="RC86" s="26"/>
      <c r="RD86" s="26"/>
      <c r="RE86" s="26"/>
      <c r="RF86" s="26"/>
      <c r="RG86" s="26"/>
      <c r="RH86" s="26"/>
      <c r="RI86" s="26"/>
      <c r="RJ86" s="26"/>
      <c r="RK86" s="26"/>
      <c r="RL86" s="26"/>
      <c r="RM86" s="26"/>
      <c r="RN86" s="26"/>
      <c r="RO86" s="26"/>
      <c r="RP86" s="26"/>
      <c r="RQ86" s="26"/>
      <c r="RR86" s="26"/>
      <c r="RS86" s="26"/>
      <c r="RT86" s="26"/>
      <c r="RU86" s="26"/>
      <c r="RV86" s="26"/>
      <c r="RW86" s="26"/>
      <c r="RX86" s="26"/>
      <c r="RY86" s="26"/>
      <c r="RZ86" s="26"/>
      <c r="SA86" s="26"/>
      <c r="SB86" s="26"/>
      <c r="SC86" s="26"/>
      <c r="SD86" s="26"/>
      <c r="SE86" s="26"/>
      <c r="SF86" s="26"/>
      <c r="SG86" s="26"/>
      <c r="SH86" s="26"/>
      <c r="SI86" s="26"/>
      <c r="SJ86" s="26"/>
      <c r="SK86" s="26"/>
      <c r="SL86" s="26"/>
      <c r="SM86" s="26"/>
      <c r="SN86" s="26"/>
      <c r="SO86" s="26"/>
      <c r="SP86" s="26"/>
      <c r="SQ86" s="26"/>
      <c r="SR86" s="26"/>
      <c r="SS86" s="26"/>
      <c r="ST86" s="26"/>
      <c r="SU86" s="26"/>
      <c r="SV86" s="26"/>
      <c r="SW86" s="26"/>
      <c r="SX86" s="26"/>
      <c r="SY86" s="26"/>
      <c r="SZ86" s="26"/>
      <c r="TA86" s="26"/>
      <c r="TB86" s="26"/>
      <c r="TC86" s="26"/>
      <c r="TD86" s="26"/>
      <c r="TE86" s="26"/>
      <c r="TF86" s="26"/>
      <c r="TG86" s="26"/>
      <c r="TH86" s="26"/>
      <c r="TI86" s="26"/>
    </row>
    <row r="87" spans="1:529" s="23" customFormat="1" ht="30.75" customHeight="1" x14ac:dyDescent="0.25">
      <c r="A87" s="43" t="s">
        <v>369</v>
      </c>
      <c r="B87" s="44">
        <v>1170</v>
      </c>
      <c r="C87" s="44" t="s">
        <v>64</v>
      </c>
      <c r="D87" s="136" t="s">
        <v>495</v>
      </c>
      <c r="E87" s="66">
        <f t="shared" si="26"/>
        <v>1627940</v>
      </c>
      <c r="F87" s="66">
        <v>1627940</v>
      </c>
      <c r="G87" s="66">
        <v>1224320</v>
      </c>
      <c r="H87" s="66">
        <v>81470</v>
      </c>
      <c r="I87" s="66"/>
      <c r="J87" s="66">
        <f t="shared" si="28"/>
        <v>0</v>
      </c>
      <c r="K87" s="66"/>
      <c r="L87" s="66"/>
      <c r="M87" s="66"/>
      <c r="N87" s="66"/>
      <c r="O87" s="66"/>
      <c r="P87" s="66">
        <f t="shared" si="27"/>
        <v>1627940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  <c r="OR87" s="26"/>
      <c r="OS87" s="26"/>
      <c r="OT87" s="26"/>
      <c r="OU87" s="26"/>
      <c r="OV87" s="26"/>
      <c r="OW87" s="26"/>
      <c r="OX87" s="26"/>
      <c r="OY87" s="26"/>
      <c r="OZ87" s="26"/>
      <c r="PA87" s="26"/>
      <c r="PB87" s="26"/>
      <c r="PC87" s="26"/>
      <c r="PD87" s="26"/>
      <c r="PE87" s="26"/>
      <c r="PF87" s="26"/>
      <c r="PG87" s="26"/>
      <c r="PH87" s="26"/>
      <c r="PI87" s="26"/>
      <c r="PJ87" s="26"/>
      <c r="PK87" s="26"/>
      <c r="PL87" s="26"/>
      <c r="PM87" s="26"/>
      <c r="PN87" s="26"/>
      <c r="PO87" s="26"/>
      <c r="PP87" s="26"/>
      <c r="PQ87" s="26"/>
      <c r="PR87" s="26"/>
      <c r="PS87" s="26"/>
      <c r="PT87" s="26"/>
      <c r="PU87" s="26"/>
      <c r="PV87" s="26"/>
      <c r="PW87" s="26"/>
      <c r="PX87" s="26"/>
      <c r="PY87" s="26"/>
      <c r="PZ87" s="26"/>
      <c r="QA87" s="26"/>
      <c r="QB87" s="26"/>
      <c r="QC87" s="26"/>
      <c r="QD87" s="26"/>
      <c r="QE87" s="26"/>
      <c r="QF87" s="26"/>
      <c r="QG87" s="26"/>
      <c r="QH87" s="26"/>
      <c r="QI87" s="26"/>
      <c r="QJ87" s="26"/>
      <c r="QK87" s="26"/>
      <c r="QL87" s="26"/>
      <c r="QM87" s="26"/>
      <c r="QN87" s="26"/>
      <c r="QO87" s="26"/>
      <c r="QP87" s="26"/>
      <c r="QQ87" s="26"/>
      <c r="QR87" s="26"/>
      <c r="QS87" s="26"/>
      <c r="QT87" s="26"/>
      <c r="QU87" s="26"/>
      <c r="QV87" s="26"/>
      <c r="QW87" s="26"/>
      <c r="QX87" s="26"/>
      <c r="QY87" s="26"/>
      <c r="QZ87" s="26"/>
      <c r="RA87" s="26"/>
      <c r="RB87" s="26"/>
      <c r="RC87" s="26"/>
      <c r="RD87" s="26"/>
      <c r="RE87" s="26"/>
      <c r="RF87" s="26"/>
      <c r="RG87" s="26"/>
      <c r="RH87" s="26"/>
      <c r="RI87" s="26"/>
      <c r="RJ87" s="26"/>
      <c r="RK87" s="26"/>
      <c r="RL87" s="26"/>
      <c r="RM87" s="26"/>
      <c r="RN87" s="26"/>
      <c r="RO87" s="26"/>
      <c r="RP87" s="26"/>
      <c r="RQ87" s="26"/>
      <c r="RR87" s="26"/>
      <c r="RS87" s="26"/>
      <c r="RT87" s="26"/>
      <c r="RU87" s="26"/>
      <c r="RV87" s="26"/>
      <c r="RW87" s="26"/>
      <c r="RX87" s="26"/>
      <c r="RY87" s="26"/>
      <c r="RZ87" s="26"/>
      <c r="SA87" s="26"/>
      <c r="SB87" s="26"/>
      <c r="SC87" s="26"/>
      <c r="SD87" s="26"/>
      <c r="SE87" s="26"/>
      <c r="SF87" s="26"/>
      <c r="SG87" s="26"/>
      <c r="SH87" s="26"/>
      <c r="SI87" s="26"/>
      <c r="SJ87" s="26"/>
      <c r="SK87" s="26"/>
      <c r="SL87" s="26"/>
      <c r="SM87" s="26"/>
      <c r="SN87" s="26"/>
      <c r="SO87" s="26"/>
      <c r="SP87" s="26"/>
      <c r="SQ87" s="26"/>
      <c r="SR87" s="26"/>
      <c r="SS87" s="26"/>
      <c r="ST87" s="26"/>
      <c r="SU87" s="26"/>
      <c r="SV87" s="26"/>
      <c r="SW87" s="26"/>
      <c r="SX87" s="26"/>
      <c r="SY87" s="26"/>
      <c r="SZ87" s="26"/>
      <c r="TA87" s="26"/>
      <c r="TB87" s="26"/>
      <c r="TC87" s="26"/>
      <c r="TD87" s="26"/>
      <c r="TE87" s="26"/>
      <c r="TF87" s="26"/>
      <c r="TG87" s="26"/>
      <c r="TH87" s="26"/>
      <c r="TI87" s="26"/>
    </row>
    <row r="88" spans="1:529" s="27" customFormat="1" ht="45" x14ac:dyDescent="0.25">
      <c r="A88" s="145"/>
      <c r="B88" s="146"/>
      <c r="C88" s="146"/>
      <c r="D88" s="143" t="s">
        <v>448</v>
      </c>
      <c r="E88" s="144">
        <f t="shared" si="26"/>
        <v>1236370</v>
      </c>
      <c r="F88" s="144">
        <v>1236370</v>
      </c>
      <c r="G88" s="144">
        <v>1013420</v>
      </c>
      <c r="H88" s="144"/>
      <c r="I88" s="144"/>
      <c r="J88" s="144">
        <f t="shared" si="28"/>
        <v>0</v>
      </c>
      <c r="K88" s="144"/>
      <c r="L88" s="144"/>
      <c r="M88" s="144"/>
      <c r="N88" s="144"/>
      <c r="O88" s="144"/>
      <c r="P88" s="144">
        <f t="shared" si="27"/>
        <v>1236370</v>
      </c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  <c r="IW88" s="36"/>
      <c r="IX88" s="36"/>
      <c r="IY88" s="36"/>
      <c r="IZ88" s="36"/>
      <c r="JA88" s="36"/>
      <c r="JB88" s="36"/>
      <c r="JC88" s="36"/>
      <c r="JD88" s="36"/>
      <c r="JE88" s="36"/>
      <c r="JF88" s="36"/>
      <c r="JG88" s="36"/>
      <c r="JH88" s="36"/>
      <c r="JI88" s="36"/>
      <c r="JJ88" s="36"/>
      <c r="JK88" s="36"/>
      <c r="JL88" s="36"/>
      <c r="JM88" s="36"/>
      <c r="JN88" s="36"/>
      <c r="JO88" s="36"/>
      <c r="JP88" s="36"/>
      <c r="JQ88" s="36"/>
      <c r="JR88" s="36"/>
      <c r="JS88" s="36"/>
      <c r="JT88" s="36"/>
      <c r="JU88" s="36"/>
      <c r="JV88" s="36"/>
      <c r="JW88" s="36"/>
      <c r="JX88" s="36"/>
      <c r="JY88" s="36"/>
      <c r="JZ88" s="36"/>
      <c r="KA88" s="36"/>
      <c r="KB88" s="36"/>
      <c r="KC88" s="36"/>
      <c r="KD88" s="36"/>
      <c r="KE88" s="36"/>
      <c r="KF88" s="36"/>
      <c r="KG88" s="36"/>
      <c r="KH88" s="36"/>
      <c r="KI88" s="36"/>
      <c r="KJ88" s="36"/>
      <c r="KK88" s="36"/>
      <c r="KL88" s="36"/>
      <c r="KM88" s="36"/>
      <c r="KN88" s="36"/>
      <c r="KO88" s="36"/>
      <c r="KP88" s="36"/>
      <c r="KQ88" s="36"/>
      <c r="KR88" s="36"/>
      <c r="KS88" s="36"/>
      <c r="KT88" s="36"/>
      <c r="KU88" s="36"/>
      <c r="KV88" s="36"/>
      <c r="KW88" s="36"/>
      <c r="KX88" s="36"/>
      <c r="KY88" s="36"/>
      <c r="KZ88" s="36"/>
      <c r="LA88" s="36"/>
      <c r="LB88" s="36"/>
      <c r="LC88" s="36"/>
      <c r="LD88" s="36"/>
      <c r="LE88" s="36"/>
      <c r="LF88" s="36"/>
      <c r="LG88" s="36"/>
      <c r="LH88" s="36"/>
      <c r="LI88" s="36"/>
      <c r="LJ88" s="36"/>
      <c r="LK88" s="36"/>
      <c r="LL88" s="36"/>
      <c r="LM88" s="36"/>
      <c r="LN88" s="36"/>
      <c r="LO88" s="36"/>
      <c r="LP88" s="36"/>
      <c r="LQ88" s="36"/>
      <c r="LR88" s="36"/>
      <c r="LS88" s="36"/>
      <c r="LT88" s="36"/>
      <c r="LU88" s="36"/>
      <c r="LV88" s="36"/>
      <c r="LW88" s="36"/>
      <c r="LX88" s="36"/>
      <c r="LY88" s="36"/>
      <c r="LZ88" s="36"/>
      <c r="MA88" s="36"/>
      <c r="MB88" s="36"/>
      <c r="MC88" s="36"/>
      <c r="MD88" s="36"/>
      <c r="ME88" s="36"/>
      <c r="MF88" s="36"/>
      <c r="MG88" s="36"/>
      <c r="MH88" s="36"/>
      <c r="MI88" s="36"/>
      <c r="MJ88" s="36"/>
      <c r="MK88" s="36"/>
      <c r="ML88" s="36"/>
      <c r="MM88" s="36"/>
      <c r="MN88" s="36"/>
      <c r="MO88" s="36"/>
      <c r="MP88" s="36"/>
      <c r="MQ88" s="36"/>
      <c r="MR88" s="36"/>
      <c r="MS88" s="36"/>
      <c r="MT88" s="36"/>
      <c r="MU88" s="36"/>
      <c r="MV88" s="36"/>
      <c r="MW88" s="36"/>
      <c r="MX88" s="36"/>
      <c r="MY88" s="36"/>
      <c r="MZ88" s="36"/>
      <c r="NA88" s="36"/>
      <c r="NB88" s="36"/>
      <c r="NC88" s="36"/>
      <c r="ND88" s="36"/>
      <c r="NE88" s="36"/>
      <c r="NF88" s="36"/>
      <c r="NG88" s="36"/>
      <c r="NH88" s="36"/>
      <c r="NI88" s="36"/>
      <c r="NJ88" s="36"/>
      <c r="NK88" s="36"/>
      <c r="NL88" s="36"/>
      <c r="NM88" s="36"/>
      <c r="NN88" s="36"/>
      <c r="NO88" s="36"/>
      <c r="NP88" s="36"/>
      <c r="NQ88" s="36"/>
      <c r="NR88" s="36"/>
      <c r="NS88" s="36"/>
      <c r="NT88" s="36"/>
      <c r="NU88" s="36"/>
      <c r="NV88" s="36"/>
      <c r="NW88" s="36"/>
      <c r="NX88" s="36"/>
      <c r="NY88" s="36"/>
      <c r="NZ88" s="36"/>
      <c r="OA88" s="36"/>
      <c r="OB88" s="36"/>
      <c r="OC88" s="36"/>
      <c r="OD88" s="36"/>
      <c r="OE88" s="36"/>
      <c r="OF88" s="36"/>
      <c r="OG88" s="36"/>
      <c r="OH88" s="36"/>
      <c r="OI88" s="36"/>
      <c r="OJ88" s="36"/>
      <c r="OK88" s="36"/>
      <c r="OL88" s="36"/>
      <c r="OM88" s="36"/>
      <c r="ON88" s="36"/>
      <c r="OO88" s="36"/>
      <c r="OP88" s="36"/>
      <c r="OQ88" s="36"/>
      <c r="OR88" s="36"/>
      <c r="OS88" s="36"/>
      <c r="OT88" s="36"/>
      <c r="OU88" s="36"/>
      <c r="OV88" s="36"/>
      <c r="OW88" s="36"/>
      <c r="OX88" s="36"/>
      <c r="OY88" s="36"/>
      <c r="OZ88" s="36"/>
      <c r="PA88" s="36"/>
      <c r="PB88" s="36"/>
      <c r="PC88" s="36"/>
      <c r="PD88" s="36"/>
      <c r="PE88" s="36"/>
      <c r="PF88" s="36"/>
      <c r="PG88" s="36"/>
      <c r="PH88" s="36"/>
      <c r="PI88" s="36"/>
      <c r="PJ88" s="36"/>
      <c r="PK88" s="36"/>
      <c r="PL88" s="36"/>
      <c r="PM88" s="36"/>
      <c r="PN88" s="36"/>
      <c r="PO88" s="36"/>
      <c r="PP88" s="36"/>
      <c r="PQ88" s="36"/>
      <c r="PR88" s="36"/>
      <c r="PS88" s="36"/>
      <c r="PT88" s="36"/>
      <c r="PU88" s="36"/>
      <c r="PV88" s="36"/>
      <c r="PW88" s="36"/>
      <c r="PX88" s="36"/>
      <c r="PY88" s="36"/>
      <c r="PZ88" s="36"/>
      <c r="QA88" s="36"/>
      <c r="QB88" s="36"/>
      <c r="QC88" s="36"/>
      <c r="QD88" s="36"/>
      <c r="QE88" s="36"/>
      <c r="QF88" s="36"/>
      <c r="QG88" s="36"/>
      <c r="QH88" s="36"/>
      <c r="QI88" s="36"/>
      <c r="QJ88" s="36"/>
      <c r="QK88" s="36"/>
      <c r="QL88" s="36"/>
      <c r="QM88" s="36"/>
      <c r="QN88" s="36"/>
      <c r="QO88" s="36"/>
      <c r="QP88" s="36"/>
      <c r="QQ88" s="36"/>
      <c r="QR88" s="36"/>
      <c r="QS88" s="36"/>
      <c r="QT88" s="36"/>
      <c r="QU88" s="36"/>
      <c r="QV88" s="36"/>
      <c r="QW88" s="36"/>
      <c r="QX88" s="36"/>
      <c r="QY88" s="36"/>
      <c r="QZ88" s="36"/>
      <c r="RA88" s="36"/>
      <c r="RB88" s="36"/>
      <c r="RC88" s="36"/>
      <c r="RD88" s="36"/>
      <c r="RE88" s="36"/>
      <c r="RF88" s="36"/>
      <c r="RG88" s="36"/>
      <c r="RH88" s="36"/>
      <c r="RI88" s="36"/>
      <c r="RJ88" s="36"/>
      <c r="RK88" s="36"/>
      <c r="RL88" s="36"/>
      <c r="RM88" s="36"/>
      <c r="RN88" s="36"/>
      <c r="RO88" s="36"/>
      <c r="RP88" s="36"/>
      <c r="RQ88" s="36"/>
      <c r="RR88" s="36"/>
      <c r="RS88" s="36"/>
      <c r="RT88" s="36"/>
      <c r="RU88" s="36"/>
      <c r="RV88" s="36"/>
      <c r="RW88" s="36"/>
      <c r="RX88" s="36"/>
      <c r="RY88" s="36"/>
      <c r="RZ88" s="36"/>
      <c r="SA88" s="36"/>
      <c r="SB88" s="36"/>
      <c r="SC88" s="36"/>
      <c r="SD88" s="36"/>
      <c r="SE88" s="36"/>
      <c r="SF88" s="36"/>
      <c r="SG88" s="36"/>
      <c r="SH88" s="36"/>
      <c r="SI88" s="36"/>
      <c r="SJ88" s="36"/>
      <c r="SK88" s="36"/>
      <c r="SL88" s="36"/>
      <c r="SM88" s="36"/>
      <c r="SN88" s="36"/>
      <c r="SO88" s="36"/>
      <c r="SP88" s="36"/>
      <c r="SQ88" s="36"/>
      <c r="SR88" s="36"/>
      <c r="SS88" s="36"/>
      <c r="ST88" s="36"/>
      <c r="SU88" s="36"/>
      <c r="SV88" s="36"/>
      <c r="SW88" s="36"/>
      <c r="SX88" s="36"/>
      <c r="SY88" s="36"/>
      <c r="SZ88" s="36"/>
      <c r="TA88" s="36"/>
      <c r="TB88" s="36"/>
      <c r="TC88" s="36"/>
      <c r="TD88" s="36"/>
      <c r="TE88" s="36"/>
      <c r="TF88" s="36"/>
      <c r="TG88" s="36"/>
      <c r="TH88" s="36"/>
      <c r="TI88" s="36"/>
    </row>
    <row r="89" spans="1:529" s="27" customFormat="1" ht="45" x14ac:dyDescent="0.25">
      <c r="A89" s="43" t="s">
        <v>516</v>
      </c>
      <c r="B89" s="44">
        <v>1180</v>
      </c>
      <c r="C89" s="43" t="s">
        <v>64</v>
      </c>
      <c r="D89" s="167" t="s">
        <v>515</v>
      </c>
      <c r="E89" s="66">
        <f t="shared" si="26"/>
        <v>0</v>
      </c>
      <c r="F89" s="144"/>
      <c r="G89" s="144"/>
      <c r="H89" s="144"/>
      <c r="I89" s="144"/>
      <c r="J89" s="66">
        <f t="shared" si="28"/>
        <v>2080303</v>
      </c>
      <c r="K89" s="66">
        <f>1180956+899347</f>
        <v>2080303</v>
      </c>
      <c r="L89" s="66"/>
      <c r="M89" s="66"/>
      <c r="N89" s="66"/>
      <c r="O89" s="66">
        <f>1180956+899347</f>
        <v>2080303</v>
      </c>
      <c r="P89" s="66">
        <f t="shared" si="27"/>
        <v>2080303</v>
      </c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  <c r="IW89" s="36"/>
      <c r="IX89" s="36"/>
      <c r="IY89" s="36"/>
      <c r="IZ89" s="36"/>
      <c r="JA89" s="36"/>
      <c r="JB89" s="36"/>
      <c r="JC89" s="36"/>
      <c r="JD89" s="36"/>
      <c r="JE89" s="36"/>
      <c r="JF89" s="36"/>
      <c r="JG89" s="36"/>
      <c r="JH89" s="36"/>
      <c r="JI89" s="36"/>
      <c r="JJ89" s="36"/>
      <c r="JK89" s="36"/>
      <c r="JL89" s="36"/>
      <c r="JM89" s="36"/>
      <c r="JN89" s="36"/>
      <c r="JO89" s="36"/>
      <c r="JP89" s="36"/>
      <c r="JQ89" s="36"/>
      <c r="JR89" s="36"/>
      <c r="JS89" s="36"/>
      <c r="JT89" s="36"/>
      <c r="JU89" s="36"/>
      <c r="JV89" s="36"/>
      <c r="JW89" s="36"/>
      <c r="JX89" s="36"/>
      <c r="JY89" s="36"/>
      <c r="JZ89" s="36"/>
      <c r="KA89" s="36"/>
      <c r="KB89" s="36"/>
      <c r="KC89" s="36"/>
      <c r="KD89" s="36"/>
      <c r="KE89" s="36"/>
      <c r="KF89" s="36"/>
      <c r="KG89" s="36"/>
      <c r="KH89" s="36"/>
      <c r="KI89" s="36"/>
      <c r="KJ89" s="36"/>
      <c r="KK89" s="36"/>
      <c r="KL89" s="36"/>
      <c r="KM89" s="36"/>
      <c r="KN89" s="36"/>
      <c r="KO89" s="36"/>
      <c r="KP89" s="36"/>
      <c r="KQ89" s="36"/>
      <c r="KR89" s="36"/>
      <c r="KS89" s="36"/>
      <c r="KT89" s="36"/>
      <c r="KU89" s="36"/>
      <c r="KV89" s="36"/>
      <c r="KW89" s="36"/>
      <c r="KX89" s="36"/>
      <c r="KY89" s="36"/>
      <c r="KZ89" s="36"/>
      <c r="LA89" s="36"/>
      <c r="LB89" s="36"/>
      <c r="LC89" s="36"/>
      <c r="LD89" s="36"/>
      <c r="LE89" s="36"/>
      <c r="LF89" s="36"/>
      <c r="LG89" s="36"/>
      <c r="LH89" s="36"/>
      <c r="LI89" s="36"/>
      <c r="LJ89" s="36"/>
      <c r="LK89" s="36"/>
      <c r="LL89" s="36"/>
      <c r="LM89" s="36"/>
      <c r="LN89" s="36"/>
      <c r="LO89" s="36"/>
      <c r="LP89" s="36"/>
      <c r="LQ89" s="36"/>
      <c r="LR89" s="36"/>
      <c r="LS89" s="36"/>
      <c r="LT89" s="36"/>
      <c r="LU89" s="36"/>
      <c r="LV89" s="36"/>
      <c r="LW89" s="36"/>
      <c r="LX89" s="36"/>
      <c r="LY89" s="36"/>
      <c r="LZ89" s="36"/>
      <c r="MA89" s="36"/>
      <c r="MB89" s="36"/>
      <c r="MC89" s="36"/>
      <c r="MD89" s="36"/>
      <c r="ME89" s="36"/>
      <c r="MF89" s="36"/>
      <c r="MG89" s="36"/>
      <c r="MH89" s="36"/>
      <c r="MI89" s="36"/>
      <c r="MJ89" s="36"/>
      <c r="MK89" s="36"/>
      <c r="ML89" s="36"/>
      <c r="MM89" s="36"/>
      <c r="MN89" s="36"/>
      <c r="MO89" s="36"/>
      <c r="MP89" s="36"/>
      <c r="MQ89" s="36"/>
      <c r="MR89" s="36"/>
      <c r="MS89" s="36"/>
      <c r="MT89" s="36"/>
      <c r="MU89" s="36"/>
      <c r="MV89" s="36"/>
      <c r="MW89" s="36"/>
      <c r="MX89" s="36"/>
      <c r="MY89" s="36"/>
      <c r="MZ89" s="36"/>
      <c r="NA89" s="36"/>
      <c r="NB89" s="36"/>
      <c r="NC89" s="36"/>
      <c r="ND89" s="36"/>
      <c r="NE89" s="36"/>
      <c r="NF89" s="36"/>
      <c r="NG89" s="36"/>
      <c r="NH89" s="36"/>
      <c r="NI89" s="36"/>
      <c r="NJ89" s="36"/>
      <c r="NK89" s="36"/>
      <c r="NL89" s="36"/>
      <c r="NM89" s="36"/>
      <c r="NN89" s="36"/>
      <c r="NO89" s="36"/>
      <c r="NP89" s="36"/>
      <c r="NQ89" s="36"/>
      <c r="NR89" s="36"/>
      <c r="NS89" s="36"/>
      <c r="NT89" s="36"/>
      <c r="NU89" s="36"/>
      <c r="NV89" s="36"/>
      <c r="NW89" s="36"/>
      <c r="NX89" s="36"/>
      <c r="NY89" s="36"/>
      <c r="NZ89" s="36"/>
      <c r="OA89" s="36"/>
      <c r="OB89" s="36"/>
      <c r="OC89" s="36"/>
      <c r="OD89" s="36"/>
      <c r="OE89" s="36"/>
      <c r="OF89" s="36"/>
      <c r="OG89" s="36"/>
      <c r="OH89" s="36"/>
      <c r="OI89" s="36"/>
      <c r="OJ89" s="36"/>
      <c r="OK89" s="36"/>
      <c r="OL89" s="36"/>
      <c r="OM89" s="36"/>
      <c r="ON89" s="36"/>
      <c r="OO89" s="36"/>
      <c r="OP89" s="36"/>
      <c r="OQ89" s="36"/>
      <c r="OR89" s="36"/>
      <c r="OS89" s="36"/>
      <c r="OT89" s="36"/>
      <c r="OU89" s="36"/>
      <c r="OV89" s="36"/>
      <c r="OW89" s="36"/>
      <c r="OX89" s="36"/>
      <c r="OY89" s="36"/>
      <c r="OZ89" s="36"/>
      <c r="PA89" s="36"/>
      <c r="PB89" s="36"/>
      <c r="PC89" s="36"/>
      <c r="PD89" s="36"/>
      <c r="PE89" s="36"/>
      <c r="PF89" s="36"/>
      <c r="PG89" s="36"/>
      <c r="PH89" s="36"/>
      <c r="PI89" s="36"/>
      <c r="PJ89" s="36"/>
      <c r="PK89" s="36"/>
      <c r="PL89" s="36"/>
      <c r="PM89" s="36"/>
      <c r="PN89" s="36"/>
      <c r="PO89" s="36"/>
      <c r="PP89" s="36"/>
      <c r="PQ89" s="36"/>
      <c r="PR89" s="36"/>
      <c r="PS89" s="36"/>
      <c r="PT89" s="36"/>
      <c r="PU89" s="36"/>
      <c r="PV89" s="36"/>
      <c r="PW89" s="36"/>
      <c r="PX89" s="36"/>
      <c r="PY89" s="36"/>
      <c r="PZ89" s="36"/>
      <c r="QA89" s="36"/>
      <c r="QB89" s="36"/>
      <c r="QC89" s="36"/>
      <c r="QD89" s="36"/>
      <c r="QE89" s="36"/>
      <c r="QF89" s="36"/>
      <c r="QG89" s="36"/>
      <c r="QH89" s="36"/>
      <c r="QI89" s="36"/>
      <c r="QJ89" s="36"/>
      <c r="QK89" s="36"/>
      <c r="QL89" s="36"/>
      <c r="QM89" s="36"/>
      <c r="QN89" s="36"/>
      <c r="QO89" s="36"/>
      <c r="QP89" s="36"/>
      <c r="QQ89" s="36"/>
      <c r="QR89" s="36"/>
      <c r="QS89" s="36"/>
      <c r="QT89" s="36"/>
      <c r="QU89" s="36"/>
      <c r="QV89" s="36"/>
      <c r="QW89" s="36"/>
      <c r="QX89" s="36"/>
      <c r="QY89" s="36"/>
      <c r="QZ89" s="36"/>
      <c r="RA89" s="36"/>
      <c r="RB89" s="36"/>
      <c r="RC89" s="36"/>
      <c r="RD89" s="36"/>
      <c r="RE89" s="36"/>
      <c r="RF89" s="36"/>
      <c r="RG89" s="36"/>
      <c r="RH89" s="36"/>
      <c r="RI89" s="36"/>
      <c r="RJ89" s="36"/>
      <c r="RK89" s="36"/>
      <c r="RL89" s="36"/>
      <c r="RM89" s="36"/>
      <c r="RN89" s="36"/>
      <c r="RO89" s="36"/>
      <c r="RP89" s="36"/>
      <c r="RQ89" s="36"/>
      <c r="RR89" s="36"/>
      <c r="RS89" s="36"/>
      <c r="RT89" s="36"/>
      <c r="RU89" s="36"/>
      <c r="RV89" s="36"/>
      <c r="RW89" s="36"/>
      <c r="RX89" s="36"/>
      <c r="RY89" s="36"/>
      <c r="RZ89" s="36"/>
      <c r="SA89" s="36"/>
      <c r="SB89" s="36"/>
      <c r="SC89" s="36"/>
      <c r="SD89" s="36"/>
      <c r="SE89" s="36"/>
      <c r="SF89" s="36"/>
      <c r="SG89" s="36"/>
      <c r="SH89" s="36"/>
      <c r="SI89" s="36"/>
      <c r="SJ89" s="36"/>
      <c r="SK89" s="36"/>
      <c r="SL89" s="36"/>
      <c r="SM89" s="36"/>
      <c r="SN89" s="36"/>
      <c r="SO89" s="36"/>
      <c r="SP89" s="36"/>
      <c r="SQ89" s="36"/>
      <c r="SR89" s="36"/>
      <c r="SS89" s="36"/>
      <c r="ST89" s="36"/>
      <c r="SU89" s="36"/>
      <c r="SV89" s="36"/>
      <c r="SW89" s="36"/>
      <c r="SX89" s="36"/>
      <c r="SY89" s="36"/>
      <c r="SZ89" s="36"/>
      <c r="TA89" s="36"/>
      <c r="TB89" s="36"/>
      <c r="TC89" s="36"/>
      <c r="TD89" s="36"/>
      <c r="TE89" s="36"/>
      <c r="TF89" s="36"/>
      <c r="TG89" s="36"/>
      <c r="TH89" s="36"/>
      <c r="TI89" s="36"/>
    </row>
    <row r="90" spans="1:529" s="27" customFormat="1" ht="47.25" customHeight="1" x14ac:dyDescent="0.25">
      <c r="A90" s="145"/>
      <c r="B90" s="146"/>
      <c r="C90" s="43"/>
      <c r="D90" s="170" t="s">
        <v>526</v>
      </c>
      <c r="E90" s="144">
        <f t="shared" si="26"/>
        <v>0</v>
      </c>
      <c r="F90" s="144"/>
      <c r="G90" s="144"/>
      <c r="H90" s="144"/>
      <c r="I90" s="144"/>
      <c r="J90" s="144">
        <f t="shared" si="28"/>
        <v>1180956</v>
      </c>
      <c r="K90" s="144">
        <v>1180956</v>
      </c>
      <c r="L90" s="144"/>
      <c r="M90" s="144"/>
      <c r="N90" s="144"/>
      <c r="O90" s="144">
        <v>1180956</v>
      </c>
      <c r="P90" s="144">
        <f t="shared" si="27"/>
        <v>1180956</v>
      </c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  <c r="IW90" s="36"/>
      <c r="IX90" s="36"/>
      <c r="IY90" s="36"/>
      <c r="IZ90" s="36"/>
      <c r="JA90" s="36"/>
      <c r="JB90" s="36"/>
      <c r="JC90" s="36"/>
      <c r="JD90" s="36"/>
      <c r="JE90" s="36"/>
      <c r="JF90" s="36"/>
      <c r="JG90" s="36"/>
      <c r="JH90" s="36"/>
      <c r="JI90" s="36"/>
      <c r="JJ90" s="36"/>
      <c r="JK90" s="36"/>
      <c r="JL90" s="36"/>
      <c r="JM90" s="36"/>
      <c r="JN90" s="36"/>
      <c r="JO90" s="36"/>
      <c r="JP90" s="36"/>
      <c r="JQ90" s="36"/>
      <c r="JR90" s="36"/>
      <c r="JS90" s="36"/>
      <c r="JT90" s="36"/>
      <c r="JU90" s="36"/>
      <c r="JV90" s="36"/>
      <c r="JW90" s="36"/>
      <c r="JX90" s="36"/>
      <c r="JY90" s="36"/>
      <c r="JZ90" s="36"/>
      <c r="KA90" s="36"/>
      <c r="KB90" s="36"/>
      <c r="KC90" s="36"/>
      <c r="KD90" s="36"/>
      <c r="KE90" s="36"/>
      <c r="KF90" s="36"/>
      <c r="KG90" s="36"/>
      <c r="KH90" s="36"/>
      <c r="KI90" s="36"/>
      <c r="KJ90" s="36"/>
      <c r="KK90" s="36"/>
      <c r="KL90" s="36"/>
      <c r="KM90" s="36"/>
      <c r="KN90" s="36"/>
      <c r="KO90" s="36"/>
      <c r="KP90" s="36"/>
      <c r="KQ90" s="36"/>
      <c r="KR90" s="36"/>
      <c r="KS90" s="36"/>
      <c r="KT90" s="36"/>
      <c r="KU90" s="36"/>
      <c r="KV90" s="36"/>
      <c r="KW90" s="36"/>
      <c r="KX90" s="36"/>
      <c r="KY90" s="36"/>
      <c r="KZ90" s="36"/>
      <c r="LA90" s="36"/>
      <c r="LB90" s="36"/>
      <c r="LC90" s="36"/>
      <c r="LD90" s="36"/>
      <c r="LE90" s="36"/>
      <c r="LF90" s="36"/>
      <c r="LG90" s="36"/>
      <c r="LH90" s="36"/>
      <c r="LI90" s="36"/>
      <c r="LJ90" s="36"/>
      <c r="LK90" s="36"/>
      <c r="LL90" s="36"/>
      <c r="LM90" s="36"/>
      <c r="LN90" s="36"/>
      <c r="LO90" s="36"/>
      <c r="LP90" s="36"/>
      <c r="LQ90" s="36"/>
      <c r="LR90" s="36"/>
      <c r="LS90" s="36"/>
      <c r="LT90" s="36"/>
      <c r="LU90" s="36"/>
      <c r="LV90" s="36"/>
      <c r="LW90" s="36"/>
      <c r="LX90" s="36"/>
      <c r="LY90" s="36"/>
      <c r="LZ90" s="36"/>
      <c r="MA90" s="36"/>
      <c r="MB90" s="36"/>
      <c r="MC90" s="36"/>
      <c r="MD90" s="36"/>
      <c r="ME90" s="36"/>
      <c r="MF90" s="36"/>
      <c r="MG90" s="36"/>
      <c r="MH90" s="36"/>
      <c r="MI90" s="36"/>
      <c r="MJ90" s="36"/>
      <c r="MK90" s="36"/>
      <c r="ML90" s="36"/>
      <c r="MM90" s="36"/>
      <c r="MN90" s="36"/>
      <c r="MO90" s="36"/>
      <c r="MP90" s="36"/>
      <c r="MQ90" s="36"/>
      <c r="MR90" s="36"/>
      <c r="MS90" s="36"/>
      <c r="MT90" s="36"/>
      <c r="MU90" s="36"/>
      <c r="MV90" s="36"/>
      <c r="MW90" s="36"/>
      <c r="MX90" s="36"/>
      <c r="MY90" s="36"/>
      <c r="MZ90" s="36"/>
      <c r="NA90" s="36"/>
      <c r="NB90" s="36"/>
      <c r="NC90" s="36"/>
      <c r="ND90" s="36"/>
      <c r="NE90" s="36"/>
      <c r="NF90" s="36"/>
      <c r="NG90" s="36"/>
      <c r="NH90" s="36"/>
      <c r="NI90" s="36"/>
      <c r="NJ90" s="36"/>
      <c r="NK90" s="36"/>
      <c r="NL90" s="36"/>
      <c r="NM90" s="36"/>
      <c r="NN90" s="36"/>
      <c r="NO90" s="36"/>
      <c r="NP90" s="36"/>
      <c r="NQ90" s="36"/>
      <c r="NR90" s="36"/>
      <c r="NS90" s="36"/>
      <c r="NT90" s="36"/>
      <c r="NU90" s="36"/>
      <c r="NV90" s="36"/>
      <c r="NW90" s="36"/>
      <c r="NX90" s="36"/>
      <c r="NY90" s="36"/>
      <c r="NZ90" s="36"/>
      <c r="OA90" s="36"/>
      <c r="OB90" s="36"/>
      <c r="OC90" s="36"/>
      <c r="OD90" s="36"/>
      <c r="OE90" s="36"/>
      <c r="OF90" s="36"/>
      <c r="OG90" s="36"/>
      <c r="OH90" s="36"/>
      <c r="OI90" s="36"/>
      <c r="OJ90" s="36"/>
      <c r="OK90" s="36"/>
      <c r="OL90" s="36"/>
      <c r="OM90" s="36"/>
      <c r="ON90" s="36"/>
      <c r="OO90" s="36"/>
      <c r="OP90" s="36"/>
      <c r="OQ90" s="36"/>
      <c r="OR90" s="36"/>
      <c r="OS90" s="36"/>
      <c r="OT90" s="36"/>
      <c r="OU90" s="36"/>
      <c r="OV90" s="36"/>
      <c r="OW90" s="36"/>
      <c r="OX90" s="36"/>
      <c r="OY90" s="36"/>
      <c r="OZ90" s="36"/>
      <c r="PA90" s="36"/>
      <c r="PB90" s="36"/>
      <c r="PC90" s="36"/>
      <c r="PD90" s="36"/>
      <c r="PE90" s="36"/>
      <c r="PF90" s="36"/>
      <c r="PG90" s="36"/>
      <c r="PH90" s="36"/>
      <c r="PI90" s="36"/>
      <c r="PJ90" s="36"/>
      <c r="PK90" s="36"/>
      <c r="PL90" s="36"/>
      <c r="PM90" s="36"/>
      <c r="PN90" s="36"/>
      <c r="PO90" s="36"/>
      <c r="PP90" s="36"/>
      <c r="PQ90" s="36"/>
      <c r="PR90" s="36"/>
      <c r="PS90" s="36"/>
      <c r="PT90" s="36"/>
      <c r="PU90" s="36"/>
      <c r="PV90" s="36"/>
      <c r="PW90" s="36"/>
      <c r="PX90" s="36"/>
      <c r="PY90" s="36"/>
      <c r="PZ90" s="36"/>
      <c r="QA90" s="36"/>
      <c r="QB90" s="36"/>
      <c r="QC90" s="36"/>
      <c r="QD90" s="36"/>
      <c r="QE90" s="36"/>
      <c r="QF90" s="36"/>
      <c r="QG90" s="36"/>
      <c r="QH90" s="36"/>
      <c r="QI90" s="36"/>
      <c r="QJ90" s="36"/>
      <c r="QK90" s="36"/>
      <c r="QL90" s="36"/>
      <c r="QM90" s="36"/>
      <c r="QN90" s="36"/>
      <c r="QO90" s="36"/>
      <c r="QP90" s="36"/>
      <c r="QQ90" s="36"/>
      <c r="QR90" s="36"/>
      <c r="QS90" s="36"/>
      <c r="QT90" s="36"/>
      <c r="QU90" s="36"/>
      <c r="QV90" s="36"/>
      <c r="QW90" s="36"/>
      <c r="QX90" s="36"/>
      <c r="QY90" s="36"/>
      <c r="QZ90" s="36"/>
      <c r="RA90" s="36"/>
      <c r="RB90" s="36"/>
      <c r="RC90" s="36"/>
      <c r="RD90" s="36"/>
      <c r="RE90" s="36"/>
      <c r="RF90" s="36"/>
      <c r="RG90" s="36"/>
      <c r="RH90" s="36"/>
      <c r="RI90" s="36"/>
      <c r="RJ90" s="36"/>
      <c r="RK90" s="36"/>
      <c r="RL90" s="36"/>
      <c r="RM90" s="36"/>
      <c r="RN90" s="36"/>
      <c r="RO90" s="36"/>
      <c r="RP90" s="36"/>
      <c r="RQ90" s="36"/>
      <c r="RR90" s="36"/>
      <c r="RS90" s="36"/>
      <c r="RT90" s="36"/>
      <c r="RU90" s="36"/>
      <c r="RV90" s="36"/>
      <c r="RW90" s="36"/>
      <c r="RX90" s="36"/>
      <c r="RY90" s="36"/>
      <c r="RZ90" s="36"/>
      <c r="SA90" s="36"/>
      <c r="SB90" s="36"/>
      <c r="SC90" s="36"/>
      <c r="SD90" s="36"/>
      <c r="SE90" s="36"/>
      <c r="SF90" s="36"/>
      <c r="SG90" s="36"/>
      <c r="SH90" s="36"/>
      <c r="SI90" s="36"/>
      <c r="SJ90" s="36"/>
      <c r="SK90" s="36"/>
      <c r="SL90" s="36"/>
      <c r="SM90" s="36"/>
      <c r="SN90" s="36"/>
      <c r="SO90" s="36"/>
      <c r="SP90" s="36"/>
      <c r="SQ90" s="36"/>
      <c r="SR90" s="36"/>
      <c r="SS90" s="36"/>
      <c r="ST90" s="36"/>
      <c r="SU90" s="36"/>
      <c r="SV90" s="36"/>
      <c r="SW90" s="36"/>
      <c r="SX90" s="36"/>
      <c r="SY90" s="36"/>
      <c r="SZ90" s="36"/>
      <c r="TA90" s="36"/>
      <c r="TB90" s="36"/>
      <c r="TC90" s="36"/>
      <c r="TD90" s="36"/>
      <c r="TE90" s="36"/>
      <c r="TF90" s="36"/>
      <c r="TG90" s="36"/>
      <c r="TH90" s="36"/>
      <c r="TI90" s="36"/>
    </row>
    <row r="91" spans="1:529" s="23" customFormat="1" ht="64.5" customHeight="1" x14ac:dyDescent="0.25">
      <c r="A91" s="43" t="s">
        <v>182</v>
      </c>
      <c r="B91" s="44" t="str">
        <f>'дод 4'!A93</f>
        <v>3140</v>
      </c>
      <c r="C91" s="44" t="str">
        <f>'дод 4'!B93</f>
        <v>1040</v>
      </c>
      <c r="D91" s="24" t="str">
        <f>'дод 4'!C93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91" s="66">
        <f t="shared" si="26"/>
        <v>349500</v>
      </c>
      <c r="F91" s="66">
        <f>7000000-4886500-899347-220962-239000-404691</f>
        <v>349500</v>
      </c>
      <c r="G91" s="66"/>
      <c r="H91" s="66"/>
      <c r="I91" s="66"/>
      <c r="J91" s="66">
        <f t="shared" si="28"/>
        <v>0</v>
      </c>
      <c r="K91" s="66"/>
      <c r="L91" s="66"/>
      <c r="M91" s="66"/>
      <c r="N91" s="66"/>
      <c r="O91" s="66"/>
      <c r="P91" s="66">
        <f t="shared" si="27"/>
        <v>349500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  <c r="OR91" s="26"/>
      <c r="OS91" s="26"/>
      <c r="OT91" s="26"/>
      <c r="OU91" s="26"/>
      <c r="OV91" s="26"/>
      <c r="OW91" s="26"/>
      <c r="OX91" s="26"/>
      <c r="OY91" s="26"/>
      <c r="OZ91" s="26"/>
      <c r="PA91" s="26"/>
      <c r="PB91" s="26"/>
      <c r="PC91" s="26"/>
      <c r="PD91" s="26"/>
      <c r="PE91" s="26"/>
      <c r="PF91" s="26"/>
      <c r="PG91" s="26"/>
      <c r="PH91" s="26"/>
      <c r="PI91" s="26"/>
      <c r="PJ91" s="26"/>
      <c r="PK91" s="26"/>
      <c r="PL91" s="26"/>
      <c r="PM91" s="26"/>
      <c r="PN91" s="26"/>
      <c r="PO91" s="26"/>
      <c r="PP91" s="26"/>
      <c r="PQ91" s="26"/>
      <c r="PR91" s="26"/>
      <c r="PS91" s="26"/>
      <c r="PT91" s="26"/>
      <c r="PU91" s="26"/>
      <c r="PV91" s="26"/>
      <c r="PW91" s="26"/>
      <c r="PX91" s="26"/>
      <c r="PY91" s="26"/>
      <c r="PZ91" s="26"/>
      <c r="QA91" s="26"/>
      <c r="QB91" s="26"/>
      <c r="QC91" s="26"/>
      <c r="QD91" s="26"/>
      <c r="QE91" s="26"/>
      <c r="QF91" s="26"/>
      <c r="QG91" s="26"/>
      <c r="QH91" s="26"/>
      <c r="QI91" s="26"/>
      <c r="QJ91" s="26"/>
      <c r="QK91" s="26"/>
      <c r="QL91" s="26"/>
      <c r="QM91" s="26"/>
      <c r="QN91" s="26"/>
      <c r="QO91" s="26"/>
      <c r="QP91" s="26"/>
      <c r="QQ91" s="26"/>
      <c r="QR91" s="26"/>
      <c r="QS91" s="26"/>
      <c r="QT91" s="26"/>
      <c r="QU91" s="26"/>
      <c r="QV91" s="26"/>
      <c r="QW91" s="26"/>
      <c r="QX91" s="26"/>
      <c r="QY91" s="26"/>
      <c r="QZ91" s="26"/>
      <c r="RA91" s="26"/>
      <c r="RB91" s="26"/>
      <c r="RC91" s="26"/>
      <c r="RD91" s="26"/>
      <c r="RE91" s="26"/>
      <c r="RF91" s="26"/>
      <c r="RG91" s="26"/>
      <c r="RH91" s="26"/>
      <c r="RI91" s="26"/>
      <c r="RJ91" s="26"/>
      <c r="RK91" s="26"/>
      <c r="RL91" s="26"/>
      <c r="RM91" s="26"/>
      <c r="RN91" s="26"/>
      <c r="RO91" s="26"/>
      <c r="RP91" s="26"/>
      <c r="RQ91" s="26"/>
      <c r="RR91" s="26"/>
      <c r="RS91" s="26"/>
      <c r="RT91" s="26"/>
      <c r="RU91" s="26"/>
      <c r="RV91" s="26"/>
      <c r="RW91" s="26"/>
      <c r="RX91" s="26"/>
      <c r="RY91" s="26"/>
      <c r="RZ91" s="26"/>
      <c r="SA91" s="26"/>
      <c r="SB91" s="26"/>
      <c r="SC91" s="26"/>
      <c r="SD91" s="26"/>
      <c r="SE91" s="26"/>
      <c r="SF91" s="26"/>
      <c r="SG91" s="26"/>
      <c r="SH91" s="26"/>
      <c r="SI91" s="26"/>
      <c r="SJ91" s="26"/>
      <c r="SK91" s="26"/>
      <c r="SL91" s="26"/>
      <c r="SM91" s="26"/>
      <c r="SN91" s="26"/>
      <c r="SO91" s="26"/>
      <c r="SP91" s="26"/>
      <c r="SQ91" s="26"/>
      <c r="SR91" s="26"/>
      <c r="SS91" s="26"/>
      <c r="ST91" s="26"/>
      <c r="SU91" s="26"/>
      <c r="SV91" s="26"/>
      <c r="SW91" s="26"/>
      <c r="SX91" s="26"/>
      <c r="SY91" s="26"/>
      <c r="SZ91" s="26"/>
      <c r="TA91" s="26"/>
      <c r="TB91" s="26"/>
      <c r="TC91" s="26"/>
      <c r="TD91" s="26"/>
      <c r="TE91" s="26"/>
      <c r="TF91" s="26"/>
      <c r="TG91" s="26"/>
      <c r="TH91" s="26"/>
      <c r="TI91" s="26"/>
    </row>
    <row r="92" spans="1:529" s="23" customFormat="1" ht="31.5" customHeight="1" x14ac:dyDescent="0.25">
      <c r="A92" s="43" t="s">
        <v>349</v>
      </c>
      <c r="B92" s="44" t="str">
        <f>'дод 4'!A109</f>
        <v>3242</v>
      </c>
      <c r="C92" s="44" t="str">
        <f>'дод 4'!B109</f>
        <v>1090</v>
      </c>
      <c r="D92" s="24" t="s">
        <v>497</v>
      </c>
      <c r="E92" s="66">
        <f t="shared" si="26"/>
        <v>52490</v>
      </c>
      <c r="F92" s="66">
        <v>52490</v>
      </c>
      <c r="G92" s="66"/>
      <c r="H92" s="66"/>
      <c r="I92" s="66"/>
      <c r="J92" s="66">
        <f t="shared" si="28"/>
        <v>0</v>
      </c>
      <c r="K92" s="66"/>
      <c r="L92" s="66"/>
      <c r="M92" s="66"/>
      <c r="N92" s="66"/>
      <c r="O92" s="66"/>
      <c r="P92" s="66">
        <f t="shared" si="27"/>
        <v>52490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  <c r="IW92" s="26"/>
      <c r="IX92" s="26"/>
      <c r="IY92" s="26"/>
      <c r="IZ92" s="26"/>
      <c r="JA92" s="26"/>
      <c r="JB92" s="26"/>
      <c r="JC92" s="26"/>
      <c r="JD92" s="26"/>
      <c r="JE92" s="26"/>
      <c r="JF92" s="26"/>
      <c r="JG92" s="26"/>
      <c r="JH92" s="26"/>
      <c r="JI92" s="26"/>
      <c r="JJ92" s="26"/>
      <c r="JK92" s="26"/>
      <c r="JL92" s="26"/>
      <c r="JM92" s="26"/>
      <c r="JN92" s="26"/>
      <c r="JO92" s="26"/>
      <c r="JP92" s="26"/>
      <c r="JQ92" s="26"/>
      <c r="JR92" s="26"/>
      <c r="JS92" s="26"/>
      <c r="JT92" s="26"/>
      <c r="JU92" s="26"/>
      <c r="JV92" s="26"/>
      <c r="JW92" s="26"/>
      <c r="JX92" s="26"/>
      <c r="JY92" s="26"/>
      <c r="JZ92" s="26"/>
      <c r="KA92" s="26"/>
      <c r="KB92" s="26"/>
      <c r="KC92" s="26"/>
      <c r="KD92" s="26"/>
      <c r="KE92" s="26"/>
      <c r="KF92" s="26"/>
      <c r="KG92" s="26"/>
      <c r="KH92" s="26"/>
      <c r="KI92" s="26"/>
      <c r="KJ92" s="26"/>
      <c r="KK92" s="26"/>
      <c r="KL92" s="26"/>
      <c r="KM92" s="26"/>
      <c r="KN92" s="26"/>
      <c r="KO92" s="26"/>
      <c r="KP92" s="26"/>
      <c r="KQ92" s="26"/>
      <c r="KR92" s="26"/>
      <c r="KS92" s="26"/>
      <c r="KT92" s="26"/>
      <c r="KU92" s="26"/>
      <c r="KV92" s="26"/>
      <c r="KW92" s="26"/>
      <c r="KX92" s="26"/>
      <c r="KY92" s="26"/>
      <c r="KZ92" s="26"/>
      <c r="LA92" s="26"/>
      <c r="LB92" s="26"/>
      <c r="LC92" s="26"/>
      <c r="LD92" s="26"/>
      <c r="LE92" s="26"/>
      <c r="LF92" s="26"/>
      <c r="LG92" s="26"/>
      <c r="LH92" s="26"/>
      <c r="LI92" s="26"/>
      <c r="LJ92" s="26"/>
      <c r="LK92" s="26"/>
      <c r="LL92" s="26"/>
      <c r="LM92" s="26"/>
      <c r="LN92" s="26"/>
      <c r="LO92" s="26"/>
      <c r="LP92" s="26"/>
      <c r="LQ92" s="26"/>
      <c r="LR92" s="26"/>
      <c r="LS92" s="26"/>
      <c r="LT92" s="26"/>
      <c r="LU92" s="26"/>
      <c r="LV92" s="26"/>
      <c r="LW92" s="26"/>
      <c r="LX92" s="26"/>
      <c r="LY92" s="26"/>
      <c r="LZ92" s="26"/>
      <c r="MA92" s="26"/>
      <c r="MB92" s="26"/>
      <c r="MC92" s="26"/>
      <c r="MD92" s="26"/>
      <c r="ME92" s="26"/>
      <c r="MF92" s="26"/>
      <c r="MG92" s="26"/>
      <c r="MH92" s="26"/>
      <c r="MI92" s="26"/>
      <c r="MJ92" s="26"/>
      <c r="MK92" s="26"/>
      <c r="ML92" s="26"/>
      <c r="MM92" s="26"/>
      <c r="MN92" s="26"/>
      <c r="MO92" s="26"/>
      <c r="MP92" s="26"/>
      <c r="MQ92" s="26"/>
      <c r="MR92" s="26"/>
      <c r="MS92" s="26"/>
      <c r="MT92" s="26"/>
      <c r="MU92" s="26"/>
      <c r="MV92" s="26"/>
      <c r="MW92" s="26"/>
      <c r="MX92" s="26"/>
      <c r="MY92" s="26"/>
      <c r="MZ92" s="26"/>
      <c r="NA92" s="26"/>
      <c r="NB92" s="26"/>
      <c r="NC92" s="26"/>
      <c r="ND92" s="26"/>
      <c r="NE92" s="26"/>
      <c r="NF92" s="26"/>
      <c r="NG92" s="26"/>
      <c r="NH92" s="26"/>
      <c r="NI92" s="26"/>
      <c r="NJ92" s="26"/>
      <c r="NK92" s="26"/>
      <c r="NL92" s="26"/>
      <c r="NM92" s="26"/>
      <c r="NN92" s="26"/>
      <c r="NO92" s="26"/>
      <c r="NP92" s="26"/>
      <c r="NQ92" s="26"/>
      <c r="NR92" s="26"/>
      <c r="NS92" s="26"/>
      <c r="NT92" s="26"/>
      <c r="NU92" s="26"/>
      <c r="NV92" s="26"/>
      <c r="NW92" s="26"/>
      <c r="NX92" s="26"/>
      <c r="NY92" s="26"/>
      <c r="NZ92" s="26"/>
      <c r="OA92" s="26"/>
      <c r="OB92" s="26"/>
      <c r="OC92" s="26"/>
      <c r="OD92" s="26"/>
      <c r="OE92" s="26"/>
      <c r="OF92" s="26"/>
      <c r="OG92" s="26"/>
      <c r="OH92" s="26"/>
      <c r="OI92" s="26"/>
      <c r="OJ92" s="26"/>
      <c r="OK92" s="26"/>
      <c r="OL92" s="26"/>
      <c r="OM92" s="26"/>
      <c r="ON92" s="26"/>
      <c r="OO92" s="26"/>
      <c r="OP92" s="26"/>
      <c r="OQ92" s="26"/>
      <c r="OR92" s="26"/>
      <c r="OS92" s="26"/>
      <c r="OT92" s="26"/>
      <c r="OU92" s="26"/>
      <c r="OV92" s="26"/>
      <c r="OW92" s="26"/>
      <c r="OX92" s="26"/>
      <c r="OY92" s="26"/>
      <c r="OZ92" s="26"/>
      <c r="PA92" s="26"/>
      <c r="PB92" s="26"/>
      <c r="PC92" s="26"/>
      <c r="PD92" s="26"/>
      <c r="PE92" s="26"/>
      <c r="PF92" s="26"/>
      <c r="PG92" s="26"/>
      <c r="PH92" s="26"/>
      <c r="PI92" s="26"/>
      <c r="PJ92" s="26"/>
      <c r="PK92" s="26"/>
      <c r="PL92" s="26"/>
      <c r="PM92" s="26"/>
      <c r="PN92" s="26"/>
      <c r="PO92" s="26"/>
      <c r="PP92" s="26"/>
      <c r="PQ92" s="26"/>
      <c r="PR92" s="26"/>
      <c r="PS92" s="26"/>
      <c r="PT92" s="26"/>
      <c r="PU92" s="26"/>
      <c r="PV92" s="26"/>
      <c r="PW92" s="26"/>
      <c r="PX92" s="26"/>
      <c r="PY92" s="26"/>
      <c r="PZ92" s="26"/>
      <c r="QA92" s="26"/>
      <c r="QB92" s="26"/>
      <c r="QC92" s="26"/>
      <c r="QD92" s="26"/>
      <c r="QE92" s="26"/>
      <c r="QF92" s="26"/>
      <c r="QG92" s="26"/>
      <c r="QH92" s="26"/>
      <c r="QI92" s="26"/>
      <c r="QJ92" s="26"/>
      <c r="QK92" s="26"/>
      <c r="QL92" s="26"/>
      <c r="QM92" s="26"/>
      <c r="QN92" s="26"/>
      <c r="QO92" s="26"/>
      <c r="QP92" s="26"/>
      <c r="QQ92" s="26"/>
      <c r="QR92" s="26"/>
      <c r="QS92" s="26"/>
      <c r="QT92" s="26"/>
      <c r="QU92" s="26"/>
      <c r="QV92" s="26"/>
      <c r="QW92" s="26"/>
      <c r="QX92" s="26"/>
      <c r="QY92" s="26"/>
      <c r="QZ92" s="26"/>
      <c r="RA92" s="26"/>
      <c r="RB92" s="26"/>
      <c r="RC92" s="26"/>
      <c r="RD92" s="26"/>
      <c r="RE92" s="26"/>
      <c r="RF92" s="26"/>
      <c r="RG92" s="26"/>
      <c r="RH92" s="26"/>
      <c r="RI92" s="26"/>
      <c r="RJ92" s="26"/>
      <c r="RK92" s="26"/>
      <c r="RL92" s="26"/>
      <c r="RM92" s="26"/>
      <c r="RN92" s="26"/>
      <c r="RO92" s="26"/>
      <c r="RP92" s="26"/>
      <c r="RQ92" s="26"/>
      <c r="RR92" s="26"/>
      <c r="RS92" s="26"/>
      <c r="RT92" s="26"/>
      <c r="RU92" s="26"/>
      <c r="RV92" s="26"/>
      <c r="RW92" s="26"/>
      <c r="RX92" s="26"/>
      <c r="RY92" s="26"/>
      <c r="RZ92" s="26"/>
      <c r="SA92" s="26"/>
      <c r="SB92" s="26"/>
      <c r="SC92" s="26"/>
      <c r="SD92" s="26"/>
      <c r="SE92" s="26"/>
      <c r="SF92" s="26"/>
      <c r="SG92" s="26"/>
      <c r="SH92" s="26"/>
      <c r="SI92" s="26"/>
      <c r="SJ92" s="26"/>
      <c r="SK92" s="26"/>
      <c r="SL92" s="26"/>
      <c r="SM92" s="26"/>
      <c r="SN92" s="26"/>
      <c r="SO92" s="26"/>
      <c r="SP92" s="26"/>
      <c r="SQ92" s="26"/>
      <c r="SR92" s="26"/>
      <c r="SS92" s="26"/>
      <c r="ST92" s="26"/>
      <c r="SU92" s="26"/>
      <c r="SV92" s="26"/>
      <c r="SW92" s="26"/>
      <c r="SX92" s="26"/>
      <c r="SY92" s="26"/>
      <c r="SZ92" s="26"/>
      <c r="TA92" s="26"/>
      <c r="TB92" s="26"/>
      <c r="TC92" s="26"/>
      <c r="TD92" s="26"/>
      <c r="TE92" s="26"/>
      <c r="TF92" s="26"/>
      <c r="TG92" s="26"/>
      <c r="TH92" s="26"/>
      <c r="TI92" s="26"/>
    </row>
    <row r="93" spans="1:529" s="23" customFormat="1" ht="33" customHeight="1" x14ac:dyDescent="0.25">
      <c r="A93" s="43" t="s">
        <v>183</v>
      </c>
      <c r="B93" s="44" t="str">
        <f>'дод 4'!A119</f>
        <v>5031</v>
      </c>
      <c r="C93" s="44" t="str">
        <f>'дод 4'!B119</f>
        <v>0810</v>
      </c>
      <c r="D93" s="24" t="str">
        <f>'дод 4'!C119</f>
        <v>Утримання та навчально-тренувальна робота комунальних дитячо-юнацьких спортивних шкіл</v>
      </c>
      <c r="E93" s="66">
        <f t="shared" si="26"/>
        <v>6757500</v>
      </c>
      <c r="F93" s="66">
        <f>6725500+60000+2000+10000-40000</f>
        <v>6757500</v>
      </c>
      <c r="G93" s="66">
        <v>5086600</v>
      </c>
      <c r="H93" s="66">
        <f>240700-40000</f>
        <v>200700</v>
      </c>
      <c r="I93" s="66"/>
      <c r="J93" s="66">
        <f t="shared" si="28"/>
        <v>750000</v>
      </c>
      <c r="K93" s="66">
        <f>550000+200000</f>
        <v>750000</v>
      </c>
      <c r="L93" s="66"/>
      <c r="M93" s="66"/>
      <c r="N93" s="66"/>
      <c r="O93" s="66">
        <f>550000+200000</f>
        <v>750000</v>
      </c>
      <c r="P93" s="66">
        <f t="shared" si="27"/>
        <v>7507500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  <c r="IW93" s="26"/>
      <c r="IX93" s="26"/>
      <c r="IY93" s="26"/>
      <c r="IZ93" s="26"/>
      <c r="JA93" s="26"/>
      <c r="JB93" s="26"/>
      <c r="JC93" s="26"/>
      <c r="JD93" s="26"/>
      <c r="JE93" s="26"/>
      <c r="JF93" s="26"/>
      <c r="JG93" s="26"/>
      <c r="JH93" s="26"/>
      <c r="JI93" s="26"/>
      <c r="JJ93" s="26"/>
      <c r="JK93" s="26"/>
      <c r="JL93" s="26"/>
      <c r="JM93" s="26"/>
      <c r="JN93" s="26"/>
      <c r="JO93" s="26"/>
      <c r="JP93" s="26"/>
      <c r="JQ93" s="26"/>
      <c r="JR93" s="26"/>
      <c r="JS93" s="26"/>
      <c r="JT93" s="26"/>
      <c r="JU93" s="26"/>
      <c r="JV93" s="26"/>
      <c r="JW93" s="26"/>
      <c r="JX93" s="26"/>
      <c r="JY93" s="26"/>
      <c r="JZ93" s="26"/>
      <c r="KA93" s="26"/>
      <c r="KB93" s="26"/>
      <c r="KC93" s="26"/>
      <c r="KD93" s="26"/>
      <c r="KE93" s="26"/>
      <c r="KF93" s="26"/>
      <c r="KG93" s="26"/>
      <c r="KH93" s="26"/>
      <c r="KI93" s="26"/>
      <c r="KJ93" s="26"/>
      <c r="KK93" s="26"/>
      <c r="KL93" s="26"/>
      <c r="KM93" s="26"/>
      <c r="KN93" s="26"/>
      <c r="KO93" s="26"/>
      <c r="KP93" s="26"/>
      <c r="KQ93" s="26"/>
      <c r="KR93" s="26"/>
      <c r="KS93" s="26"/>
      <c r="KT93" s="26"/>
      <c r="KU93" s="26"/>
      <c r="KV93" s="26"/>
      <c r="KW93" s="26"/>
      <c r="KX93" s="26"/>
      <c r="KY93" s="26"/>
      <c r="KZ93" s="26"/>
      <c r="LA93" s="26"/>
      <c r="LB93" s="26"/>
      <c r="LC93" s="26"/>
      <c r="LD93" s="26"/>
      <c r="LE93" s="26"/>
      <c r="LF93" s="26"/>
      <c r="LG93" s="26"/>
      <c r="LH93" s="26"/>
      <c r="LI93" s="26"/>
      <c r="LJ93" s="26"/>
      <c r="LK93" s="26"/>
      <c r="LL93" s="26"/>
      <c r="LM93" s="26"/>
      <c r="LN93" s="26"/>
      <c r="LO93" s="26"/>
      <c r="LP93" s="26"/>
      <c r="LQ93" s="26"/>
      <c r="LR93" s="26"/>
      <c r="LS93" s="26"/>
      <c r="LT93" s="26"/>
      <c r="LU93" s="26"/>
      <c r="LV93" s="26"/>
      <c r="LW93" s="26"/>
      <c r="LX93" s="26"/>
      <c r="LY93" s="26"/>
      <c r="LZ93" s="26"/>
      <c r="MA93" s="26"/>
      <c r="MB93" s="26"/>
      <c r="MC93" s="26"/>
      <c r="MD93" s="26"/>
      <c r="ME93" s="26"/>
      <c r="MF93" s="26"/>
      <c r="MG93" s="26"/>
      <c r="MH93" s="26"/>
      <c r="MI93" s="26"/>
      <c r="MJ93" s="26"/>
      <c r="MK93" s="26"/>
      <c r="ML93" s="26"/>
      <c r="MM93" s="26"/>
      <c r="MN93" s="26"/>
      <c r="MO93" s="26"/>
      <c r="MP93" s="26"/>
      <c r="MQ93" s="26"/>
      <c r="MR93" s="26"/>
      <c r="MS93" s="26"/>
      <c r="MT93" s="26"/>
      <c r="MU93" s="26"/>
      <c r="MV93" s="26"/>
      <c r="MW93" s="26"/>
      <c r="MX93" s="26"/>
      <c r="MY93" s="26"/>
      <c r="MZ93" s="26"/>
      <c r="NA93" s="26"/>
      <c r="NB93" s="26"/>
      <c r="NC93" s="26"/>
      <c r="ND93" s="26"/>
      <c r="NE93" s="26"/>
      <c r="NF93" s="26"/>
      <c r="NG93" s="26"/>
      <c r="NH93" s="26"/>
      <c r="NI93" s="26"/>
      <c r="NJ93" s="26"/>
      <c r="NK93" s="26"/>
      <c r="NL93" s="26"/>
      <c r="NM93" s="26"/>
      <c r="NN93" s="26"/>
      <c r="NO93" s="26"/>
      <c r="NP93" s="26"/>
      <c r="NQ93" s="26"/>
      <c r="NR93" s="26"/>
      <c r="NS93" s="26"/>
      <c r="NT93" s="26"/>
      <c r="NU93" s="26"/>
      <c r="NV93" s="26"/>
      <c r="NW93" s="26"/>
      <c r="NX93" s="26"/>
      <c r="NY93" s="26"/>
      <c r="NZ93" s="26"/>
      <c r="OA93" s="26"/>
      <c r="OB93" s="26"/>
      <c r="OC93" s="26"/>
      <c r="OD93" s="26"/>
      <c r="OE93" s="26"/>
      <c r="OF93" s="26"/>
      <c r="OG93" s="26"/>
      <c r="OH93" s="26"/>
      <c r="OI93" s="26"/>
      <c r="OJ93" s="26"/>
      <c r="OK93" s="26"/>
      <c r="OL93" s="26"/>
      <c r="OM93" s="26"/>
      <c r="ON93" s="26"/>
      <c r="OO93" s="26"/>
      <c r="OP93" s="26"/>
      <c r="OQ93" s="26"/>
      <c r="OR93" s="26"/>
      <c r="OS93" s="26"/>
      <c r="OT93" s="26"/>
      <c r="OU93" s="26"/>
      <c r="OV93" s="26"/>
      <c r="OW93" s="26"/>
      <c r="OX93" s="26"/>
      <c r="OY93" s="26"/>
      <c r="OZ93" s="26"/>
      <c r="PA93" s="26"/>
      <c r="PB93" s="26"/>
      <c r="PC93" s="26"/>
      <c r="PD93" s="26"/>
      <c r="PE93" s="26"/>
      <c r="PF93" s="26"/>
      <c r="PG93" s="26"/>
      <c r="PH93" s="26"/>
      <c r="PI93" s="26"/>
      <c r="PJ93" s="26"/>
      <c r="PK93" s="26"/>
      <c r="PL93" s="26"/>
      <c r="PM93" s="26"/>
      <c r="PN93" s="26"/>
      <c r="PO93" s="26"/>
      <c r="PP93" s="26"/>
      <c r="PQ93" s="26"/>
      <c r="PR93" s="26"/>
      <c r="PS93" s="26"/>
      <c r="PT93" s="26"/>
      <c r="PU93" s="26"/>
      <c r="PV93" s="26"/>
      <c r="PW93" s="26"/>
      <c r="PX93" s="26"/>
      <c r="PY93" s="26"/>
      <c r="PZ93" s="26"/>
      <c r="QA93" s="26"/>
      <c r="QB93" s="26"/>
      <c r="QC93" s="26"/>
      <c r="QD93" s="26"/>
      <c r="QE93" s="26"/>
      <c r="QF93" s="26"/>
      <c r="QG93" s="26"/>
      <c r="QH93" s="26"/>
      <c r="QI93" s="26"/>
      <c r="QJ93" s="26"/>
      <c r="QK93" s="26"/>
      <c r="QL93" s="26"/>
      <c r="QM93" s="26"/>
      <c r="QN93" s="26"/>
      <c r="QO93" s="26"/>
      <c r="QP93" s="26"/>
      <c r="QQ93" s="26"/>
      <c r="QR93" s="26"/>
      <c r="QS93" s="26"/>
      <c r="QT93" s="26"/>
      <c r="QU93" s="26"/>
      <c r="QV93" s="26"/>
      <c r="QW93" s="26"/>
      <c r="QX93" s="26"/>
      <c r="QY93" s="26"/>
      <c r="QZ93" s="26"/>
      <c r="RA93" s="26"/>
      <c r="RB93" s="26"/>
      <c r="RC93" s="26"/>
      <c r="RD93" s="26"/>
      <c r="RE93" s="26"/>
      <c r="RF93" s="26"/>
      <c r="RG93" s="26"/>
      <c r="RH93" s="26"/>
      <c r="RI93" s="26"/>
      <c r="RJ93" s="26"/>
      <c r="RK93" s="26"/>
      <c r="RL93" s="26"/>
      <c r="RM93" s="26"/>
      <c r="RN93" s="26"/>
      <c r="RO93" s="26"/>
      <c r="RP93" s="26"/>
      <c r="RQ93" s="26"/>
      <c r="RR93" s="26"/>
      <c r="RS93" s="26"/>
      <c r="RT93" s="26"/>
      <c r="RU93" s="26"/>
      <c r="RV93" s="26"/>
      <c r="RW93" s="26"/>
      <c r="RX93" s="26"/>
      <c r="RY93" s="26"/>
      <c r="RZ93" s="26"/>
      <c r="SA93" s="26"/>
      <c r="SB93" s="26"/>
      <c r="SC93" s="26"/>
      <c r="SD93" s="26"/>
      <c r="SE93" s="26"/>
      <c r="SF93" s="26"/>
      <c r="SG93" s="26"/>
      <c r="SH93" s="26"/>
      <c r="SI93" s="26"/>
      <c r="SJ93" s="26"/>
      <c r="SK93" s="26"/>
      <c r="SL93" s="26"/>
      <c r="SM93" s="26"/>
      <c r="SN93" s="26"/>
      <c r="SO93" s="26"/>
      <c r="SP93" s="26"/>
      <c r="SQ93" s="26"/>
      <c r="SR93" s="26"/>
      <c r="SS93" s="26"/>
      <c r="ST93" s="26"/>
      <c r="SU93" s="26"/>
      <c r="SV93" s="26"/>
      <c r="SW93" s="26"/>
      <c r="SX93" s="26"/>
      <c r="SY93" s="26"/>
      <c r="SZ93" s="26"/>
      <c r="TA93" s="26"/>
      <c r="TB93" s="26"/>
      <c r="TC93" s="26"/>
      <c r="TD93" s="26"/>
      <c r="TE93" s="26"/>
      <c r="TF93" s="26"/>
      <c r="TG93" s="26"/>
      <c r="TH93" s="26"/>
      <c r="TI93" s="26"/>
    </row>
    <row r="94" spans="1:529" s="23" customFormat="1" ht="25.5" customHeight="1" x14ac:dyDescent="0.25">
      <c r="A94" s="43" t="s">
        <v>439</v>
      </c>
      <c r="B94" s="44">
        <v>7321</v>
      </c>
      <c r="C94" s="44" t="str">
        <f>'дод 4'!B141</f>
        <v>0443</v>
      </c>
      <c r="D94" s="24" t="str">
        <f>'дод 4'!C141</f>
        <v>Будівництво освітніх установ та закладів</v>
      </c>
      <c r="E94" s="66">
        <f t="shared" si="26"/>
        <v>0</v>
      </c>
      <c r="F94" s="66"/>
      <c r="G94" s="66"/>
      <c r="H94" s="66"/>
      <c r="I94" s="66"/>
      <c r="J94" s="66">
        <f t="shared" si="28"/>
        <v>22744539</v>
      </c>
      <c r="K94" s="66">
        <f>50000+23865697+79000+300000+49950-30000+220962+50000-915000-100000-200000+47000-700000+26930</f>
        <v>22744539</v>
      </c>
      <c r="L94" s="66"/>
      <c r="M94" s="66"/>
      <c r="N94" s="66"/>
      <c r="O94" s="66">
        <f>50000+23865697+79000+300000+49950-30000+220962+50000-915000-100000-200000+47000-700000+26930</f>
        <v>22744539</v>
      </c>
      <c r="P94" s="66">
        <f t="shared" si="27"/>
        <v>22744539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</row>
    <row r="95" spans="1:529" s="23" customFormat="1" ht="48" customHeight="1" x14ac:dyDescent="0.25">
      <c r="A95" s="43" t="s">
        <v>409</v>
      </c>
      <c r="B95" s="44">
        <v>7363</v>
      </c>
      <c r="C95" s="104" t="s">
        <v>89</v>
      </c>
      <c r="D95" s="24" t="s">
        <v>463</v>
      </c>
      <c r="E95" s="66">
        <f t="shared" si="26"/>
        <v>0</v>
      </c>
      <c r="F95" s="66"/>
      <c r="G95" s="66"/>
      <c r="H95" s="66"/>
      <c r="I95" s="66"/>
      <c r="J95" s="66">
        <f t="shared" si="28"/>
        <v>11766760.91</v>
      </c>
      <c r="K95" s="66">
        <f>7502.36+250078.55+10246418+23318+24444+1215000</f>
        <v>11766760.91</v>
      </c>
      <c r="L95" s="66"/>
      <c r="M95" s="66"/>
      <c r="N95" s="66"/>
      <c r="O95" s="66">
        <f>7502.36+250078.55+10246418+23318+24444+1215000</f>
        <v>11766760.91</v>
      </c>
      <c r="P95" s="66">
        <f t="shared" si="27"/>
        <v>11766760.91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  <c r="IW95" s="26"/>
      <c r="IX95" s="26"/>
      <c r="IY95" s="26"/>
      <c r="IZ95" s="26"/>
      <c r="JA95" s="26"/>
      <c r="JB95" s="26"/>
      <c r="JC95" s="26"/>
      <c r="JD95" s="26"/>
      <c r="JE95" s="26"/>
      <c r="JF95" s="26"/>
      <c r="JG95" s="26"/>
      <c r="JH95" s="26"/>
      <c r="JI95" s="26"/>
      <c r="JJ95" s="26"/>
      <c r="JK95" s="26"/>
      <c r="JL95" s="26"/>
      <c r="JM95" s="26"/>
      <c r="JN95" s="26"/>
      <c r="JO95" s="26"/>
      <c r="JP95" s="26"/>
      <c r="JQ95" s="26"/>
      <c r="JR95" s="26"/>
      <c r="JS95" s="26"/>
      <c r="JT95" s="26"/>
      <c r="JU95" s="26"/>
      <c r="JV95" s="26"/>
      <c r="JW95" s="26"/>
      <c r="JX95" s="26"/>
      <c r="JY95" s="26"/>
      <c r="JZ95" s="26"/>
      <c r="KA95" s="26"/>
      <c r="KB95" s="26"/>
      <c r="KC95" s="26"/>
      <c r="KD95" s="26"/>
      <c r="KE95" s="26"/>
      <c r="KF95" s="26"/>
      <c r="KG95" s="26"/>
      <c r="KH95" s="26"/>
      <c r="KI95" s="26"/>
      <c r="KJ95" s="26"/>
      <c r="KK95" s="26"/>
      <c r="KL95" s="26"/>
      <c r="KM95" s="26"/>
      <c r="KN95" s="26"/>
      <c r="KO95" s="26"/>
      <c r="KP95" s="26"/>
      <c r="KQ95" s="26"/>
      <c r="KR95" s="26"/>
      <c r="KS95" s="26"/>
      <c r="KT95" s="26"/>
      <c r="KU95" s="26"/>
      <c r="KV95" s="26"/>
      <c r="KW95" s="26"/>
      <c r="KX95" s="26"/>
      <c r="KY95" s="26"/>
      <c r="KZ95" s="26"/>
      <c r="LA95" s="26"/>
      <c r="LB95" s="26"/>
      <c r="LC95" s="26"/>
      <c r="LD95" s="26"/>
      <c r="LE95" s="26"/>
      <c r="LF95" s="26"/>
      <c r="LG95" s="26"/>
      <c r="LH95" s="26"/>
      <c r="LI95" s="26"/>
      <c r="LJ95" s="26"/>
      <c r="LK95" s="26"/>
      <c r="LL95" s="26"/>
      <c r="LM95" s="26"/>
      <c r="LN95" s="26"/>
      <c r="LO95" s="26"/>
      <c r="LP95" s="26"/>
      <c r="LQ95" s="26"/>
      <c r="LR95" s="26"/>
      <c r="LS95" s="26"/>
      <c r="LT95" s="26"/>
      <c r="LU95" s="26"/>
      <c r="LV95" s="26"/>
      <c r="LW95" s="26"/>
      <c r="LX95" s="26"/>
      <c r="LY95" s="26"/>
      <c r="LZ95" s="26"/>
      <c r="MA95" s="26"/>
      <c r="MB95" s="26"/>
      <c r="MC95" s="26"/>
      <c r="MD95" s="26"/>
      <c r="ME95" s="26"/>
      <c r="MF95" s="26"/>
      <c r="MG95" s="26"/>
      <c r="MH95" s="26"/>
      <c r="MI95" s="26"/>
      <c r="MJ95" s="26"/>
      <c r="MK95" s="26"/>
      <c r="ML95" s="26"/>
      <c r="MM95" s="26"/>
      <c r="MN95" s="26"/>
      <c r="MO95" s="26"/>
      <c r="MP95" s="26"/>
      <c r="MQ95" s="26"/>
      <c r="MR95" s="26"/>
      <c r="MS95" s="26"/>
      <c r="MT95" s="26"/>
      <c r="MU95" s="26"/>
      <c r="MV95" s="26"/>
      <c r="MW95" s="26"/>
      <c r="MX95" s="26"/>
      <c r="MY95" s="26"/>
      <c r="MZ95" s="26"/>
      <c r="NA95" s="26"/>
      <c r="NB95" s="26"/>
      <c r="NC95" s="26"/>
      <c r="ND95" s="26"/>
      <c r="NE95" s="26"/>
      <c r="NF95" s="26"/>
      <c r="NG95" s="26"/>
      <c r="NH95" s="26"/>
      <c r="NI95" s="26"/>
      <c r="NJ95" s="26"/>
      <c r="NK95" s="26"/>
      <c r="NL95" s="26"/>
      <c r="NM95" s="26"/>
      <c r="NN95" s="26"/>
      <c r="NO95" s="26"/>
      <c r="NP95" s="26"/>
      <c r="NQ95" s="26"/>
      <c r="NR95" s="26"/>
      <c r="NS95" s="26"/>
      <c r="NT95" s="26"/>
      <c r="NU95" s="26"/>
      <c r="NV95" s="26"/>
      <c r="NW95" s="26"/>
      <c r="NX95" s="26"/>
      <c r="NY95" s="26"/>
      <c r="NZ95" s="26"/>
      <c r="OA95" s="26"/>
      <c r="OB95" s="26"/>
      <c r="OC95" s="26"/>
      <c r="OD95" s="26"/>
      <c r="OE95" s="26"/>
      <c r="OF95" s="26"/>
      <c r="OG95" s="26"/>
      <c r="OH95" s="26"/>
      <c r="OI95" s="26"/>
      <c r="OJ95" s="26"/>
      <c r="OK95" s="26"/>
      <c r="OL95" s="26"/>
      <c r="OM95" s="26"/>
      <c r="ON95" s="26"/>
      <c r="OO95" s="26"/>
      <c r="OP95" s="26"/>
      <c r="OQ95" s="26"/>
      <c r="OR95" s="26"/>
      <c r="OS95" s="26"/>
      <c r="OT95" s="26"/>
      <c r="OU95" s="26"/>
      <c r="OV95" s="26"/>
      <c r="OW95" s="26"/>
      <c r="OX95" s="26"/>
      <c r="OY95" s="26"/>
      <c r="OZ95" s="26"/>
      <c r="PA95" s="26"/>
      <c r="PB95" s="26"/>
      <c r="PC95" s="26"/>
      <c r="PD95" s="26"/>
      <c r="PE95" s="26"/>
      <c r="PF95" s="26"/>
      <c r="PG95" s="26"/>
      <c r="PH95" s="26"/>
      <c r="PI95" s="26"/>
      <c r="PJ95" s="26"/>
      <c r="PK95" s="26"/>
      <c r="PL95" s="26"/>
      <c r="PM95" s="26"/>
      <c r="PN95" s="26"/>
      <c r="PO95" s="26"/>
      <c r="PP95" s="26"/>
      <c r="PQ95" s="26"/>
      <c r="PR95" s="26"/>
      <c r="PS95" s="26"/>
      <c r="PT95" s="26"/>
      <c r="PU95" s="26"/>
      <c r="PV95" s="26"/>
      <c r="PW95" s="26"/>
      <c r="PX95" s="26"/>
      <c r="PY95" s="26"/>
      <c r="PZ95" s="26"/>
      <c r="QA95" s="26"/>
      <c r="QB95" s="26"/>
      <c r="QC95" s="26"/>
      <c r="QD95" s="26"/>
      <c r="QE95" s="26"/>
      <c r="QF95" s="26"/>
      <c r="QG95" s="26"/>
      <c r="QH95" s="26"/>
      <c r="QI95" s="26"/>
      <c r="QJ95" s="26"/>
      <c r="QK95" s="26"/>
      <c r="QL95" s="26"/>
      <c r="QM95" s="26"/>
      <c r="QN95" s="26"/>
      <c r="QO95" s="26"/>
      <c r="QP95" s="26"/>
      <c r="QQ95" s="26"/>
      <c r="QR95" s="26"/>
      <c r="QS95" s="26"/>
      <c r="QT95" s="26"/>
      <c r="QU95" s="26"/>
      <c r="QV95" s="26"/>
      <c r="QW95" s="26"/>
      <c r="QX95" s="26"/>
      <c r="QY95" s="26"/>
      <c r="QZ95" s="26"/>
      <c r="RA95" s="26"/>
      <c r="RB95" s="26"/>
      <c r="RC95" s="26"/>
      <c r="RD95" s="26"/>
      <c r="RE95" s="26"/>
      <c r="RF95" s="26"/>
      <c r="RG95" s="26"/>
      <c r="RH95" s="26"/>
      <c r="RI95" s="26"/>
      <c r="RJ95" s="26"/>
      <c r="RK95" s="26"/>
      <c r="RL95" s="26"/>
      <c r="RM95" s="26"/>
      <c r="RN95" s="26"/>
      <c r="RO95" s="26"/>
      <c r="RP95" s="26"/>
      <c r="RQ95" s="26"/>
      <c r="RR95" s="26"/>
      <c r="RS95" s="26"/>
      <c r="RT95" s="26"/>
      <c r="RU95" s="26"/>
      <c r="RV95" s="26"/>
      <c r="RW95" s="26"/>
      <c r="RX95" s="26"/>
      <c r="RY95" s="26"/>
      <c r="RZ95" s="26"/>
      <c r="SA95" s="26"/>
      <c r="SB95" s="26"/>
      <c r="SC95" s="26"/>
      <c r="SD95" s="26"/>
      <c r="SE95" s="26"/>
      <c r="SF95" s="26"/>
      <c r="SG95" s="26"/>
      <c r="SH95" s="26"/>
      <c r="SI95" s="26"/>
      <c r="SJ95" s="26"/>
      <c r="SK95" s="26"/>
      <c r="SL95" s="26"/>
      <c r="SM95" s="26"/>
      <c r="SN95" s="26"/>
      <c r="SO95" s="26"/>
      <c r="SP95" s="26"/>
      <c r="SQ95" s="26"/>
      <c r="SR95" s="26"/>
      <c r="SS95" s="26"/>
      <c r="ST95" s="26"/>
      <c r="SU95" s="26"/>
      <c r="SV95" s="26"/>
      <c r="SW95" s="26"/>
      <c r="SX95" s="26"/>
      <c r="SY95" s="26"/>
      <c r="SZ95" s="26"/>
      <c r="TA95" s="26"/>
      <c r="TB95" s="26"/>
      <c r="TC95" s="26"/>
      <c r="TD95" s="26"/>
      <c r="TE95" s="26"/>
      <c r="TF95" s="26"/>
      <c r="TG95" s="26"/>
      <c r="TH95" s="26"/>
      <c r="TI95" s="26"/>
    </row>
    <row r="96" spans="1:529" s="27" customFormat="1" ht="45" x14ac:dyDescent="0.25">
      <c r="A96" s="145"/>
      <c r="B96" s="146"/>
      <c r="C96" s="146"/>
      <c r="D96" s="143" t="s">
        <v>452</v>
      </c>
      <c r="E96" s="144">
        <f t="shared" si="26"/>
        <v>0</v>
      </c>
      <c r="F96" s="144"/>
      <c r="G96" s="144"/>
      <c r="H96" s="144"/>
      <c r="I96" s="144"/>
      <c r="J96" s="144">
        <f t="shared" si="28"/>
        <v>10496496.550000001</v>
      </c>
      <c r="K96" s="144">
        <f>250078.55+10246418</f>
        <v>10496496.550000001</v>
      </c>
      <c r="L96" s="144"/>
      <c r="M96" s="144"/>
      <c r="N96" s="144"/>
      <c r="O96" s="144">
        <f>250078.55+10246418</f>
        <v>10496496.550000001</v>
      </c>
      <c r="P96" s="144">
        <f t="shared" si="27"/>
        <v>10496496.550000001</v>
      </c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  <c r="IW96" s="36"/>
      <c r="IX96" s="36"/>
      <c r="IY96" s="36"/>
      <c r="IZ96" s="36"/>
      <c r="JA96" s="36"/>
      <c r="JB96" s="36"/>
      <c r="JC96" s="36"/>
      <c r="JD96" s="36"/>
      <c r="JE96" s="36"/>
      <c r="JF96" s="36"/>
      <c r="JG96" s="36"/>
      <c r="JH96" s="36"/>
      <c r="JI96" s="36"/>
      <c r="JJ96" s="36"/>
      <c r="JK96" s="36"/>
      <c r="JL96" s="36"/>
      <c r="JM96" s="36"/>
      <c r="JN96" s="36"/>
      <c r="JO96" s="36"/>
      <c r="JP96" s="36"/>
      <c r="JQ96" s="36"/>
      <c r="JR96" s="36"/>
      <c r="JS96" s="36"/>
      <c r="JT96" s="36"/>
      <c r="JU96" s="36"/>
      <c r="JV96" s="36"/>
      <c r="JW96" s="36"/>
      <c r="JX96" s="36"/>
      <c r="JY96" s="36"/>
      <c r="JZ96" s="36"/>
      <c r="KA96" s="36"/>
      <c r="KB96" s="36"/>
      <c r="KC96" s="36"/>
      <c r="KD96" s="36"/>
      <c r="KE96" s="36"/>
      <c r="KF96" s="36"/>
      <c r="KG96" s="36"/>
      <c r="KH96" s="36"/>
      <c r="KI96" s="36"/>
      <c r="KJ96" s="36"/>
      <c r="KK96" s="36"/>
      <c r="KL96" s="36"/>
      <c r="KM96" s="36"/>
      <c r="KN96" s="36"/>
      <c r="KO96" s="36"/>
      <c r="KP96" s="36"/>
      <c r="KQ96" s="36"/>
      <c r="KR96" s="36"/>
      <c r="KS96" s="36"/>
      <c r="KT96" s="36"/>
      <c r="KU96" s="36"/>
      <c r="KV96" s="36"/>
      <c r="KW96" s="36"/>
      <c r="KX96" s="36"/>
      <c r="KY96" s="36"/>
      <c r="KZ96" s="36"/>
      <c r="LA96" s="36"/>
      <c r="LB96" s="36"/>
      <c r="LC96" s="36"/>
      <c r="LD96" s="36"/>
      <c r="LE96" s="36"/>
      <c r="LF96" s="36"/>
      <c r="LG96" s="36"/>
      <c r="LH96" s="36"/>
      <c r="LI96" s="36"/>
      <c r="LJ96" s="36"/>
      <c r="LK96" s="36"/>
      <c r="LL96" s="36"/>
      <c r="LM96" s="36"/>
      <c r="LN96" s="36"/>
      <c r="LO96" s="36"/>
      <c r="LP96" s="36"/>
      <c r="LQ96" s="36"/>
      <c r="LR96" s="36"/>
      <c r="LS96" s="36"/>
      <c r="LT96" s="36"/>
      <c r="LU96" s="36"/>
      <c r="LV96" s="36"/>
      <c r="LW96" s="36"/>
      <c r="LX96" s="36"/>
      <c r="LY96" s="36"/>
      <c r="LZ96" s="36"/>
      <c r="MA96" s="36"/>
      <c r="MB96" s="36"/>
      <c r="MC96" s="36"/>
      <c r="MD96" s="36"/>
      <c r="ME96" s="36"/>
      <c r="MF96" s="36"/>
      <c r="MG96" s="36"/>
      <c r="MH96" s="36"/>
      <c r="MI96" s="36"/>
      <c r="MJ96" s="36"/>
      <c r="MK96" s="36"/>
      <c r="ML96" s="36"/>
      <c r="MM96" s="36"/>
      <c r="MN96" s="36"/>
      <c r="MO96" s="36"/>
      <c r="MP96" s="36"/>
      <c r="MQ96" s="36"/>
      <c r="MR96" s="36"/>
      <c r="MS96" s="36"/>
      <c r="MT96" s="36"/>
      <c r="MU96" s="36"/>
      <c r="MV96" s="36"/>
      <c r="MW96" s="36"/>
      <c r="MX96" s="36"/>
      <c r="MY96" s="36"/>
      <c r="MZ96" s="36"/>
      <c r="NA96" s="36"/>
      <c r="NB96" s="36"/>
      <c r="NC96" s="36"/>
      <c r="ND96" s="36"/>
      <c r="NE96" s="36"/>
      <c r="NF96" s="36"/>
      <c r="NG96" s="36"/>
      <c r="NH96" s="36"/>
      <c r="NI96" s="36"/>
      <c r="NJ96" s="36"/>
      <c r="NK96" s="36"/>
      <c r="NL96" s="36"/>
      <c r="NM96" s="36"/>
      <c r="NN96" s="36"/>
      <c r="NO96" s="36"/>
      <c r="NP96" s="36"/>
      <c r="NQ96" s="36"/>
      <c r="NR96" s="36"/>
      <c r="NS96" s="36"/>
      <c r="NT96" s="36"/>
      <c r="NU96" s="36"/>
      <c r="NV96" s="36"/>
      <c r="NW96" s="36"/>
      <c r="NX96" s="36"/>
      <c r="NY96" s="36"/>
      <c r="NZ96" s="36"/>
      <c r="OA96" s="36"/>
      <c r="OB96" s="36"/>
      <c r="OC96" s="36"/>
      <c r="OD96" s="36"/>
      <c r="OE96" s="36"/>
      <c r="OF96" s="36"/>
      <c r="OG96" s="36"/>
      <c r="OH96" s="36"/>
      <c r="OI96" s="36"/>
      <c r="OJ96" s="36"/>
      <c r="OK96" s="36"/>
      <c r="OL96" s="36"/>
      <c r="OM96" s="36"/>
      <c r="ON96" s="36"/>
      <c r="OO96" s="36"/>
      <c r="OP96" s="36"/>
      <c r="OQ96" s="36"/>
      <c r="OR96" s="36"/>
      <c r="OS96" s="36"/>
      <c r="OT96" s="36"/>
      <c r="OU96" s="36"/>
      <c r="OV96" s="36"/>
      <c r="OW96" s="36"/>
      <c r="OX96" s="36"/>
      <c r="OY96" s="36"/>
      <c r="OZ96" s="36"/>
      <c r="PA96" s="36"/>
      <c r="PB96" s="36"/>
      <c r="PC96" s="36"/>
      <c r="PD96" s="36"/>
      <c r="PE96" s="36"/>
      <c r="PF96" s="36"/>
      <c r="PG96" s="36"/>
      <c r="PH96" s="36"/>
      <c r="PI96" s="36"/>
      <c r="PJ96" s="36"/>
      <c r="PK96" s="36"/>
      <c r="PL96" s="36"/>
      <c r="PM96" s="36"/>
      <c r="PN96" s="36"/>
      <c r="PO96" s="36"/>
      <c r="PP96" s="36"/>
      <c r="PQ96" s="36"/>
      <c r="PR96" s="36"/>
      <c r="PS96" s="36"/>
      <c r="PT96" s="36"/>
      <c r="PU96" s="36"/>
      <c r="PV96" s="36"/>
      <c r="PW96" s="36"/>
      <c r="PX96" s="36"/>
      <c r="PY96" s="36"/>
      <c r="PZ96" s="36"/>
      <c r="QA96" s="36"/>
      <c r="QB96" s="36"/>
      <c r="QC96" s="36"/>
      <c r="QD96" s="36"/>
      <c r="QE96" s="36"/>
      <c r="QF96" s="36"/>
      <c r="QG96" s="36"/>
      <c r="QH96" s="36"/>
      <c r="QI96" s="36"/>
      <c r="QJ96" s="36"/>
      <c r="QK96" s="36"/>
      <c r="QL96" s="36"/>
      <c r="QM96" s="36"/>
      <c r="QN96" s="36"/>
      <c r="QO96" s="36"/>
      <c r="QP96" s="36"/>
      <c r="QQ96" s="36"/>
      <c r="QR96" s="36"/>
      <c r="QS96" s="36"/>
      <c r="QT96" s="36"/>
      <c r="QU96" s="36"/>
      <c r="QV96" s="36"/>
      <c r="QW96" s="36"/>
      <c r="QX96" s="36"/>
      <c r="QY96" s="36"/>
      <c r="QZ96" s="36"/>
      <c r="RA96" s="36"/>
      <c r="RB96" s="36"/>
      <c r="RC96" s="36"/>
      <c r="RD96" s="36"/>
      <c r="RE96" s="36"/>
      <c r="RF96" s="36"/>
      <c r="RG96" s="36"/>
      <c r="RH96" s="36"/>
      <c r="RI96" s="36"/>
      <c r="RJ96" s="36"/>
      <c r="RK96" s="36"/>
      <c r="RL96" s="36"/>
      <c r="RM96" s="36"/>
      <c r="RN96" s="36"/>
      <c r="RO96" s="36"/>
      <c r="RP96" s="36"/>
      <c r="RQ96" s="36"/>
      <c r="RR96" s="36"/>
      <c r="RS96" s="36"/>
      <c r="RT96" s="36"/>
      <c r="RU96" s="36"/>
      <c r="RV96" s="36"/>
      <c r="RW96" s="36"/>
      <c r="RX96" s="36"/>
      <c r="RY96" s="36"/>
      <c r="RZ96" s="36"/>
      <c r="SA96" s="36"/>
      <c r="SB96" s="36"/>
      <c r="SC96" s="36"/>
      <c r="SD96" s="36"/>
      <c r="SE96" s="36"/>
      <c r="SF96" s="36"/>
      <c r="SG96" s="36"/>
      <c r="SH96" s="36"/>
      <c r="SI96" s="36"/>
      <c r="SJ96" s="36"/>
      <c r="SK96" s="36"/>
      <c r="SL96" s="36"/>
      <c r="SM96" s="36"/>
      <c r="SN96" s="36"/>
      <c r="SO96" s="36"/>
      <c r="SP96" s="36"/>
      <c r="SQ96" s="36"/>
      <c r="SR96" s="36"/>
      <c r="SS96" s="36"/>
      <c r="ST96" s="36"/>
      <c r="SU96" s="36"/>
      <c r="SV96" s="36"/>
      <c r="SW96" s="36"/>
      <c r="SX96" s="36"/>
      <c r="SY96" s="36"/>
      <c r="SZ96" s="36"/>
      <c r="TA96" s="36"/>
      <c r="TB96" s="36"/>
      <c r="TC96" s="36"/>
      <c r="TD96" s="36"/>
      <c r="TE96" s="36"/>
      <c r="TF96" s="36"/>
      <c r="TG96" s="36"/>
      <c r="TH96" s="36"/>
      <c r="TI96" s="36"/>
    </row>
    <row r="97" spans="1:529" s="23" customFormat="1" ht="25.5" customHeight="1" x14ac:dyDescent="0.25">
      <c r="A97" s="43" t="s">
        <v>184</v>
      </c>
      <c r="B97" s="44" t="str">
        <f>'дод 4'!A163</f>
        <v>7640</v>
      </c>
      <c r="C97" s="44" t="str">
        <f>'дод 4'!B163</f>
        <v>0470</v>
      </c>
      <c r="D97" s="24" t="s">
        <v>513</v>
      </c>
      <c r="E97" s="66">
        <f t="shared" si="26"/>
        <v>507300.8</v>
      </c>
      <c r="F97" s="66">
        <f>578800-71499.2</f>
        <v>507300.8</v>
      </c>
      <c r="G97" s="66"/>
      <c r="H97" s="66"/>
      <c r="I97" s="66"/>
      <c r="J97" s="66">
        <f t="shared" si="28"/>
        <v>3174749.2</v>
      </c>
      <c r="K97" s="66">
        <f>2993200+71499.2+160000-49950</f>
        <v>3174749.2</v>
      </c>
      <c r="L97" s="66"/>
      <c r="M97" s="66"/>
      <c r="N97" s="66"/>
      <c r="O97" s="66">
        <f>2993200+71499.2+160000-49950</f>
        <v>3174749.2</v>
      </c>
      <c r="P97" s="66">
        <f t="shared" si="27"/>
        <v>3682050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  <c r="IW97" s="26"/>
      <c r="IX97" s="26"/>
      <c r="IY97" s="26"/>
      <c r="IZ97" s="26"/>
      <c r="JA97" s="26"/>
      <c r="JB97" s="26"/>
      <c r="JC97" s="26"/>
      <c r="JD97" s="26"/>
      <c r="JE97" s="26"/>
      <c r="JF97" s="26"/>
      <c r="JG97" s="26"/>
      <c r="JH97" s="26"/>
      <c r="JI97" s="26"/>
      <c r="JJ97" s="26"/>
      <c r="JK97" s="26"/>
      <c r="JL97" s="26"/>
      <c r="JM97" s="26"/>
      <c r="JN97" s="26"/>
      <c r="JO97" s="26"/>
      <c r="JP97" s="26"/>
      <c r="JQ97" s="26"/>
      <c r="JR97" s="26"/>
      <c r="JS97" s="26"/>
      <c r="JT97" s="26"/>
      <c r="JU97" s="26"/>
      <c r="JV97" s="26"/>
      <c r="JW97" s="26"/>
      <c r="JX97" s="26"/>
      <c r="JY97" s="26"/>
      <c r="JZ97" s="26"/>
      <c r="KA97" s="26"/>
      <c r="KB97" s="26"/>
      <c r="KC97" s="26"/>
      <c r="KD97" s="26"/>
      <c r="KE97" s="26"/>
      <c r="KF97" s="26"/>
      <c r="KG97" s="26"/>
      <c r="KH97" s="26"/>
      <c r="KI97" s="26"/>
      <c r="KJ97" s="26"/>
      <c r="KK97" s="26"/>
      <c r="KL97" s="26"/>
      <c r="KM97" s="26"/>
      <c r="KN97" s="26"/>
      <c r="KO97" s="26"/>
      <c r="KP97" s="26"/>
      <c r="KQ97" s="26"/>
      <c r="KR97" s="26"/>
      <c r="KS97" s="26"/>
      <c r="KT97" s="26"/>
      <c r="KU97" s="26"/>
      <c r="KV97" s="26"/>
      <c r="KW97" s="26"/>
      <c r="KX97" s="26"/>
      <c r="KY97" s="26"/>
      <c r="KZ97" s="26"/>
      <c r="LA97" s="26"/>
      <c r="LB97" s="26"/>
      <c r="LC97" s="26"/>
      <c r="LD97" s="26"/>
      <c r="LE97" s="26"/>
      <c r="LF97" s="26"/>
      <c r="LG97" s="26"/>
      <c r="LH97" s="26"/>
      <c r="LI97" s="26"/>
      <c r="LJ97" s="26"/>
      <c r="LK97" s="26"/>
      <c r="LL97" s="26"/>
      <c r="LM97" s="26"/>
      <c r="LN97" s="26"/>
      <c r="LO97" s="26"/>
      <c r="LP97" s="26"/>
      <c r="LQ97" s="26"/>
      <c r="LR97" s="26"/>
      <c r="LS97" s="26"/>
      <c r="LT97" s="26"/>
      <c r="LU97" s="26"/>
      <c r="LV97" s="26"/>
      <c r="LW97" s="26"/>
      <c r="LX97" s="26"/>
      <c r="LY97" s="26"/>
      <c r="LZ97" s="26"/>
      <c r="MA97" s="26"/>
      <c r="MB97" s="26"/>
      <c r="MC97" s="26"/>
      <c r="MD97" s="26"/>
      <c r="ME97" s="26"/>
      <c r="MF97" s="26"/>
      <c r="MG97" s="26"/>
      <c r="MH97" s="26"/>
      <c r="MI97" s="26"/>
      <c r="MJ97" s="26"/>
      <c r="MK97" s="26"/>
      <c r="ML97" s="26"/>
      <c r="MM97" s="26"/>
      <c r="MN97" s="26"/>
      <c r="MO97" s="26"/>
      <c r="MP97" s="26"/>
      <c r="MQ97" s="26"/>
      <c r="MR97" s="26"/>
      <c r="MS97" s="26"/>
      <c r="MT97" s="26"/>
      <c r="MU97" s="26"/>
      <c r="MV97" s="26"/>
      <c r="MW97" s="26"/>
      <c r="MX97" s="26"/>
      <c r="MY97" s="26"/>
      <c r="MZ97" s="26"/>
      <c r="NA97" s="26"/>
      <c r="NB97" s="26"/>
      <c r="NC97" s="26"/>
      <c r="ND97" s="26"/>
      <c r="NE97" s="26"/>
      <c r="NF97" s="26"/>
      <c r="NG97" s="26"/>
      <c r="NH97" s="26"/>
      <c r="NI97" s="26"/>
      <c r="NJ97" s="26"/>
      <c r="NK97" s="26"/>
      <c r="NL97" s="26"/>
      <c r="NM97" s="26"/>
      <c r="NN97" s="26"/>
      <c r="NO97" s="26"/>
      <c r="NP97" s="26"/>
      <c r="NQ97" s="26"/>
      <c r="NR97" s="26"/>
      <c r="NS97" s="26"/>
      <c r="NT97" s="26"/>
      <c r="NU97" s="26"/>
      <c r="NV97" s="26"/>
      <c r="NW97" s="26"/>
      <c r="NX97" s="26"/>
      <c r="NY97" s="26"/>
      <c r="NZ97" s="26"/>
      <c r="OA97" s="26"/>
      <c r="OB97" s="26"/>
      <c r="OC97" s="26"/>
      <c r="OD97" s="26"/>
      <c r="OE97" s="26"/>
      <c r="OF97" s="26"/>
      <c r="OG97" s="26"/>
      <c r="OH97" s="26"/>
      <c r="OI97" s="26"/>
      <c r="OJ97" s="26"/>
      <c r="OK97" s="26"/>
      <c r="OL97" s="26"/>
      <c r="OM97" s="26"/>
      <c r="ON97" s="26"/>
      <c r="OO97" s="26"/>
      <c r="OP97" s="26"/>
      <c r="OQ97" s="26"/>
      <c r="OR97" s="26"/>
      <c r="OS97" s="26"/>
      <c r="OT97" s="26"/>
      <c r="OU97" s="26"/>
      <c r="OV97" s="26"/>
      <c r="OW97" s="26"/>
      <c r="OX97" s="26"/>
      <c r="OY97" s="26"/>
      <c r="OZ97" s="26"/>
      <c r="PA97" s="26"/>
      <c r="PB97" s="26"/>
      <c r="PC97" s="26"/>
      <c r="PD97" s="26"/>
      <c r="PE97" s="26"/>
      <c r="PF97" s="26"/>
      <c r="PG97" s="26"/>
      <c r="PH97" s="26"/>
      <c r="PI97" s="26"/>
      <c r="PJ97" s="26"/>
      <c r="PK97" s="26"/>
      <c r="PL97" s="26"/>
      <c r="PM97" s="26"/>
      <c r="PN97" s="26"/>
      <c r="PO97" s="26"/>
      <c r="PP97" s="26"/>
      <c r="PQ97" s="26"/>
      <c r="PR97" s="26"/>
      <c r="PS97" s="26"/>
      <c r="PT97" s="26"/>
      <c r="PU97" s="26"/>
      <c r="PV97" s="26"/>
      <c r="PW97" s="26"/>
      <c r="PX97" s="26"/>
      <c r="PY97" s="26"/>
      <c r="PZ97" s="26"/>
      <c r="QA97" s="26"/>
      <c r="QB97" s="26"/>
      <c r="QC97" s="26"/>
      <c r="QD97" s="26"/>
      <c r="QE97" s="26"/>
      <c r="QF97" s="26"/>
      <c r="QG97" s="26"/>
      <c r="QH97" s="26"/>
      <c r="QI97" s="26"/>
      <c r="QJ97" s="26"/>
      <c r="QK97" s="26"/>
      <c r="QL97" s="26"/>
      <c r="QM97" s="26"/>
      <c r="QN97" s="26"/>
      <c r="QO97" s="26"/>
      <c r="QP97" s="26"/>
      <c r="QQ97" s="26"/>
      <c r="QR97" s="26"/>
      <c r="QS97" s="26"/>
      <c r="QT97" s="26"/>
      <c r="QU97" s="26"/>
      <c r="QV97" s="26"/>
      <c r="QW97" s="26"/>
      <c r="QX97" s="26"/>
      <c r="QY97" s="26"/>
      <c r="QZ97" s="26"/>
      <c r="RA97" s="26"/>
      <c r="RB97" s="26"/>
      <c r="RC97" s="26"/>
      <c r="RD97" s="26"/>
      <c r="RE97" s="26"/>
      <c r="RF97" s="26"/>
      <c r="RG97" s="26"/>
      <c r="RH97" s="26"/>
      <c r="RI97" s="26"/>
      <c r="RJ97" s="26"/>
      <c r="RK97" s="26"/>
      <c r="RL97" s="26"/>
      <c r="RM97" s="26"/>
      <c r="RN97" s="26"/>
      <c r="RO97" s="26"/>
      <c r="RP97" s="26"/>
      <c r="RQ97" s="26"/>
      <c r="RR97" s="26"/>
      <c r="RS97" s="26"/>
      <c r="RT97" s="26"/>
      <c r="RU97" s="26"/>
      <c r="RV97" s="26"/>
      <c r="RW97" s="26"/>
      <c r="RX97" s="26"/>
      <c r="RY97" s="26"/>
      <c r="RZ97" s="26"/>
      <c r="SA97" s="26"/>
      <c r="SB97" s="26"/>
      <c r="SC97" s="26"/>
      <c r="SD97" s="26"/>
      <c r="SE97" s="26"/>
      <c r="SF97" s="26"/>
      <c r="SG97" s="26"/>
      <c r="SH97" s="26"/>
      <c r="SI97" s="26"/>
      <c r="SJ97" s="26"/>
      <c r="SK97" s="26"/>
      <c r="SL97" s="26"/>
      <c r="SM97" s="26"/>
      <c r="SN97" s="26"/>
      <c r="SO97" s="26"/>
      <c r="SP97" s="26"/>
      <c r="SQ97" s="26"/>
      <c r="SR97" s="26"/>
      <c r="SS97" s="26"/>
      <c r="ST97" s="26"/>
      <c r="SU97" s="26"/>
      <c r="SV97" s="26"/>
      <c r="SW97" s="26"/>
      <c r="SX97" s="26"/>
      <c r="SY97" s="26"/>
      <c r="SZ97" s="26"/>
      <c r="TA97" s="26"/>
      <c r="TB97" s="26"/>
      <c r="TC97" s="26"/>
      <c r="TD97" s="26"/>
      <c r="TE97" s="26"/>
      <c r="TF97" s="26"/>
      <c r="TG97" s="26"/>
      <c r="TH97" s="26"/>
      <c r="TI97" s="26"/>
    </row>
    <row r="98" spans="1:529" s="23" customFormat="1" ht="20.25" customHeight="1" x14ac:dyDescent="0.25">
      <c r="A98" s="43" t="s">
        <v>185</v>
      </c>
      <c r="B98" s="44" t="str">
        <f>'дод 4'!A184</f>
        <v>8340</v>
      </c>
      <c r="C98" s="44" t="str">
        <f>'дод 4'!B184</f>
        <v>0540</v>
      </c>
      <c r="D98" s="24" t="str">
        <f>'дод 4'!C184</f>
        <v>Природоохоронні заходи за рахунок цільових фондів</v>
      </c>
      <c r="E98" s="66">
        <f t="shared" si="26"/>
        <v>0</v>
      </c>
      <c r="F98" s="66"/>
      <c r="G98" s="66"/>
      <c r="H98" s="66"/>
      <c r="I98" s="66"/>
      <c r="J98" s="66">
        <f t="shared" si="28"/>
        <v>400000</v>
      </c>
      <c r="K98" s="66"/>
      <c r="L98" s="66">
        <f>306000+10000</f>
        <v>316000</v>
      </c>
      <c r="M98" s="66"/>
      <c r="N98" s="66"/>
      <c r="O98" s="66">
        <v>84000</v>
      </c>
      <c r="P98" s="66">
        <f t="shared" si="27"/>
        <v>400000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  <c r="IW98" s="26"/>
      <c r="IX98" s="26"/>
      <c r="IY98" s="26"/>
      <c r="IZ98" s="26"/>
      <c r="JA98" s="26"/>
      <c r="JB98" s="26"/>
      <c r="JC98" s="26"/>
      <c r="JD98" s="26"/>
      <c r="JE98" s="26"/>
      <c r="JF98" s="26"/>
      <c r="JG98" s="26"/>
      <c r="JH98" s="26"/>
      <c r="JI98" s="26"/>
      <c r="JJ98" s="26"/>
      <c r="JK98" s="26"/>
      <c r="JL98" s="26"/>
      <c r="JM98" s="26"/>
      <c r="JN98" s="26"/>
      <c r="JO98" s="26"/>
      <c r="JP98" s="26"/>
      <c r="JQ98" s="26"/>
      <c r="JR98" s="26"/>
      <c r="JS98" s="26"/>
      <c r="JT98" s="26"/>
      <c r="JU98" s="26"/>
      <c r="JV98" s="26"/>
      <c r="JW98" s="26"/>
      <c r="JX98" s="26"/>
      <c r="JY98" s="26"/>
      <c r="JZ98" s="26"/>
      <c r="KA98" s="26"/>
      <c r="KB98" s="26"/>
      <c r="KC98" s="26"/>
      <c r="KD98" s="26"/>
      <c r="KE98" s="26"/>
      <c r="KF98" s="26"/>
      <c r="KG98" s="26"/>
      <c r="KH98" s="26"/>
      <c r="KI98" s="26"/>
      <c r="KJ98" s="26"/>
      <c r="KK98" s="26"/>
      <c r="KL98" s="26"/>
      <c r="KM98" s="26"/>
      <c r="KN98" s="26"/>
      <c r="KO98" s="26"/>
      <c r="KP98" s="26"/>
      <c r="KQ98" s="26"/>
      <c r="KR98" s="26"/>
      <c r="KS98" s="26"/>
      <c r="KT98" s="26"/>
      <c r="KU98" s="26"/>
      <c r="KV98" s="26"/>
      <c r="KW98" s="26"/>
      <c r="KX98" s="26"/>
      <c r="KY98" s="26"/>
      <c r="KZ98" s="26"/>
      <c r="LA98" s="26"/>
      <c r="LB98" s="26"/>
      <c r="LC98" s="26"/>
      <c r="LD98" s="26"/>
      <c r="LE98" s="26"/>
      <c r="LF98" s="26"/>
      <c r="LG98" s="26"/>
      <c r="LH98" s="26"/>
      <c r="LI98" s="26"/>
      <c r="LJ98" s="26"/>
      <c r="LK98" s="26"/>
      <c r="LL98" s="26"/>
      <c r="LM98" s="26"/>
      <c r="LN98" s="26"/>
      <c r="LO98" s="26"/>
      <c r="LP98" s="26"/>
      <c r="LQ98" s="26"/>
      <c r="LR98" s="26"/>
      <c r="LS98" s="26"/>
      <c r="LT98" s="26"/>
      <c r="LU98" s="26"/>
      <c r="LV98" s="26"/>
      <c r="LW98" s="26"/>
      <c r="LX98" s="26"/>
      <c r="LY98" s="26"/>
      <c r="LZ98" s="26"/>
      <c r="MA98" s="26"/>
      <c r="MB98" s="26"/>
      <c r="MC98" s="26"/>
      <c r="MD98" s="26"/>
      <c r="ME98" s="26"/>
      <c r="MF98" s="26"/>
      <c r="MG98" s="26"/>
      <c r="MH98" s="26"/>
      <c r="MI98" s="26"/>
      <c r="MJ98" s="26"/>
      <c r="MK98" s="26"/>
      <c r="ML98" s="26"/>
      <c r="MM98" s="26"/>
      <c r="MN98" s="26"/>
      <c r="MO98" s="26"/>
      <c r="MP98" s="26"/>
      <c r="MQ98" s="26"/>
      <c r="MR98" s="26"/>
      <c r="MS98" s="26"/>
      <c r="MT98" s="26"/>
      <c r="MU98" s="26"/>
      <c r="MV98" s="26"/>
      <c r="MW98" s="26"/>
      <c r="MX98" s="26"/>
      <c r="MY98" s="26"/>
      <c r="MZ98" s="26"/>
      <c r="NA98" s="26"/>
      <c r="NB98" s="26"/>
      <c r="NC98" s="26"/>
      <c r="ND98" s="26"/>
      <c r="NE98" s="26"/>
      <c r="NF98" s="26"/>
      <c r="NG98" s="26"/>
      <c r="NH98" s="26"/>
      <c r="NI98" s="26"/>
      <c r="NJ98" s="26"/>
      <c r="NK98" s="26"/>
      <c r="NL98" s="26"/>
      <c r="NM98" s="26"/>
      <c r="NN98" s="26"/>
      <c r="NO98" s="26"/>
      <c r="NP98" s="26"/>
      <c r="NQ98" s="26"/>
      <c r="NR98" s="26"/>
      <c r="NS98" s="26"/>
      <c r="NT98" s="26"/>
      <c r="NU98" s="26"/>
      <c r="NV98" s="26"/>
      <c r="NW98" s="26"/>
      <c r="NX98" s="26"/>
      <c r="NY98" s="26"/>
      <c r="NZ98" s="26"/>
      <c r="OA98" s="26"/>
      <c r="OB98" s="26"/>
      <c r="OC98" s="26"/>
      <c r="OD98" s="26"/>
      <c r="OE98" s="26"/>
      <c r="OF98" s="26"/>
      <c r="OG98" s="26"/>
      <c r="OH98" s="26"/>
      <c r="OI98" s="26"/>
      <c r="OJ98" s="26"/>
      <c r="OK98" s="26"/>
      <c r="OL98" s="26"/>
      <c r="OM98" s="26"/>
      <c r="ON98" s="26"/>
      <c r="OO98" s="26"/>
      <c r="OP98" s="26"/>
      <c r="OQ98" s="26"/>
      <c r="OR98" s="26"/>
      <c r="OS98" s="26"/>
      <c r="OT98" s="26"/>
      <c r="OU98" s="26"/>
      <c r="OV98" s="26"/>
      <c r="OW98" s="26"/>
      <c r="OX98" s="26"/>
      <c r="OY98" s="26"/>
      <c r="OZ98" s="26"/>
      <c r="PA98" s="26"/>
      <c r="PB98" s="26"/>
      <c r="PC98" s="26"/>
      <c r="PD98" s="26"/>
      <c r="PE98" s="26"/>
      <c r="PF98" s="26"/>
      <c r="PG98" s="26"/>
      <c r="PH98" s="26"/>
      <c r="PI98" s="26"/>
      <c r="PJ98" s="26"/>
      <c r="PK98" s="26"/>
      <c r="PL98" s="26"/>
      <c r="PM98" s="26"/>
      <c r="PN98" s="26"/>
      <c r="PO98" s="26"/>
      <c r="PP98" s="26"/>
      <c r="PQ98" s="26"/>
      <c r="PR98" s="26"/>
      <c r="PS98" s="26"/>
      <c r="PT98" s="26"/>
      <c r="PU98" s="26"/>
      <c r="PV98" s="26"/>
      <c r="PW98" s="26"/>
      <c r="PX98" s="26"/>
      <c r="PY98" s="26"/>
      <c r="PZ98" s="26"/>
      <c r="QA98" s="26"/>
      <c r="QB98" s="26"/>
      <c r="QC98" s="26"/>
      <c r="QD98" s="26"/>
      <c r="QE98" s="26"/>
      <c r="QF98" s="26"/>
      <c r="QG98" s="26"/>
      <c r="QH98" s="26"/>
      <c r="QI98" s="26"/>
      <c r="QJ98" s="26"/>
      <c r="QK98" s="26"/>
      <c r="QL98" s="26"/>
      <c r="QM98" s="26"/>
      <c r="QN98" s="26"/>
      <c r="QO98" s="26"/>
      <c r="QP98" s="26"/>
      <c r="QQ98" s="26"/>
      <c r="QR98" s="26"/>
      <c r="QS98" s="26"/>
      <c r="QT98" s="26"/>
      <c r="QU98" s="26"/>
      <c r="QV98" s="26"/>
      <c r="QW98" s="26"/>
      <c r="QX98" s="26"/>
      <c r="QY98" s="26"/>
      <c r="QZ98" s="26"/>
      <c r="RA98" s="26"/>
      <c r="RB98" s="26"/>
      <c r="RC98" s="26"/>
      <c r="RD98" s="26"/>
      <c r="RE98" s="26"/>
      <c r="RF98" s="26"/>
      <c r="RG98" s="26"/>
      <c r="RH98" s="26"/>
      <c r="RI98" s="26"/>
      <c r="RJ98" s="26"/>
      <c r="RK98" s="26"/>
      <c r="RL98" s="26"/>
      <c r="RM98" s="26"/>
      <c r="RN98" s="26"/>
      <c r="RO98" s="26"/>
      <c r="RP98" s="26"/>
      <c r="RQ98" s="26"/>
      <c r="RR98" s="26"/>
      <c r="RS98" s="26"/>
      <c r="RT98" s="26"/>
      <c r="RU98" s="26"/>
      <c r="RV98" s="26"/>
      <c r="RW98" s="26"/>
      <c r="RX98" s="26"/>
      <c r="RY98" s="26"/>
      <c r="RZ98" s="26"/>
      <c r="SA98" s="26"/>
      <c r="SB98" s="26"/>
      <c r="SC98" s="26"/>
      <c r="SD98" s="26"/>
      <c r="SE98" s="26"/>
      <c r="SF98" s="26"/>
      <c r="SG98" s="26"/>
      <c r="SH98" s="26"/>
      <c r="SI98" s="26"/>
      <c r="SJ98" s="26"/>
      <c r="SK98" s="26"/>
      <c r="SL98" s="26"/>
      <c r="SM98" s="26"/>
      <c r="SN98" s="26"/>
      <c r="SO98" s="26"/>
      <c r="SP98" s="26"/>
      <c r="SQ98" s="26"/>
      <c r="SR98" s="26"/>
      <c r="SS98" s="26"/>
      <c r="ST98" s="26"/>
      <c r="SU98" s="26"/>
      <c r="SV98" s="26"/>
      <c r="SW98" s="26"/>
      <c r="SX98" s="26"/>
      <c r="SY98" s="26"/>
      <c r="SZ98" s="26"/>
      <c r="TA98" s="26"/>
      <c r="TB98" s="26"/>
      <c r="TC98" s="26"/>
      <c r="TD98" s="26"/>
      <c r="TE98" s="26"/>
      <c r="TF98" s="26"/>
      <c r="TG98" s="26"/>
      <c r="TH98" s="26"/>
      <c r="TI98" s="26"/>
    </row>
    <row r="99" spans="1:529" s="23" customFormat="1" ht="46.5" customHeight="1" x14ac:dyDescent="0.25">
      <c r="A99" s="43" t="s">
        <v>505</v>
      </c>
      <c r="B99" s="44">
        <v>9310</v>
      </c>
      <c r="C99" s="43" t="s">
        <v>49</v>
      </c>
      <c r="D99" s="24" t="s">
        <v>511</v>
      </c>
      <c r="E99" s="66">
        <f t="shared" ref="E99" si="34">F99+I99</f>
        <v>9791954</v>
      </c>
      <c r="F99" s="66">
        <v>9791954</v>
      </c>
      <c r="G99" s="66"/>
      <c r="H99" s="66"/>
      <c r="I99" s="66"/>
      <c r="J99" s="66">
        <f t="shared" ref="J99" si="35">L99+O99</f>
        <v>0</v>
      </c>
      <c r="K99" s="66"/>
      <c r="L99" s="66"/>
      <c r="M99" s="66"/>
      <c r="N99" s="66"/>
      <c r="O99" s="66"/>
      <c r="P99" s="66">
        <f t="shared" si="27"/>
        <v>9791954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  <c r="IW99" s="26"/>
      <c r="IX99" s="26"/>
      <c r="IY99" s="26"/>
      <c r="IZ99" s="26"/>
      <c r="JA99" s="26"/>
      <c r="JB99" s="26"/>
      <c r="JC99" s="26"/>
      <c r="JD99" s="26"/>
      <c r="JE99" s="26"/>
      <c r="JF99" s="26"/>
      <c r="JG99" s="26"/>
      <c r="JH99" s="26"/>
      <c r="JI99" s="26"/>
      <c r="JJ99" s="26"/>
      <c r="JK99" s="26"/>
      <c r="JL99" s="26"/>
      <c r="JM99" s="26"/>
      <c r="JN99" s="26"/>
      <c r="JO99" s="26"/>
      <c r="JP99" s="26"/>
      <c r="JQ99" s="26"/>
      <c r="JR99" s="26"/>
      <c r="JS99" s="26"/>
      <c r="JT99" s="26"/>
      <c r="JU99" s="26"/>
      <c r="JV99" s="26"/>
      <c r="JW99" s="26"/>
      <c r="JX99" s="26"/>
      <c r="JY99" s="26"/>
      <c r="JZ99" s="26"/>
      <c r="KA99" s="26"/>
      <c r="KB99" s="26"/>
      <c r="KC99" s="26"/>
      <c r="KD99" s="26"/>
      <c r="KE99" s="26"/>
      <c r="KF99" s="26"/>
      <c r="KG99" s="26"/>
      <c r="KH99" s="26"/>
      <c r="KI99" s="26"/>
      <c r="KJ99" s="26"/>
      <c r="KK99" s="26"/>
      <c r="KL99" s="26"/>
      <c r="KM99" s="26"/>
      <c r="KN99" s="26"/>
      <c r="KO99" s="26"/>
      <c r="KP99" s="26"/>
      <c r="KQ99" s="26"/>
      <c r="KR99" s="26"/>
      <c r="KS99" s="26"/>
      <c r="KT99" s="26"/>
      <c r="KU99" s="26"/>
      <c r="KV99" s="26"/>
      <c r="KW99" s="26"/>
      <c r="KX99" s="26"/>
      <c r="KY99" s="26"/>
      <c r="KZ99" s="26"/>
      <c r="LA99" s="26"/>
      <c r="LB99" s="26"/>
      <c r="LC99" s="26"/>
      <c r="LD99" s="26"/>
      <c r="LE99" s="26"/>
      <c r="LF99" s="26"/>
      <c r="LG99" s="26"/>
      <c r="LH99" s="26"/>
      <c r="LI99" s="26"/>
      <c r="LJ99" s="26"/>
      <c r="LK99" s="26"/>
      <c r="LL99" s="26"/>
      <c r="LM99" s="26"/>
      <c r="LN99" s="26"/>
      <c r="LO99" s="26"/>
      <c r="LP99" s="26"/>
      <c r="LQ99" s="26"/>
      <c r="LR99" s="26"/>
      <c r="LS99" s="26"/>
      <c r="LT99" s="26"/>
      <c r="LU99" s="26"/>
      <c r="LV99" s="26"/>
      <c r="LW99" s="26"/>
      <c r="LX99" s="26"/>
      <c r="LY99" s="26"/>
      <c r="LZ99" s="26"/>
      <c r="MA99" s="26"/>
      <c r="MB99" s="26"/>
      <c r="MC99" s="26"/>
      <c r="MD99" s="26"/>
      <c r="ME99" s="26"/>
      <c r="MF99" s="26"/>
      <c r="MG99" s="26"/>
      <c r="MH99" s="26"/>
      <c r="MI99" s="26"/>
      <c r="MJ99" s="26"/>
      <c r="MK99" s="26"/>
      <c r="ML99" s="26"/>
      <c r="MM99" s="26"/>
      <c r="MN99" s="26"/>
      <c r="MO99" s="26"/>
      <c r="MP99" s="26"/>
      <c r="MQ99" s="26"/>
      <c r="MR99" s="26"/>
      <c r="MS99" s="26"/>
      <c r="MT99" s="26"/>
      <c r="MU99" s="26"/>
      <c r="MV99" s="26"/>
      <c r="MW99" s="26"/>
      <c r="MX99" s="26"/>
      <c r="MY99" s="26"/>
      <c r="MZ99" s="26"/>
      <c r="NA99" s="26"/>
      <c r="NB99" s="26"/>
      <c r="NC99" s="26"/>
      <c r="ND99" s="26"/>
      <c r="NE99" s="26"/>
      <c r="NF99" s="26"/>
      <c r="NG99" s="26"/>
      <c r="NH99" s="26"/>
      <c r="NI99" s="26"/>
      <c r="NJ99" s="26"/>
      <c r="NK99" s="26"/>
      <c r="NL99" s="26"/>
      <c r="NM99" s="26"/>
      <c r="NN99" s="26"/>
      <c r="NO99" s="26"/>
      <c r="NP99" s="26"/>
      <c r="NQ99" s="26"/>
      <c r="NR99" s="26"/>
      <c r="NS99" s="26"/>
      <c r="NT99" s="26"/>
      <c r="NU99" s="26"/>
      <c r="NV99" s="26"/>
      <c r="NW99" s="26"/>
      <c r="NX99" s="26"/>
      <c r="NY99" s="26"/>
      <c r="NZ99" s="26"/>
      <c r="OA99" s="26"/>
      <c r="OB99" s="26"/>
      <c r="OC99" s="26"/>
      <c r="OD99" s="26"/>
      <c r="OE99" s="26"/>
      <c r="OF99" s="26"/>
      <c r="OG99" s="26"/>
      <c r="OH99" s="26"/>
      <c r="OI99" s="26"/>
      <c r="OJ99" s="26"/>
      <c r="OK99" s="26"/>
      <c r="OL99" s="26"/>
      <c r="OM99" s="26"/>
      <c r="ON99" s="26"/>
      <c r="OO99" s="26"/>
      <c r="OP99" s="26"/>
      <c r="OQ99" s="26"/>
      <c r="OR99" s="26"/>
      <c r="OS99" s="26"/>
      <c r="OT99" s="26"/>
      <c r="OU99" s="26"/>
      <c r="OV99" s="26"/>
      <c r="OW99" s="26"/>
      <c r="OX99" s="26"/>
      <c r="OY99" s="26"/>
      <c r="OZ99" s="26"/>
      <c r="PA99" s="26"/>
      <c r="PB99" s="26"/>
      <c r="PC99" s="26"/>
      <c r="PD99" s="26"/>
      <c r="PE99" s="26"/>
      <c r="PF99" s="26"/>
      <c r="PG99" s="26"/>
      <c r="PH99" s="26"/>
      <c r="PI99" s="26"/>
      <c r="PJ99" s="26"/>
      <c r="PK99" s="26"/>
      <c r="PL99" s="26"/>
      <c r="PM99" s="26"/>
      <c r="PN99" s="26"/>
      <c r="PO99" s="26"/>
      <c r="PP99" s="26"/>
      <c r="PQ99" s="26"/>
      <c r="PR99" s="26"/>
      <c r="PS99" s="26"/>
      <c r="PT99" s="26"/>
      <c r="PU99" s="26"/>
      <c r="PV99" s="26"/>
      <c r="PW99" s="26"/>
      <c r="PX99" s="26"/>
      <c r="PY99" s="26"/>
      <c r="PZ99" s="26"/>
      <c r="QA99" s="26"/>
      <c r="QB99" s="26"/>
      <c r="QC99" s="26"/>
      <c r="QD99" s="26"/>
      <c r="QE99" s="26"/>
      <c r="QF99" s="26"/>
      <c r="QG99" s="26"/>
      <c r="QH99" s="26"/>
      <c r="QI99" s="26"/>
      <c r="QJ99" s="26"/>
      <c r="QK99" s="26"/>
      <c r="QL99" s="26"/>
      <c r="QM99" s="26"/>
      <c r="QN99" s="26"/>
      <c r="QO99" s="26"/>
      <c r="QP99" s="26"/>
      <c r="QQ99" s="26"/>
      <c r="QR99" s="26"/>
      <c r="QS99" s="26"/>
      <c r="QT99" s="26"/>
      <c r="QU99" s="26"/>
      <c r="QV99" s="26"/>
      <c r="QW99" s="26"/>
      <c r="QX99" s="26"/>
      <c r="QY99" s="26"/>
      <c r="QZ99" s="26"/>
      <c r="RA99" s="26"/>
      <c r="RB99" s="26"/>
      <c r="RC99" s="26"/>
      <c r="RD99" s="26"/>
      <c r="RE99" s="26"/>
      <c r="RF99" s="26"/>
      <c r="RG99" s="26"/>
      <c r="RH99" s="26"/>
      <c r="RI99" s="26"/>
      <c r="RJ99" s="26"/>
      <c r="RK99" s="26"/>
      <c r="RL99" s="26"/>
      <c r="RM99" s="26"/>
      <c r="RN99" s="26"/>
      <c r="RO99" s="26"/>
      <c r="RP99" s="26"/>
      <c r="RQ99" s="26"/>
      <c r="RR99" s="26"/>
      <c r="RS99" s="26"/>
      <c r="RT99" s="26"/>
      <c r="RU99" s="26"/>
      <c r="RV99" s="26"/>
      <c r="RW99" s="26"/>
      <c r="RX99" s="26"/>
      <c r="RY99" s="26"/>
      <c r="RZ99" s="26"/>
      <c r="SA99" s="26"/>
      <c r="SB99" s="26"/>
      <c r="SC99" s="26"/>
      <c r="SD99" s="26"/>
      <c r="SE99" s="26"/>
      <c r="SF99" s="26"/>
      <c r="SG99" s="26"/>
      <c r="SH99" s="26"/>
      <c r="SI99" s="26"/>
      <c r="SJ99" s="26"/>
      <c r="SK99" s="26"/>
      <c r="SL99" s="26"/>
      <c r="SM99" s="26"/>
      <c r="SN99" s="26"/>
      <c r="SO99" s="26"/>
      <c r="SP99" s="26"/>
      <c r="SQ99" s="26"/>
      <c r="SR99" s="26"/>
      <c r="SS99" s="26"/>
      <c r="ST99" s="26"/>
      <c r="SU99" s="26"/>
      <c r="SV99" s="26"/>
      <c r="SW99" s="26"/>
      <c r="SX99" s="26"/>
      <c r="SY99" s="26"/>
      <c r="SZ99" s="26"/>
      <c r="TA99" s="26"/>
      <c r="TB99" s="26"/>
      <c r="TC99" s="26"/>
      <c r="TD99" s="26"/>
      <c r="TE99" s="26"/>
      <c r="TF99" s="26"/>
      <c r="TG99" s="26"/>
      <c r="TH99" s="26"/>
      <c r="TI99" s="26"/>
    </row>
    <row r="100" spans="1:529" s="27" customFormat="1" ht="30" customHeight="1" x14ac:dyDescent="0.25">
      <c r="A100" s="145"/>
      <c r="B100" s="146"/>
      <c r="C100" s="146"/>
      <c r="D100" s="143" t="s">
        <v>453</v>
      </c>
      <c r="E100" s="144">
        <f t="shared" ref="E100" si="36">F100+I100</f>
        <v>9791954</v>
      </c>
      <c r="F100" s="144">
        <v>9791954</v>
      </c>
      <c r="G100" s="144"/>
      <c r="H100" s="144"/>
      <c r="I100" s="144"/>
      <c r="J100" s="144">
        <f t="shared" ref="J100" si="37">L100+O100</f>
        <v>0</v>
      </c>
      <c r="K100" s="144"/>
      <c r="L100" s="144"/>
      <c r="M100" s="144"/>
      <c r="N100" s="144"/>
      <c r="O100" s="144"/>
      <c r="P100" s="144">
        <f t="shared" ref="P100" si="38">E100+J100</f>
        <v>9791954</v>
      </c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  <c r="IW100" s="36"/>
      <c r="IX100" s="36"/>
      <c r="IY100" s="36"/>
      <c r="IZ100" s="36"/>
      <c r="JA100" s="36"/>
      <c r="JB100" s="36"/>
      <c r="JC100" s="36"/>
      <c r="JD100" s="36"/>
      <c r="JE100" s="36"/>
      <c r="JF100" s="36"/>
      <c r="JG100" s="36"/>
      <c r="JH100" s="36"/>
      <c r="JI100" s="36"/>
      <c r="JJ100" s="36"/>
      <c r="JK100" s="36"/>
      <c r="JL100" s="36"/>
      <c r="JM100" s="36"/>
      <c r="JN100" s="36"/>
      <c r="JO100" s="36"/>
      <c r="JP100" s="36"/>
      <c r="JQ100" s="36"/>
      <c r="JR100" s="36"/>
      <c r="JS100" s="36"/>
      <c r="JT100" s="36"/>
      <c r="JU100" s="36"/>
      <c r="JV100" s="36"/>
      <c r="JW100" s="36"/>
      <c r="JX100" s="36"/>
      <c r="JY100" s="36"/>
      <c r="JZ100" s="36"/>
      <c r="KA100" s="36"/>
      <c r="KB100" s="36"/>
      <c r="KC100" s="36"/>
      <c r="KD100" s="36"/>
      <c r="KE100" s="36"/>
      <c r="KF100" s="36"/>
      <c r="KG100" s="36"/>
      <c r="KH100" s="36"/>
      <c r="KI100" s="36"/>
      <c r="KJ100" s="36"/>
      <c r="KK100" s="36"/>
      <c r="KL100" s="36"/>
      <c r="KM100" s="36"/>
      <c r="KN100" s="36"/>
      <c r="KO100" s="36"/>
      <c r="KP100" s="36"/>
      <c r="KQ100" s="36"/>
      <c r="KR100" s="36"/>
      <c r="KS100" s="36"/>
      <c r="KT100" s="36"/>
      <c r="KU100" s="36"/>
      <c r="KV100" s="36"/>
      <c r="KW100" s="36"/>
      <c r="KX100" s="36"/>
      <c r="KY100" s="36"/>
      <c r="KZ100" s="36"/>
      <c r="LA100" s="36"/>
      <c r="LB100" s="36"/>
      <c r="LC100" s="36"/>
      <c r="LD100" s="36"/>
      <c r="LE100" s="36"/>
      <c r="LF100" s="36"/>
      <c r="LG100" s="36"/>
      <c r="LH100" s="36"/>
      <c r="LI100" s="36"/>
      <c r="LJ100" s="36"/>
      <c r="LK100" s="36"/>
      <c r="LL100" s="36"/>
      <c r="LM100" s="36"/>
      <c r="LN100" s="36"/>
      <c r="LO100" s="36"/>
      <c r="LP100" s="36"/>
      <c r="LQ100" s="36"/>
      <c r="LR100" s="36"/>
      <c r="LS100" s="36"/>
      <c r="LT100" s="36"/>
      <c r="LU100" s="36"/>
      <c r="LV100" s="36"/>
      <c r="LW100" s="36"/>
      <c r="LX100" s="36"/>
      <c r="LY100" s="36"/>
      <c r="LZ100" s="36"/>
      <c r="MA100" s="36"/>
      <c r="MB100" s="36"/>
      <c r="MC100" s="36"/>
      <c r="MD100" s="36"/>
      <c r="ME100" s="36"/>
      <c r="MF100" s="36"/>
      <c r="MG100" s="36"/>
      <c r="MH100" s="36"/>
      <c r="MI100" s="36"/>
      <c r="MJ100" s="36"/>
      <c r="MK100" s="36"/>
      <c r="ML100" s="36"/>
      <c r="MM100" s="36"/>
      <c r="MN100" s="36"/>
      <c r="MO100" s="36"/>
      <c r="MP100" s="36"/>
      <c r="MQ100" s="36"/>
      <c r="MR100" s="36"/>
      <c r="MS100" s="36"/>
      <c r="MT100" s="36"/>
      <c r="MU100" s="36"/>
      <c r="MV100" s="36"/>
      <c r="MW100" s="36"/>
      <c r="MX100" s="36"/>
      <c r="MY100" s="36"/>
      <c r="MZ100" s="36"/>
      <c r="NA100" s="36"/>
      <c r="NB100" s="36"/>
      <c r="NC100" s="36"/>
      <c r="ND100" s="36"/>
      <c r="NE100" s="36"/>
      <c r="NF100" s="36"/>
      <c r="NG100" s="36"/>
      <c r="NH100" s="36"/>
      <c r="NI100" s="36"/>
      <c r="NJ100" s="36"/>
      <c r="NK100" s="36"/>
      <c r="NL100" s="36"/>
      <c r="NM100" s="36"/>
      <c r="NN100" s="36"/>
      <c r="NO100" s="36"/>
      <c r="NP100" s="36"/>
      <c r="NQ100" s="36"/>
      <c r="NR100" s="36"/>
      <c r="NS100" s="36"/>
      <c r="NT100" s="36"/>
      <c r="NU100" s="36"/>
      <c r="NV100" s="36"/>
      <c r="NW100" s="36"/>
      <c r="NX100" s="36"/>
      <c r="NY100" s="36"/>
      <c r="NZ100" s="36"/>
      <c r="OA100" s="36"/>
      <c r="OB100" s="36"/>
      <c r="OC100" s="36"/>
      <c r="OD100" s="36"/>
      <c r="OE100" s="36"/>
      <c r="OF100" s="36"/>
      <c r="OG100" s="36"/>
      <c r="OH100" s="36"/>
      <c r="OI100" s="36"/>
      <c r="OJ100" s="36"/>
      <c r="OK100" s="36"/>
      <c r="OL100" s="36"/>
      <c r="OM100" s="36"/>
      <c r="ON100" s="36"/>
      <c r="OO100" s="36"/>
      <c r="OP100" s="36"/>
      <c r="OQ100" s="36"/>
      <c r="OR100" s="36"/>
      <c r="OS100" s="36"/>
      <c r="OT100" s="36"/>
      <c r="OU100" s="36"/>
      <c r="OV100" s="36"/>
      <c r="OW100" s="36"/>
      <c r="OX100" s="36"/>
      <c r="OY100" s="36"/>
      <c r="OZ100" s="36"/>
      <c r="PA100" s="36"/>
      <c r="PB100" s="36"/>
      <c r="PC100" s="36"/>
      <c r="PD100" s="36"/>
      <c r="PE100" s="36"/>
      <c r="PF100" s="36"/>
      <c r="PG100" s="36"/>
      <c r="PH100" s="36"/>
      <c r="PI100" s="36"/>
      <c r="PJ100" s="36"/>
      <c r="PK100" s="36"/>
      <c r="PL100" s="36"/>
      <c r="PM100" s="36"/>
      <c r="PN100" s="36"/>
      <c r="PO100" s="36"/>
      <c r="PP100" s="36"/>
      <c r="PQ100" s="36"/>
      <c r="PR100" s="36"/>
      <c r="PS100" s="36"/>
      <c r="PT100" s="36"/>
      <c r="PU100" s="36"/>
      <c r="PV100" s="36"/>
      <c r="PW100" s="36"/>
      <c r="PX100" s="36"/>
      <c r="PY100" s="36"/>
      <c r="PZ100" s="36"/>
      <c r="QA100" s="36"/>
      <c r="QB100" s="36"/>
      <c r="QC100" s="36"/>
      <c r="QD100" s="36"/>
      <c r="QE100" s="36"/>
      <c r="QF100" s="36"/>
      <c r="QG100" s="36"/>
      <c r="QH100" s="36"/>
      <c r="QI100" s="36"/>
      <c r="QJ100" s="36"/>
      <c r="QK100" s="36"/>
      <c r="QL100" s="36"/>
      <c r="QM100" s="36"/>
      <c r="QN100" s="36"/>
      <c r="QO100" s="36"/>
      <c r="QP100" s="36"/>
      <c r="QQ100" s="36"/>
      <c r="QR100" s="36"/>
      <c r="QS100" s="36"/>
      <c r="QT100" s="36"/>
      <c r="QU100" s="36"/>
      <c r="QV100" s="36"/>
      <c r="QW100" s="36"/>
      <c r="QX100" s="36"/>
      <c r="QY100" s="36"/>
      <c r="QZ100" s="36"/>
      <c r="RA100" s="36"/>
      <c r="RB100" s="36"/>
      <c r="RC100" s="36"/>
      <c r="RD100" s="36"/>
      <c r="RE100" s="36"/>
      <c r="RF100" s="36"/>
      <c r="RG100" s="36"/>
      <c r="RH100" s="36"/>
      <c r="RI100" s="36"/>
      <c r="RJ100" s="36"/>
      <c r="RK100" s="36"/>
      <c r="RL100" s="36"/>
      <c r="RM100" s="36"/>
      <c r="RN100" s="36"/>
      <c r="RO100" s="36"/>
      <c r="RP100" s="36"/>
      <c r="RQ100" s="36"/>
      <c r="RR100" s="36"/>
      <c r="RS100" s="36"/>
      <c r="RT100" s="36"/>
      <c r="RU100" s="36"/>
      <c r="RV100" s="36"/>
      <c r="RW100" s="36"/>
      <c r="RX100" s="36"/>
      <c r="RY100" s="36"/>
      <c r="RZ100" s="36"/>
      <c r="SA100" s="36"/>
      <c r="SB100" s="36"/>
      <c r="SC100" s="36"/>
      <c r="SD100" s="36"/>
      <c r="SE100" s="36"/>
      <c r="SF100" s="36"/>
      <c r="SG100" s="36"/>
      <c r="SH100" s="36"/>
      <c r="SI100" s="36"/>
      <c r="SJ100" s="36"/>
      <c r="SK100" s="36"/>
      <c r="SL100" s="36"/>
      <c r="SM100" s="36"/>
      <c r="SN100" s="36"/>
      <c r="SO100" s="36"/>
      <c r="SP100" s="36"/>
      <c r="SQ100" s="36"/>
      <c r="SR100" s="36"/>
      <c r="SS100" s="36"/>
      <c r="ST100" s="36"/>
      <c r="SU100" s="36"/>
      <c r="SV100" s="36"/>
      <c r="SW100" s="36"/>
      <c r="SX100" s="36"/>
      <c r="SY100" s="36"/>
      <c r="SZ100" s="36"/>
      <c r="TA100" s="36"/>
      <c r="TB100" s="36"/>
      <c r="TC100" s="36"/>
      <c r="TD100" s="36"/>
      <c r="TE100" s="36"/>
      <c r="TF100" s="36"/>
      <c r="TG100" s="36"/>
      <c r="TH100" s="36"/>
      <c r="TI100" s="36"/>
    </row>
    <row r="101" spans="1:529" s="23" customFormat="1" ht="27" customHeight="1" x14ac:dyDescent="0.25">
      <c r="A101" s="43" t="s">
        <v>504</v>
      </c>
      <c r="B101" s="44">
        <v>9770</v>
      </c>
      <c r="C101" s="43" t="s">
        <v>49</v>
      </c>
      <c r="D101" s="24" t="s">
        <v>391</v>
      </c>
      <c r="E101" s="66">
        <f t="shared" si="26"/>
        <v>16024000</v>
      </c>
      <c r="F101" s="66">
        <v>16024000</v>
      </c>
      <c r="G101" s="66"/>
      <c r="H101" s="66"/>
      <c r="I101" s="66"/>
      <c r="J101" s="66">
        <f t="shared" si="28"/>
        <v>0</v>
      </c>
      <c r="K101" s="66"/>
      <c r="L101" s="66"/>
      <c r="M101" s="66"/>
      <c r="N101" s="66"/>
      <c r="O101" s="66"/>
      <c r="P101" s="66">
        <f t="shared" si="27"/>
        <v>16024000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  <c r="JA101" s="26"/>
      <c r="JB101" s="26"/>
      <c r="JC101" s="26"/>
      <c r="JD101" s="26"/>
      <c r="JE101" s="26"/>
      <c r="JF101" s="26"/>
      <c r="JG101" s="26"/>
      <c r="JH101" s="26"/>
      <c r="JI101" s="26"/>
      <c r="JJ101" s="26"/>
      <c r="JK101" s="26"/>
      <c r="JL101" s="26"/>
      <c r="JM101" s="26"/>
      <c r="JN101" s="26"/>
      <c r="JO101" s="26"/>
      <c r="JP101" s="26"/>
      <c r="JQ101" s="26"/>
      <c r="JR101" s="26"/>
      <c r="JS101" s="26"/>
      <c r="JT101" s="26"/>
      <c r="JU101" s="26"/>
      <c r="JV101" s="26"/>
      <c r="JW101" s="26"/>
      <c r="JX101" s="26"/>
      <c r="JY101" s="26"/>
      <c r="JZ101" s="26"/>
      <c r="KA101" s="26"/>
      <c r="KB101" s="26"/>
      <c r="KC101" s="26"/>
      <c r="KD101" s="26"/>
      <c r="KE101" s="26"/>
      <c r="KF101" s="26"/>
      <c r="KG101" s="26"/>
      <c r="KH101" s="26"/>
      <c r="KI101" s="26"/>
      <c r="KJ101" s="26"/>
      <c r="KK101" s="26"/>
      <c r="KL101" s="26"/>
      <c r="KM101" s="26"/>
      <c r="KN101" s="26"/>
      <c r="KO101" s="26"/>
      <c r="KP101" s="26"/>
      <c r="KQ101" s="26"/>
      <c r="KR101" s="26"/>
      <c r="KS101" s="26"/>
      <c r="KT101" s="26"/>
      <c r="KU101" s="26"/>
      <c r="KV101" s="26"/>
      <c r="KW101" s="26"/>
      <c r="KX101" s="26"/>
      <c r="KY101" s="26"/>
      <c r="KZ101" s="26"/>
      <c r="LA101" s="26"/>
      <c r="LB101" s="26"/>
      <c r="LC101" s="26"/>
      <c r="LD101" s="26"/>
      <c r="LE101" s="26"/>
      <c r="LF101" s="26"/>
      <c r="LG101" s="26"/>
      <c r="LH101" s="26"/>
      <c r="LI101" s="26"/>
      <c r="LJ101" s="26"/>
      <c r="LK101" s="26"/>
      <c r="LL101" s="26"/>
      <c r="LM101" s="26"/>
      <c r="LN101" s="26"/>
      <c r="LO101" s="26"/>
      <c r="LP101" s="26"/>
      <c r="LQ101" s="26"/>
      <c r="LR101" s="26"/>
      <c r="LS101" s="26"/>
      <c r="LT101" s="26"/>
      <c r="LU101" s="26"/>
      <c r="LV101" s="26"/>
      <c r="LW101" s="26"/>
      <c r="LX101" s="26"/>
      <c r="LY101" s="26"/>
      <c r="LZ101" s="26"/>
      <c r="MA101" s="26"/>
      <c r="MB101" s="26"/>
      <c r="MC101" s="26"/>
      <c r="MD101" s="26"/>
      <c r="ME101" s="26"/>
      <c r="MF101" s="26"/>
      <c r="MG101" s="26"/>
      <c r="MH101" s="26"/>
      <c r="MI101" s="26"/>
      <c r="MJ101" s="26"/>
      <c r="MK101" s="26"/>
      <c r="ML101" s="26"/>
      <c r="MM101" s="26"/>
      <c r="MN101" s="26"/>
      <c r="MO101" s="26"/>
      <c r="MP101" s="26"/>
      <c r="MQ101" s="26"/>
      <c r="MR101" s="26"/>
      <c r="MS101" s="26"/>
      <c r="MT101" s="26"/>
      <c r="MU101" s="26"/>
      <c r="MV101" s="26"/>
      <c r="MW101" s="26"/>
      <c r="MX101" s="26"/>
      <c r="MY101" s="26"/>
      <c r="MZ101" s="26"/>
      <c r="NA101" s="26"/>
      <c r="NB101" s="26"/>
      <c r="NC101" s="26"/>
      <c r="ND101" s="26"/>
      <c r="NE101" s="26"/>
      <c r="NF101" s="26"/>
      <c r="NG101" s="26"/>
      <c r="NH101" s="26"/>
      <c r="NI101" s="26"/>
      <c r="NJ101" s="26"/>
      <c r="NK101" s="26"/>
      <c r="NL101" s="26"/>
      <c r="NM101" s="26"/>
      <c r="NN101" s="26"/>
      <c r="NO101" s="26"/>
      <c r="NP101" s="26"/>
      <c r="NQ101" s="26"/>
      <c r="NR101" s="26"/>
      <c r="NS101" s="26"/>
      <c r="NT101" s="26"/>
      <c r="NU101" s="26"/>
      <c r="NV101" s="26"/>
      <c r="NW101" s="26"/>
      <c r="NX101" s="26"/>
      <c r="NY101" s="26"/>
      <c r="NZ101" s="26"/>
      <c r="OA101" s="26"/>
      <c r="OB101" s="26"/>
      <c r="OC101" s="26"/>
      <c r="OD101" s="26"/>
      <c r="OE101" s="26"/>
      <c r="OF101" s="26"/>
      <c r="OG101" s="26"/>
      <c r="OH101" s="26"/>
      <c r="OI101" s="26"/>
      <c r="OJ101" s="26"/>
      <c r="OK101" s="26"/>
      <c r="OL101" s="26"/>
      <c r="OM101" s="26"/>
      <c r="ON101" s="26"/>
      <c r="OO101" s="26"/>
      <c r="OP101" s="26"/>
      <c r="OQ101" s="26"/>
      <c r="OR101" s="26"/>
      <c r="OS101" s="26"/>
      <c r="OT101" s="26"/>
      <c r="OU101" s="26"/>
      <c r="OV101" s="26"/>
      <c r="OW101" s="26"/>
      <c r="OX101" s="26"/>
      <c r="OY101" s="26"/>
      <c r="OZ101" s="26"/>
      <c r="PA101" s="26"/>
      <c r="PB101" s="26"/>
      <c r="PC101" s="26"/>
      <c r="PD101" s="26"/>
      <c r="PE101" s="26"/>
      <c r="PF101" s="26"/>
      <c r="PG101" s="26"/>
      <c r="PH101" s="26"/>
      <c r="PI101" s="26"/>
      <c r="PJ101" s="26"/>
      <c r="PK101" s="26"/>
      <c r="PL101" s="26"/>
      <c r="PM101" s="26"/>
      <c r="PN101" s="26"/>
      <c r="PO101" s="26"/>
      <c r="PP101" s="26"/>
      <c r="PQ101" s="26"/>
      <c r="PR101" s="26"/>
      <c r="PS101" s="26"/>
      <c r="PT101" s="26"/>
      <c r="PU101" s="26"/>
      <c r="PV101" s="26"/>
      <c r="PW101" s="26"/>
      <c r="PX101" s="26"/>
      <c r="PY101" s="26"/>
      <c r="PZ101" s="26"/>
      <c r="QA101" s="26"/>
      <c r="QB101" s="26"/>
      <c r="QC101" s="26"/>
      <c r="QD101" s="26"/>
      <c r="QE101" s="26"/>
      <c r="QF101" s="26"/>
      <c r="QG101" s="26"/>
      <c r="QH101" s="26"/>
      <c r="QI101" s="26"/>
      <c r="QJ101" s="26"/>
      <c r="QK101" s="26"/>
      <c r="QL101" s="26"/>
      <c r="QM101" s="26"/>
      <c r="QN101" s="26"/>
      <c r="QO101" s="26"/>
      <c r="QP101" s="26"/>
      <c r="QQ101" s="26"/>
      <c r="QR101" s="26"/>
      <c r="QS101" s="26"/>
      <c r="QT101" s="26"/>
      <c r="QU101" s="26"/>
      <c r="QV101" s="26"/>
      <c r="QW101" s="26"/>
      <c r="QX101" s="26"/>
      <c r="QY101" s="26"/>
      <c r="QZ101" s="26"/>
      <c r="RA101" s="26"/>
      <c r="RB101" s="26"/>
      <c r="RC101" s="26"/>
      <c r="RD101" s="26"/>
      <c r="RE101" s="26"/>
      <c r="RF101" s="26"/>
      <c r="RG101" s="26"/>
      <c r="RH101" s="26"/>
      <c r="RI101" s="26"/>
      <c r="RJ101" s="26"/>
      <c r="RK101" s="26"/>
      <c r="RL101" s="26"/>
      <c r="RM101" s="26"/>
      <c r="RN101" s="26"/>
      <c r="RO101" s="26"/>
      <c r="RP101" s="26"/>
      <c r="RQ101" s="26"/>
      <c r="RR101" s="26"/>
      <c r="RS101" s="26"/>
      <c r="RT101" s="26"/>
      <c r="RU101" s="26"/>
      <c r="RV101" s="26"/>
      <c r="RW101" s="26"/>
      <c r="RX101" s="26"/>
      <c r="RY101" s="26"/>
      <c r="RZ101" s="26"/>
      <c r="SA101" s="26"/>
      <c r="SB101" s="26"/>
      <c r="SC101" s="26"/>
      <c r="SD101" s="26"/>
      <c r="SE101" s="26"/>
      <c r="SF101" s="26"/>
      <c r="SG101" s="26"/>
      <c r="SH101" s="26"/>
      <c r="SI101" s="26"/>
      <c r="SJ101" s="26"/>
      <c r="SK101" s="26"/>
      <c r="SL101" s="26"/>
      <c r="SM101" s="26"/>
      <c r="SN101" s="26"/>
      <c r="SO101" s="26"/>
      <c r="SP101" s="26"/>
      <c r="SQ101" s="26"/>
      <c r="SR101" s="26"/>
      <c r="SS101" s="26"/>
      <c r="ST101" s="26"/>
      <c r="SU101" s="26"/>
      <c r="SV101" s="26"/>
      <c r="SW101" s="26"/>
      <c r="SX101" s="26"/>
      <c r="SY101" s="26"/>
      <c r="SZ101" s="26"/>
      <c r="TA101" s="26"/>
      <c r="TB101" s="26"/>
      <c r="TC101" s="26"/>
      <c r="TD101" s="26"/>
      <c r="TE101" s="26"/>
      <c r="TF101" s="26"/>
      <c r="TG101" s="26"/>
      <c r="TH101" s="26"/>
      <c r="TI101" s="26"/>
    </row>
    <row r="102" spans="1:529" s="23" customFormat="1" ht="46.5" customHeight="1" x14ac:dyDescent="0.25">
      <c r="A102" s="43" t="s">
        <v>410</v>
      </c>
      <c r="B102" s="44">
        <v>9800</v>
      </c>
      <c r="C102" s="45" t="s">
        <v>49</v>
      </c>
      <c r="D102" s="105" t="s">
        <v>411</v>
      </c>
      <c r="E102" s="66">
        <f t="shared" si="26"/>
        <v>84885</v>
      </c>
      <c r="F102" s="66">
        <v>84885</v>
      </c>
      <c r="G102" s="66"/>
      <c r="H102" s="66"/>
      <c r="I102" s="66"/>
      <c r="J102" s="66">
        <f t="shared" si="28"/>
        <v>0</v>
      </c>
      <c r="K102" s="66"/>
      <c r="L102" s="66"/>
      <c r="M102" s="66"/>
      <c r="N102" s="66"/>
      <c r="O102" s="66"/>
      <c r="P102" s="66">
        <f t="shared" si="27"/>
        <v>84885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  <c r="IW102" s="26"/>
      <c r="IX102" s="26"/>
      <c r="IY102" s="26"/>
      <c r="IZ102" s="26"/>
      <c r="JA102" s="26"/>
      <c r="JB102" s="26"/>
      <c r="JC102" s="26"/>
      <c r="JD102" s="26"/>
      <c r="JE102" s="26"/>
      <c r="JF102" s="26"/>
      <c r="JG102" s="26"/>
      <c r="JH102" s="26"/>
      <c r="JI102" s="26"/>
      <c r="JJ102" s="26"/>
      <c r="JK102" s="26"/>
      <c r="JL102" s="26"/>
      <c r="JM102" s="26"/>
      <c r="JN102" s="26"/>
      <c r="JO102" s="26"/>
      <c r="JP102" s="26"/>
      <c r="JQ102" s="26"/>
      <c r="JR102" s="26"/>
      <c r="JS102" s="26"/>
      <c r="JT102" s="26"/>
      <c r="JU102" s="26"/>
      <c r="JV102" s="26"/>
      <c r="JW102" s="26"/>
      <c r="JX102" s="26"/>
      <c r="JY102" s="26"/>
      <c r="JZ102" s="26"/>
      <c r="KA102" s="26"/>
      <c r="KB102" s="26"/>
      <c r="KC102" s="26"/>
      <c r="KD102" s="26"/>
      <c r="KE102" s="26"/>
      <c r="KF102" s="26"/>
      <c r="KG102" s="26"/>
      <c r="KH102" s="26"/>
      <c r="KI102" s="26"/>
      <c r="KJ102" s="26"/>
      <c r="KK102" s="26"/>
      <c r="KL102" s="26"/>
      <c r="KM102" s="26"/>
      <c r="KN102" s="26"/>
      <c r="KO102" s="26"/>
      <c r="KP102" s="26"/>
      <c r="KQ102" s="26"/>
      <c r="KR102" s="26"/>
      <c r="KS102" s="26"/>
      <c r="KT102" s="26"/>
      <c r="KU102" s="26"/>
      <c r="KV102" s="26"/>
      <c r="KW102" s="26"/>
      <c r="KX102" s="26"/>
      <c r="KY102" s="26"/>
      <c r="KZ102" s="26"/>
      <c r="LA102" s="26"/>
      <c r="LB102" s="26"/>
      <c r="LC102" s="26"/>
      <c r="LD102" s="26"/>
      <c r="LE102" s="26"/>
      <c r="LF102" s="26"/>
      <c r="LG102" s="26"/>
      <c r="LH102" s="26"/>
      <c r="LI102" s="26"/>
      <c r="LJ102" s="26"/>
      <c r="LK102" s="26"/>
      <c r="LL102" s="26"/>
      <c r="LM102" s="26"/>
      <c r="LN102" s="26"/>
      <c r="LO102" s="26"/>
      <c r="LP102" s="26"/>
      <c r="LQ102" s="26"/>
      <c r="LR102" s="26"/>
      <c r="LS102" s="26"/>
      <c r="LT102" s="26"/>
      <c r="LU102" s="26"/>
      <c r="LV102" s="26"/>
      <c r="LW102" s="26"/>
      <c r="LX102" s="26"/>
      <c r="LY102" s="26"/>
      <c r="LZ102" s="26"/>
      <c r="MA102" s="26"/>
      <c r="MB102" s="26"/>
      <c r="MC102" s="26"/>
      <c r="MD102" s="26"/>
      <c r="ME102" s="26"/>
      <c r="MF102" s="26"/>
      <c r="MG102" s="26"/>
      <c r="MH102" s="26"/>
      <c r="MI102" s="26"/>
      <c r="MJ102" s="26"/>
      <c r="MK102" s="26"/>
      <c r="ML102" s="26"/>
      <c r="MM102" s="26"/>
      <c r="MN102" s="26"/>
      <c r="MO102" s="26"/>
      <c r="MP102" s="26"/>
      <c r="MQ102" s="26"/>
      <c r="MR102" s="26"/>
      <c r="MS102" s="26"/>
      <c r="MT102" s="26"/>
      <c r="MU102" s="26"/>
      <c r="MV102" s="26"/>
      <c r="MW102" s="26"/>
      <c r="MX102" s="26"/>
      <c r="MY102" s="26"/>
      <c r="MZ102" s="26"/>
      <c r="NA102" s="26"/>
      <c r="NB102" s="26"/>
      <c r="NC102" s="26"/>
      <c r="ND102" s="26"/>
      <c r="NE102" s="26"/>
      <c r="NF102" s="26"/>
      <c r="NG102" s="26"/>
      <c r="NH102" s="26"/>
      <c r="NI102" s="26"/>
      <c r="NJ102" s="26"/>
      <c r="NK102" s="26"/>
      <c r="NL102" s="26"/>
      <c r="NM102" s="26"/>
      <c r="NN102" s="26"/>
      <c r="NO102" s="26"/>
      <c r="NP102" s="26"/>
      <c r="NQ102" s="26"/>
      <c r="NR102" s="26"/>
      <c r="NS102" s="26"/>
      <c r="NT102" s="26"/>
      <c r="NU102" s="26"/>
      <c r="NV102" s="26"/>
      <c r="NW102" s="26"/>
      <c r="NX102" s="26"/>
      <c r="NY102" s="26"/>
      <c r="NZ102" s="26"/>
      <c r="OA102" s="26"/>
      <c r="OB102" s="26"/>
      <c r="OC102" s="26"/>
      <c r="OD102" s="26"/>
      <c r="OE102" s="26"/>
      <c r="OF102" s="26"/>
      <c r="OG102" s="26"/>
      <c r="OH102" s="26"/>
      <c r="OI102" s="26"/>
      <c r="OJ102" s="26"/>
      <c r="OK102" s="26"/>
      <c r="OL102" s="26"/>
      <c r="OM102" s="26"/>
      <c r="ON102" s="26"/>
      <c r="OO102" s="26"/>
      <c r="OP102" s="26"/>
      <c r="OQ102" s="26"/>
      <c r="OR102" s="26"/>
      <c r="OS102" s="26"/>
      <c r="OT102" s="26"/>
      <c r="OU102" s="26"/>
      <c r="OV102" s="26"/>
      <c r="OW102" s="26"/>
      <c r="OX102" s="26"/>
      <c r="OY102" s="26"/>
      <c r="OZ102" s="26"/>
      <c r="PA102" s="26"/>
      <c r="PB102" s="26"/>
      <c r="PC102" s="26"/>
      <c r="PD102" s="26"/>
      <c r="PE102" s="26"/>
      <c r="PF102" s="26"/>
      <c r="PG102" s="26"/>
      <c r="PH102" s="26"/>
      <c r="PI102" s="26"/>
      <c r="PJ102" s="26"/>
      <c r="PK102" s="26"/>
      <c r="PL102" s="26"/>
      <c r="PM102" s="26"/>
      <c r="PN102" s="26"/>
      <c r="PO102" s="26"/>
      <c r="PP102" s="26"/>
      <c r="PQ102" s="26"/>
      <c r="PR102" s="26"/>
      <c r="PS102" s="26"/>
      <c r="PT102" s="26"/>
      <c r="PU102" s="26"/>
      <c r="PV102" s="26"/>
      <c r="PW102" s="26"/>
      <c r="PX102" s="26"/>
      <c r="PY102" s="26"/>
      <c r="PZ102" s="26"/>
      <c r="QA102" s="26"/>
      <c r="QB102" s="26"/>
      <c r="QC102" s="26"/>
      <c r="QD102" s="26"/>
      <c r="QE102" s="26"/>
      <c r="QF102" s="26"/>
      <c r="QG102" s="26"/>
      <c r="QH102" s="26"/>
      <c r="QI102" s="26"/>
      <c r="QJ102" s="26"/>
      <c r="QK102" s="26"/>
      <c r="QL102" s="26"/>
      <c r="QM102" s="26"/>
      <c r="QN102" s="26"/>
      <c r="QO102" s="26"/>
      <c r="QP102" s="26"/>
      <c r="QQ102" s="26"/>
      <c r="QR102" s="26"/>
      <c r="QS102" s="26"/>
      <c r="QT102" s="26"/>
      <c r="QU102" s="26"/>
      <c r="QV102" s="26"/>
      <c r="QW102" s="26"/>
      <c r="QX102" s="26"/>
      <c r="QY102" s="26"/>
      <c r="QZ102" s="26"/>
      <c r="RA102" s="26"/>
      <c r="RB102" s="26"/>
      <c r="RC102" s="26"/>
      <c r="RD102" s="26"/>
      <c r="RE102" s="26"/>
      <c r="RF102" s="26"/>
      <c r="RG102" s="26"/>
      <c r="RH102" s="26"/>
      <c r="RI102" s="26"/>
      <c r="RJ102" s="26"/>
      <c r="RK102" s="26"/>
      <c r="RL102" s="26"/>
      <c r="RM102" s="26"/>
      <c r="RN102" s="26"/>
      <c r="RO102" s="26"/>
      <c r="RP102" s="26"/>
      <c r="RQ102" s="26"/>
      <c r="RR102" s="26"/>
      <c r="RS102" s="26"/>
      <c r="RT102" s="26"/>
      <c r="RU102" s="26"/>
      <c r="RV102" s="26"/>
      <c r="RW102" s="26"/>
      <c r="RX102" s="26"/>
      <c r="RY102" s="26"/>
      <c r="RZ102" s="26"/>
      <c r="SA102" s="26"/>
      <c r="SB102" s="26"/>
      <c r="SC102" s="26"/>
      <c r="SD102" s="26"/>
      <c r="SE102" s="26"/>
      <c r="SF102" s="26"/>
      <c r="SG102" s="26"/>
      <c r="SH102" s="26"/>
      <c r="SI102" s="26"/>
      <c r="SJ102" s="26"/>
      <c r="SK102" s="26"/>
      <c r="SL102" s="26"/>
      <c r="SM102" s="26"/>
      <c r="SN102" s="26"/>
      <c r="SO102" s="26"/>
      <c r="SP102" s="26"/>
      <c r="SQ102" s="26"/>
      <c r="SR102" s="26"/>
      <c r="SS102" s="26"/>
      <c r="ST102" s="26"/>
      <c r="SU102" s="26"/>
      <c r="SV102" s="26"/>
      <c r="SW102" s="26"/>
      <c r="SX102" s="26"/>
      <c r="SY102" s="26"/>
      <c r="SZ102" s="26"/>
      <c r="TA102" s="26"/>
      <c r="TB102" s="26"/>
      <c r="TC102" s="26"/>
      <c r="TD102" s="26"/>
      <c r="TE102" s="26"/>
      <c r="TF102" s="26"/>
      <c r="TG102" s="26"/>
      <c r="TH102" s="26"/>
      <c r="TI102" s="26"/>
    </row>
    <row r="103" spans="1:529" s="31" customFormat="1" ht="21" customHeight="1" x14ac:dyDescent="0.2">
      <c r="A103" s="178" t="s">
        <v>186</v>
      </c>
      <c r="B103" s="71"/>
      <c r="C103" s="71"/>
      <c r="D103" s="30" t="s">
        <v>30</v>
      </c>
      <c r="E103" s="63">
        <f>E104</f>
        <v>189354415.61000001</v>
      </c>
      <c r="F103" s="63">
        <f t="shared" ref="F103:P103" si="39">F104</f>
        <v>189155415.61000001</v>
      </c>
      <c r="G103" s="63">
        <f t="shared" si="39"/>
        <v>1637700</v>
      </c>
      <c r="H103" s="63">
        <f t="shared" si="39"/>
        <v>35400</v>
      </c>
      <c r="I103" s="63">
        <f t="shared" si="39"/>
        <v>199000</v>
      </c>
      <c r="J103" s="63">
        <f t="shared" si="39"/>
        <v>111722196</v>
      </c>
      <c r="K103" s="63">
        <f t="shared" si="39"/>
        <v>110837196</v>
      </c>
      <c r="L103" s="63">
        <f t="shared" si="39"/>
        <v>0</v>
      </c>
      <c r="M103" s="63">
        <f t="shared" si="39"/>
        <v>0</v>
      </c>
      <c r="N103" s="63">
        <f t="shared" si="39"/>
        <v>0</v>
      </c>
      <c r="O103" s="63">
        <f t="shared" si="39"/>
        <v>111722196</v>
      </c>
      <c r="P103" s="63">
        <f t="shared" si="39"/>
        <v>301076611.61000001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  <c r="IW103" s="38"/>
      <c r="IX103" s="38"/>
      <c r="IY103" s="38"/>
      <c r="IZ103" s="38"/>
      <c r="JA103" s="38"/>
      <c r="JB103" s="38"/>
      <c r="JC103" s="38"/>
      <c r="JD103" s="38"/>
      <c r="JE103" s="38"/>
      <c r="JF103" s="38"/>
      <c r="JG103" s="38"/>
      <c r="JH103" s="38"/>
      <c r="JI103" s="38"/>
      <c r="JJ103" s="38"/>
      <c r="JK103" s="38"/>
      <c r="JL103" s="38"/>
      <c r="JM103" s="38"/>
      <c r="JN103" s="38"/>
      <c r="JO103" s="38"/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8"/>
      <c r="KK103" s="38"/>
      <c r="KL103" s="38"/>
      <c r="KM103" s="38"/>
      <c r="KN103" s="38"/>
      <c r="KO103" s="38"/>
      <c r="KP103" s="38"/>
      <c r="KQ103" s="38"/>
      <c r="KR103" s="38"/>
      <c r="KS103" s="38"/>
      <c r="KT103" s="38"/>
      <c r="KU103" s="38"/>
      <c r="KV103" s="38"/>
      <c r="KW103" s="38"/>
      <c r="KX103" s="38"/>
      <c r="KY103" s="38"/>
      <c r="KZ103" s="38"/>
      <c r="LA103" s="38"/>
      <c r="LB103" s="38"/>
      <c r="LC103" s="38"/>
      <c r="LD103" s="38"/>
      <c r="LE103" s="38"/>
      <c r="LF103" s="38"/>
      <c r="LG103" s="38"/>
      <c r="LH103" s="38"/>
      <c r="LI103" s="38"/>
      <c r="LJ103" s="38"/>
      <c r="LK103" s="38"/>
      <c r="LL103" s="38"/>
      <c r="LM103" s="38"/>
      <c r="LN103" s="38"/>
      <c r="LO103" s="38"/>
      <c r="LP103" s="38"/>
      <c r="LQ103" s="38"/>
      <c r="LR103" s="38"/>
      <c r="LS103" s="38"/>
      <c r="LT103" s="38"/>
      <c r="LU103" s="38"/>
      <c r="LV103" s="38"/>
      <c r="LW103" s="38"/>
      <c r="LX103" s="38"/>
      <c r="LY103" s="38"/>
      <c r="LZ103" s="38"/>
      <c r="MA103" s="38"/>
      <c r="MB103" s="38"/>
      <c r="MC103" s="38"/>
      <c r="MD103" s="38"/>
      <c r="ME103" s="38"/>
      <c r="MF103" s="38"/>
      <c r="MG103" s="38"/>
      <c r="MH103" s="38"/>
      <c r="MI103" s="38"/>
      <c r="MJ103" s="38"/>
      <c r="MK103" s="38"/>
      <c r="ML103" s="38"/>
      <c r="MM103" s="38"/>
      <c r="MN103" s="38"/>
      <c r="MO103" s="38"/>
      <c r="MP103" s="38"/>
      <c r="MQ103" s="38"/>
      <c r="MR103" s="38"/>
      <c r="MS103" s="38"/>
      <c r="MT103" s="38"/>
      <c r="MU103" s="38"/>
      <c r="MV103" s="38"/>
      <c r="MW103" s="38"/>
      <c r="MX103" s="38"/>
      <c r="MY103" s="38"/>
      <c r="MZ103" s="38"/>
      <c r="NA103" s="38"/>
      <c r="NB103" s="38"/>
      <c r="NC103" s="38"/>
      <c r="ND103" s="38"/>
      <c r="NE103" s="38"/>
      <c r="NF103" s="38"/>
      <c r="NG103" s="38"/>
      <c r="NH103" s="38"/>
      <c r="NI103" s="38"/>
      <c r="NJ103" s="38"/>
      <c r="NK103" s="38"/>
      <c r="NL103" s="38"/>
      <c r="NM103" s="38"/>
      <c r="NN103" s="38"/>
      <c r="NO103" s="38"/>
      <c r="NP103" s="38"/>
      <c r="NQ103" s="38"/>
      <c r="NR103" s="38"/>
      <c r="NS103" s="38"/>
      <c r="NT103" s="38"/>
      <c r="NU103" s="38"/>
      <c r="NV103" s="38"/>
      <c r="NW103" s="38"/>
      <c r="NX103" s="38"/>
      <c r="NY103" s="38"/>
      <c r="NZ103" s="38"/>
      <c r="OA103" s="38"/>
      <c r="OB103" s="38"/>
      <c r="OC103" s="38"/>
      <c r="OD103" s="38"/>
      <c r="OE103" s="38"/>
      <c r="OF103" s="38"/>
      <c r="OG103" s="38"/>
      <c r="OH103" s="38"/>
      <c r="OI103" s="38"/>
      <c r="OJ103" s="38"/>
      <c r="OK103" s="38"/>
      <c r="OL103" s="38"/>
      <c r="OM103" s="38"/>
      <c r="ON103" s="38"/>
      <c r="OO103" s="38"/>
      <c r="OP103" s="38"/>
      <c r="OQ103" s="38"/>
      <c r="OR103" s="38"/>
      <c r="OS103" s="38"/>
      <c r="OT103" s="38"/>
      <c r="OU103" s="38"/>
      <c r="OV103" s="38"/>
      <c r="OW103" s="38"/>
      <c r="OX103" s="38"/>
      <c r="OY103" s="38"/>
      <c r="OZ103" s="38"/>
      <c r="PA103" s="38"/>
      <c r="PB103" s="38"/>
      <c r="PC103" s="38"/>
      <c r="PD103" s="38"/>
      <c r="PE103" s="38"/>
      <c r="PF103" s="38"/>
      <c r="PG103" s="38"/>
      <c r="PH103" s="38"/>
      <c r="PI103" s="38"/>
      <c r="PJ103" s="38"/>
      <c r="PK103" s="38"/>
      <c r="PL103" s="38"/>
      <c r="PM103" s="38"/>
      <c r="PN103" s="38"/>
      <c r="PO103" s="38"/>
      <c r="PP103" s="38"/>
      <c r="PQ103" s="38"/>
      <c r="PR103" s="38"/>
      <c r="PS103" s="38"/>
      <c r="PT103" s="38"/>
      <c r="PU103" s="38"/>
      <c r="PV103" s="38"/>
      <c r="PW103" s="38"/>
      <c r="PX103" s="38"/>
      <c r="PY103" s="38"/>
      <c r="PZ103" s="38"/>
      <c r="QA103" s="38"/>
      <c r="QB103" s="38"/>
      <c r="QC103" s="38"/>
      <c r="QD103" s="38"/>
      <c r="QE103" s="38"/>
      <c r="QF103" s="38"/>
      <c r="QG103" s="38"/>
      <c r="QH103" s="38"/>
      <c r="QI103" s="38"/>
      <c r="QJ103" s="38"/>
      <c r="QK103" s="38"/>
      <c r="QL103" s="38"/>
      <c r="QM103" s="38"/>
      <c r="QN103" s="38"/>
      <c r="QO103" s="38"/>
      <c r="QP103" s="38"/>
      <c r="QQ103" s="38"/>
      <c r="QR103" s="38"/>
      <c r="QS103" s="38"/>
      <c r="QT103" s="38"/>
      <c r="QU103" s="38"/>
      <c r="QV103" s="38"/>
      <c r="QW103" s="38"/>
      <c r="QX103" s="38"/>
      <c r="QY103" s="38"/>
      <c r="QZ103" s="38"/>
      <c r="RA103" s="38"/>
      <c r="RB103" s="38"/>
      <c r="RC103" s="38"/>
      <c r="RD103" s="38"/>
      <c r="RE103" s="38"/>
      <c r="RF103" s="38"/>
      <c r="RG103" s="38"/>
      <c r="RH103" s="38"/>
      <c r="RI103" s="38"/>
      <c r="RJ103" s="38"/>
      <c r="RK103" s="38"/>
      <c r="RL103" s="38"/>
      <c r="RM103" s="38"/>
      <c r="RN103" s="38"/>
      <c r="RO103" s="38"/>
      <c r="RP103" s="38"/>
      <c r="RQ103" s="38"/>
      <c r="RR103" s="38"/>
      <c r="RS103" s="38"/>
      <c r="RT103" s="38"/>
      <c r="RU103" s="38"/>
      <c r="RV103" s="38"/>
      <c r="RW103" s="38"/>
      <c r="RX103" s="38"/>
      <c r="RY103" s="38"/>
      <c r="RZ103" s="38"/>
      <c r="SA103" s="38"/>
      <c r="SB103" s="38"/>
      <c r="SC103" s="38"/>
      <c r="SD103" s="38"/>
      <c r="SE103" s="38"/>
      <c r="SF103" s="38"/>
      <c r="SG103" s="38"/>
      <c r="SH103" s="38"/>
      <c r="SI103" s="38"/>
      <c r="SJ103" s="38"/>
      <c r="SK103" s="38"/>
      <c r="SL103" s="38"/>
      <c r="SM103" s="38"/>
      <c r="SN103" s="38"/>
      <c r="SO103" s="38"/>
      <c r="SP103" s="38"/>
      <c r="SQ103" s="38"/>
      <c r="SR103" s="38"/>
      <c r="SS103" s="38"/>
      <c r="ST103" s="38"/>
      <c r="SU103" s="38"/>
      <c r="SV103" s="38"/>
      <c r="SW103" s="38"/>
      <c r="SX103" s="38"/>
      <c r="SY103" s="38"/>
      <c r="SZ103" s="38"/>
      <c r="TA103" s="38"/>
      <c r="TB103" s="38"/>
      <c r="TC103" s="38"/>
      <c r="TD103" s="38"/>
      <c r="TE103" s="38"/>
      <c r="TF103" s="38"/>
      <c r="TG103" s="38"/>
      <c r="TH103" s="38"/>
      <c r="TI103" s="38"/>
    </row>
    <row r="104" spans="1:529" s="40" customFormat="1" ht="30.75" customHeight="1" x14ac:dyDescent="0.25">
      <c r="A104" s="73" t="s">
        <v>187</v>
      </c>
      <c r="B104" s="72"/>
      <c r="C104" s="72"/>
      <c r="D104" s="33" t="s">
        <v>462</v>
      </c>
      <c r="E104" s="65">
        <f>E111+E112+E116+E118+E120+E122+E125+E126+E127+E128+E129+E131+E133</f>
        <v>189354415.61000001</v>
      </c>
      <c r="F104" s="65">
        <f t="shared" ref="F104:P104" si="40">F111+F112+F116+F118+F120+F122+F125+F126+F127+F128+F129+F131+F133</f>
        <v>189155415.61000001</v>
      </c>
      <c r="G104" s="65">
        <f t="shared" si="40"/>
        <v>1637700</v>
      </c>
      <c r="H104" s="65">
        <f t="shared" si="40"/>
        <v>35400</v>
      </c>
      <c r="I104" s="65">
        <f t="shared" si="40"/>
        <v>199000</v>
      </c>
      <c r="J104" s="65">
        <f>J111+J112+J116+J118+J120+J122+J125+J126+J127+J128+J129+J131+J133</f>
        <v>111722196</v>
      </c>
      <c r="K104" s="65">
        <f t="shared" si="40"/>
        <v>110837196</v>
      </c>
      <c r="L104" s="65">
        <f t="shared" si="40"/>
        <v>0</v>
      </c>
      <c r="M104" s="65">
        <f t="shared" si="40"/>
        <v>0</v>
      </c>
      <c r="N104" s="65">
        <f t="shared" si="40"/>
        <v>0</v>
      </c>
      <c r="O104" s="65">
        <f t="shared" si="40"/>
        <v>111722196</v>
      </c>
      <c r="P104" s="65">
        <f t="shared" si="40"/>
        <v>301076611.61000001</v>
      </c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  <c r="KV104" s="39"/>
      <c r="KW104" s="39"/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/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/>
      <c r="ME104" s="39"/>
      <c r="MF104" s="39"/>
      <c r="MG104" s="39"/>
      <c r="MH104" s="39"/>
      <c r="MI104" s="39"/>
      <c r="MJ104" s="39"/>
      <c r="MK104" s="39"/>
      <c r="ML104" s="39"/>
      <c r="MM104" s="39"/>
      <c r="MN104" s="39"/>
      <c r="MO104" s="39"/>
      <c r="MP104" s="39"/>
      <c r="MQ104" s="39"/>
      <c r="MR104" s="39"/>
      <c r="MS104" s="39"/>
      <c r="MT104" s="39"/>
      <c r="MU104" s="39"/>
      <c r="MV104" s="39"/>
      <c r="MW104" s="39"/>
      <c r="MX104" s="39"/>
      <c r="MY104" s="39"/>
      <c r="MZ104" s="39"/>
      <c r="NA104" s="39"/>
      <c r="NB104" s="39"/>
      <c r="NC104" s="39"/>
      <c r="ND104" s="39"/>
      <c r="NE104" s="39"/>
      <c r="NF104" s="39"/>
      <c r="NG104" s="39"/>
      <c r="NH104" s="39"/>
      <c r="NI104" s="39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/>
      <c r="NT104" s="39"/>
      <c r="NU104" s="39"/>
      <c r="NV104" s="39"/>
      <c r="NW104" s="39"/>
      <c r="NX104" s="39"/>
      <c r="NY104" s="39"/>
      <c r="NZ104" s="39"/>
      <c r="OA104" s="39"/>
      <c r="OB104" s="39"/>
      <c r="OC104" s="39"/>
      <c r="OD104" s="39"/>
      <c r="OE104" s="39"/>
      <c r="OF104" s="39"/>
      <c r="OG104" s="39"/>
      <c r="OH104" s="39"/>
      <c r="OI104" s="39"/>
      <c r="OJ104" s="39"/>
      <c r="OK104" s="39"/>
      <c r="OL104" s="39"/>
      <c r="OM104" s="39"/>
      <c r="ON104" s="39"/>
      <c r="OO104" s="39"/>
      <c r="OP104" s="39"/>
      <c r="OQ104" s="39"/>
      <c r="OR104" s="39"/>
      <c r="OS104" s="39"/>
      <c r="OT104" s="39"/>
      <c r="OU104" s="39"/>
      <c r="OV104" s="39"/>
      <c r="OW104" s="39"/>
      <c r="OX104" s="39"/>
      <c r="OY104" s="39"/>
      <c r="OZ104" s="39"/>
      <c r="PA104" s="39"/>
      <c r="PB104" s="39"/>
      <c r="PC104" s="39"/>
      <c r="PD104" s="39"/>
      <c r="PE104" s="39"/>
      <c r="PF104" s="39"/>
      <c r="PG104" s="39"/>
      <c r="PH104" s="39"/>
      <c r="PI104" s="39"/>
      <c r="PJ104" s="39"/>
      <c r="PK104" s="39"/>
      <c r="PL104" s="39"/>
      <c r="PM104" s="39"/>
      <c r="PN104" s="39"/>
      <c r="PO104" s="39"/>
      <c r="PP104" s="39"/>
      <c r="PQ104" s="39"/>
      <c r="PR104" s="39"/>
      <c r="PS104" s="39"/>
      <c r="PT104" s="39"/>
      <c r="PU104" s="39"/>
      <c r="PV104" s="39"/>
      <c r="PW104" s="39"/>
      <c r="PX104" s="39"/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/>
      <c r="RB104" s="39"/>
      <c r="RC104" s="39"/>
      <c r="RD104" s="39"/>
      <c r="RE104" s="39"/>
      <c r="RF104" s="39"/>
      <c r="RG104" s="39"/>
      <c r="RH104" s="39"/>
      <c r="RI104" s="39"/>
      <c r="RJ104" s="39"/>
      <c r="RK104" s="39"/>
      <c r="RL104" s="39"/>
      <c r="RM104" s="39"/>
      <c r="RN104" s="39"/>
      <c r="RO104" s="39"/>
      <c r="RP104" s="39"/>
      <c r="RQ104" s="39"/>
      <c r="RR104" s="39"/>
      <c r="RS104" s="39"/>
      <c r="RT104" s="39"/>
      <c r="RU104" s="39"/>
      <c r="RV104" s="39"/>
      <c r="RW104" s="39"/>
      <c r="RX104" s="39"/>
      <c r="RY104" s="39"/>
      <c r="RZ104" s="39"/>
      <c r="SA104" s="39"/>
      <c r="SB104" s="39"/>
      <c r="SC104" s="39"/>
      <c r="SD104" s="39"/>
      <c r="SE104" s="39"/>
      <c r="SF104" s="39"/>
      <c r="SG104" s="39"/>
      <c r="SH104" s="39"/>
      <c r="SI104" s="39"/>
      <c r="SJ104" s="39"/>
      <c r="SK104" s="39"/>
      <c r="SL104" s="39"/>
      <c r="SM104" s="39"/>
      <c r="SN104" s="39"/>
      <c r="SO104" s="39"/>
      <c r="SP104" s="39"/>
      <c r="SQ104" s="39"/>
      <c r="SR104" s="39"/>
      <c r="SS104" s="39"/>
      <c r="ST104" s="39"/>
      <c r="SU104" s="39"/>
      <c r="SV104" s="39"/>
      <c r="SW104" s="39"/>
      <c r="SX104" s="39"/>
      <c r="SY104" s="39"/>
      <c r="SZ104" s="39"/>
      <c r="TA104" s="39"/>
      <c r="TB104" s="39"/>
      <c r="TC104" s="39"/>
      <c r="TD104" s="39"/>
      <c r="TE104" s="39"/>
      <c r="TF104" s="39"/>
      <c r="TG104" s="39"/>
      <c r="TH104" s="39"/>
      <c r="TI104" s="39"/>
    </row>
    <row r="105" spans="1:529" s="40" customFormat="1" ht="30" x14ac:dyDescent="0.25">
      <c r="A105" s="73"/>
      <c r="B105" s="72"/>
      <c r="C105" s="72"/>
      <c r="D105" s="33" t="s">
        <v>454</v>
      </c>
      <c r="E105" s="65">
        <f>E113+E117+E119</f>
        <v>52689700</v>
      </c>
      <c r="F105" s="65">
        <f t="shared" ref="F105:P105" si="41">F113+F117+F119</f>
        <v>52689700</v>
      </c>
      <c r="G105" s="65">
        <f t="shared" si="41"/>
        <v>0</v>
      </c>
      <c r="H105" s="65">
        <f t="shared" si="41"/>
        <v>0</v>
      </c>
      <c r="I105" s="65">
        <f t="shared" si="41"/>
        <v>0</v>
      </c>
      <c r="J105" s="65">
        <f t="shared" si="41"/>
        <v>0</v>
      </c>
      <c r="K105" s="65">
        <f t="shared" si="41"/>
        <v>0</v>
      </c>
      <c r="L105" s="65">
        <f t="shared" si="41"/>
        <v>0</v>
      </c>
      <c r="M105" s="65">
        <f t="shared" si="41"/>
        <v>0</v>
      </c>
      <c r="N105" s="65">
        <f t="shared" si="41"/>
        <v>0</v>
      </c>
      <c r="O105" s="65">
        <f t="shared" si="41"/>
        <v>0</v>
      </c>
      <c r="P105" s="65">
        <f t="shared" si="41"/>
        <v>52689700</v>
      </c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39"/>
      <c r="RH105" s="39"/>
      <c r="RI105" s="39"/>
      <c r="RJ105" s="39"/>
      <c r="RK105" s="39"/>
      <c r="RL105" s="39"/>
      <c r="RM105" s="39"/>
      <c r="RN105" s="39"/>
      <c r="RO105" s="39"/>
      <c r="RP105" s="39"/>
      <c r="RQ105" s="39"/>
      <c r="RR105" s="39"/>
      <c r="RS105" s="39"/>
      <c r="RT105" s="39"/>
      <c r="RU105" s="39"/>
      <c r="RV105" s="39"/>
      <c r="RW105" s="39"/>
      <c r="RX105" s="39"/>
      <c r="RY105" s="39"/>
      <c r="RZ105" s="39"/>
      <c r="SA105" s="39"/>
      <c r="SB105" s="39"/>
      <c r="SC105" s="39"/>
      <c r="SD105" s="39"/>
      <c r="SE105" s="39"/>
      <c r="SF105" s="39"/>
      <c r="SG105" s="39"/>
      <c r="SH105" s="39"/>
      <c r="SI105" s="39"/>
      <c r="SJ105" s="39"/>
      <c r="SK105" s="39"/>
      <c r="SL105" s="39"/>
      <c r="SM105" s="39"/>
      <c r="SN105" s="39"/>
      <c r="SO105" s="39"/>
      <c r="SP105" s="39"/>
      <c r="SQ105" s="39"/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/>
      <c r="TC105" s="39"/>
      <c r="TD105" s="39"/>
      <c r="TE105" s="39"/>
      <c r="TF105" s="39"/>
      <c r="TG105" s="39"/>
      <c r="TH105" s="39"/>
      <c r="TI105" s="39"/>
    </row>
    <row r="106" spans="1:529" s="40" customFormat="1" ht="45" x14ac:dyDescent="0.25">
      <c r="A106" s="73"/>
      <c r="B106" s="72"/>
      <c r="C106" s="72"/>
      <c r="D106" s="33" t="s">
        <v>452</v>
      </c>
      <c r="E106" s="65">
        <f>E130</f>
        <v>0</v>
      </c>
      <c r="F106" s="65">
        <f>F130</f>
        <v>0</v>
      </c>
      <c r="G106" s="65">
        <f t="shared" ref="G106:I106" si="42">G130</f>
        <v>0</v>
      </c>
      <c r="H106" s="65">
        <f t="shared" si="42"/>
        <v>0</v>
      </c>
      <c r="I106" s="65">
        <f t="shared" si="42"/>
        <v>0</v>
      </c>
      <c r="J106" s="65">
        <f>J130</f>
        <v>2376052</v>
      </c>
      <c r="K106" s="65">
        <f t="shared" ref="K106:P106" si="43">K130</f>
        <v>2376052</v>
      </c>
      <c r="L106" s="65">
        <f t="shared" si="43"/>
        <v>0</v>
      </c>
      <c r="M106" s="65">
        <f t="shared" si="43"/>
        <v>0</v>
      </c>
      <c r="N106" s="65">
        <f t="shared" si="43"/>
        <v>0</v>
      </c>
      <c r="O106" s="65">
        <f t="shared" si="43"/>
        <v>2376052</v>
      </c>
      <c r="P106" s="65">
        <f t="shared" si="43"/>
        <v>2376052</v>
      </c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</row>
    <row r="107" spans="1:529" s="40" customFormat="1" ht="45" x14ac:dyDescent="0.25">
      <c r="A107" s="73"/>
      <c r="B107" s="72"/>
      <c r="C107" s="72"/>
      <c r="D107" s="33" t="s">
        <v>455</v>
      </c>
      <c r="E107" s="65">
        <f>E114+E123</f>
        <v>4468078.6099999994</v>
      </c>
      <c r="F107" s="65">
        <f t="shared" ref="F107:P107" si="44">F114+F123</f>
        <v>4468078.6099999994</v>
      </c>
      <c r="G107" s="65">
        <f t="shared" si="44"/>
        <v>0</v>
      </c>
      <c r="H107" s="65">
        <f t="shared" si="44"/>
        <v>0</v>
      </c>
      <c r="I107" s="65">
        <f t="shared" si="44"/>
        <v>0</v>
      </c>
      <c r="J107" s="65">
        <f t="shared" si="44"/>
        <v>0</v>
      </c>
      <c r="K107" s="65">
        <f t="shared" si="44"/>
        <v>0</v>
      </c>
      <c r="L107" s="65">
        <f t="shared" si="44"/>
        <v>0</v>
      </c>
      <c r="M107" s="65">
        <f t="shared" si="44"/>
        <v>0</v>
      </c>
      <c r="N107" s="65">
        <f t="shared" si="44"/>
        <v>0</v>
      </c>
      <c r="O107" s="65">
        <f t="shared" si="44"/>
        <v>0</v>
      </c>
      <c r="P107" s="65">
        <f t="shared" si="44"/>
        <v>4468078.6099999994</v>
      </c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</row>
    <row r="108" spans="1:529" s="40" customFormat="1" ht="20.25" customHeight="1" x14ac:dyDescent="0.25">
      <c r="A108" s="73"/>
      <c r="B108" s="72"/>
      <c r="C108" s="72"/>
      <c r="D108" s="33" t="s">
        <v>457</v>
      </c>
      <c r="E108" s="65">
        <f>E115</f>
        <v>60000</v>
      </c>
      <c r="F108" s="65">
        <f t="shared" ref="F108:P108" si="45">F115</f>
        <v>60000</v>
      </c>
      <c r="G108" s="65">
        <f t="shared" si="45"/>
        <v>0</v>
      </c>
      <c r="H108" s="65">
        <f t="shared" si="45"/>
        <v>0</v>
      </c>
      <c r="I108" s="65">
        <f t="shared" si="45"/>
        <v>0</v>
      </c>
      <c r="J108" s="65">
        <f t="shared" si="45"/>
        <v>0</v>
      </c>
      <c r="K108" s="65">
        <f t="shared" si="45"/>
        <v>0</v>
      </c>
      <c r="L108" s="65">
        <f t="shared" si="45"/>
        <v>0</v>
      </c>
      <c r="M108" s="65">
        <f t="shared" si="45"/>
        <v>0</v>
      </c>
      <c r="N108" s="65">
        <f t="shared" si="45"/>
        <v>0</v>
      </c>
      <c r="O108" s="65">
        <f t="shared" si="45"/>
        <v>0</v>
      </c>
      <c r="P108" s="65">
        <f t="shared" si="45"/>
        <v>60000</v>
      </c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</row>
    <row r="109" spans="1:529" s="40" customFormat="1" ht="52.5" customHeight="1" x14ac:dyDescent="0.25">
      <c r="A109" s="73"/>
      <c r="B109" s="72"/>
      <c r="C109" s="72"/>
      <c r="D109" s="33" t="s">
        <v>456</v>
      </c>
      <c r="E109" s="65">
        <f>E121+E124</f>
        <v>4345037</v>
      </c>
      <c r="F109" s="65">
        <f t="shared" ref="F109:P109" si="46">F121+F124</f>
        <v>4345037</v>
      </c>
      <c r="G109" s="65">
        <f t="shared" si="46"/>
        <v>0</v>
      </c>
      <c r="H109" s="65">
        <f t="shared" si="46"/>
        <v>0</v>
      </c>
      <c r="I109" s="65">
        <f t="shared" si="46"/>
        <v>0</v>
      </c>
      <c r="J109" s="65">
        <f t="shared" si="46"/>
        <v>0</v>
      </c>
      <c r="K109" s="65">
        <f t="shared" si="46"/>
        <v>0</v>
      </c>
      <c r="L109" s="65">
        <f t="shared" si="46"/>
        <v>0</v>
      </c>
      <c r="M109" s="65">
        <f t="shared" si="46"/>
        <v>0</v>
      </c>
      <c r="N109" s="65">
        <f t="shared" si="46"/>
        <v>0</v>
      </c>
      <c r="O109" s="65">
        <f t="shared" si="46"/>
        <v>0</v>
      </c>
      <c r="P109" s="65">
        <f t="shared" si="46"/>
        <v>4345037</v>
      </c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</row>
    <row r="110" spans="1:529" s="40" customFormat="1" x14ac:dyDescent="0.25">
      <c r="A110" s="73"/>
      <c r="B110" s="72"/>
      <c r="C110" s="72"/>
      <c r="D110" s="147" t="s">
        <v>507</v>
      </c>
      <c r="E110" s="65">
        <f>E132</f>
        <v>0</v>
      </c>
      <c r="F110" s="65">
        <f t="shared" ref="F110:P110" si="47">F132</f>
        <v>0</v>
      </c>
      <c r="G110" s="65">
        <f t="shared" si="47"/>
        <v>0</v>
      </c>
      <c r="H110" s="65">
        <f t="shared" si="47"/>
        <v>0</v>
      </c>
      <c r="I110" s="65">
        <f t="shared" si="47"/>
        <v>0</v>
      </c>
      <c r="J110" s="65">
        <f t="shared" si="47"/>
        <v>14714700</v>
      </c>
      <c r="K110" s="65">
        <f t="shared" si="47"/>
        <v>14714700</v>
      </c>
      <c r="L110" s="65">
        <f t="shared" si="47"/>
        <v>0</v>
      </c>
      <c r="M110" s="65">
        <f t="shared" si="47"/>
        <v>0</v>
      </c>
      <c r="N110" s="65">
        <f t="shared" si="47"/>
        <v>0</v>
      </c>
      <c r="O110" s="65">
        <f t="shared" si="47"/>
        <v>14714700</v>
      </c>
      <c r="P110" s="65">
        <f t="shared" si="47"/>
        <v>14714700</v>
      </c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  <c r="IW110" s="39"/>
      <c r="IX110" s="39"/>
      <c r="IY110" s="39"/>
      <c r="IZ110" s="39"/>
      <c r="JA110" s="39"/>
      <c r="JB110" s="39"/>
      <c r="JC110" s="39"/>
      <c r="JD110" s="39"/>
      <c r="JE110" s="39"/>
      <c r="JF110" s="39"/>
      <c r="JG110" s="39"/>
      <c r="JH110" s="39"/>
      <c r="JI110" s="39"/>
      <c r="JJ110" s="39"/>
      <c r="JK110" s="39"/>
      <c r="JL110" s="39"/>
      <c r="JM110" s="39"/>
      <c r="JN110" s="39"/>
      <c r="JO110" s="39"/>
      <c r="JP110" s="39"/>
      <c r="JQ110" s="39"/>
      <c r="JR110" s="39"/>
      <c r="JS110" s="39"/>
      <c r="JT110" s="39"/>
      <c r="JU110" s="39"/>
      <c r="JV110" s="39"/>
      <c r="JW110" s="39"/>
      <c r="JX110" s="39"/>
      <c r="JY110" s="39"/>
      <c r="JZ110" s="39"/>
      <c r="KA110" s="39"/>
      <c r="KB110" s="39"/>
      <c r="KC110" s="39"/>
      <c r="KD110" s="39"/>
      <c r="KE110" s="39"/>
      <c r="KF110" s="39"/>
      <c r="KG110" s="39"/>
      <c r="KH110" s="39"/>
      <c r="KI110" s="39"/>
      <c r="KJ110" s="39"/>
      <c r="KK110" s="39"/>
      <c r="KL110" s="39"/>
      <c r="KM110" s="39"/>
      <c r="KN110" s="39"/>
      <c r="KO110" s="39"/>
      <c r="KP110" s="39"/>
      <c r="KQ110" s="39"/>
      <c r="KR110" s="39"/>
      <c r="KS110" s="39"/>
      <c r="KT110" s="39"/>
      <c r="KU110" s="39"/>
      <c r="KV110" s="39"/>
      <c r="KW110" s="39"/>
      <c r="KX110" s="39"/>
      <c r="KY110" s="39"/>
      <c r="KZ110" s="39"/>
      <c r="LA110" s="39"/>
      <c r="LB110" s="39"/>
      <c r="LC110" s="39"/>
      <c r="LD110" s="39"/>
      <c r="LE110" s="39"/>
      <c r="LF110" s="39"/>
      <c r="LG110" s="39"/>
      <c r="LH110" s="39"/>
      <c r="LI110" s="39"/>
      <c r="LJ110" s="39"/>
      <c r="LK110" s="39"/>
      <c r="LL110" s="39"/>
      <c r="LM110" s="39"/>
      <c r="LN110" s="39"/>
      <c r="LO110" s="39"/>
      <c r="LP110" s="39"/>
      <c r="LQ110" s="39"/>
      <c r="LR110" s="39"/>
      <c r="LS110" s="39"/>
      <c r="LT110" s="39"/>
      <c r="LU110" s="39"/>
      <c r="LV110" s="39"/>
      <c r="LW110" s="39"/>
      <c r="LX110" s="39"/>
      <c r="LY110" s="39"/>
      <c r="LZ110" s="39"/>
      <c r="MA110" s="39"/>
      <c r="MB110" s="39"/>
      <c r="MC110" s="39"/>
      <c r="MD110" s="39"/>
      <c r="ME110" s="39"/>
      <c r="MF110" s="39"/>
      <c r="MG110" s="39"/>
      <c r="MH110" s="39"/>
      <c r="MI110" s="39"/>
      <c r="MJ110" s="39"/>
      <c r="MK110" s="39"/>
      <c r="ML110" s="39"/>
      <c r="MM110" s="39"/>
      <c r="MN110" s="39"/>
      <c r="MO110" s="39"/>
      <c r="MP110" s="39"/>
      <c r="MQ110" s="39"/>
      <c r="MR110" s="39"/>
      <c r="MS110" s="39"/>
      <c r="MT110" s="39"/>
      <c r="MU110" s="39"/>
      <c r="MV110" s="39"/>
      <c r="MW110" s="39"/>
      <c r="MX110" s="39"/>
      <c r="MY110" s="39"/>
      <c r="MZ110" s="39"/>
      <c r="NA110" s="39"/>
      <c r="NB110" s="39"/>
      <c r="NC110" s="39"/>
      <c r="ND110" s="39"/>
      <c r="NE110" s="39"/>
      <c r="NF110" s="39"/>
      <c r="NG110" s="39"/>
      <c r="NH110" s="39"/>
      <c r="NI110" s="39"/>
      <c r="NJ110" s="39"/>
      <c r="NK110" s="39"/>
      <c r="NL110" s="39"/>
      <c r="NM110" s="39"/>
      <c r="NN110" s="39"/>
      <c r="NO110" s="39"/>
      <c r="NP110" s="39"/>
      <c r="NQ110" s="39"/>
      <c r="NR110" s="39"/>
      <c r="NS110" s="39"/>
      <c r="NT110" s="39"/>
      <c r="NU110" s="39"/>
      <c r="NV110" s="39"/>
      <c r="NW110" s="39"/>
      <c r="NX110" s="39"/>
      <c r="NY110" s="39"/>
      <c r="NZ110" s="39"/>
      <c r="OA110" s="39"/>
      <c r="OB110" s="39"/>
      <c r="OC110" s="39"/>
      <c r="OD110" s="39"/>
      <c r="OE110" s="39"/>
      <c r="OF110" s="39"/>
      <c r="OG110" s="39"/>
      <c r="OH110" s="39"/>
      <c r="OI110" s="39"/>
      <c r="OJ110" s="39"/>
      <c r="OK110" s="39"/>
      <c r="OL110" s="39"/>
      <c r="OM110" s="39"/>
      <c r="ON110" s="39"/>
      <c r="OO110" s="39"/>
      <c r="OP110" s="39"/>
      <c r="OQ110" s="39"/>
      <c r="OR110" s="39"/>
      <c r="OS110" s="39"/>
      <c r="OT110" s="39"/>
      <c r="OU110" s="39"/>
      <c r="OV110" s="39"/>
      <c r="OW110" s="39"/>
      <c r="OX110" s="39"/>
      <c r="OY110" s="39"/>
      <c r="OZ110" s="39"/>
      <c r="PA110" s="39"/>
      <c r="PB110" s="39"/>
      <c r="PC110" s="39"/>
      <c r="PD110" s="39"/>
      <c r="PE110" s="39"/>
      <c r="PF110" s="39"/>
      <c r="PG110" s="39"/>
      <c r="PH110" s="39"/>
      <c r="PI110" s="39"/>
      <c r="PJ110" s="39"/>
      <c r="PK110" s="39"/>
      <c r="PL110" s="39"/>
      <c r="PM110" s="39"/>
      <c r="PN110" s="39"/>
      <c r="PO110" s="39"/>
      <c r="PP110" s="39"/>
      <c r="PQ110" s="39"/>
      <c r="PR110" s="39"/>
      <c r="PS110" s="39"/>
      <c r="PT110" s="39"/>
      <c r="PU110" s="39"/>
      <c r="PV110" s="39"/>
      <c r="PW110" s="39"/>
      <c r="PX110" s="39"/>
      <c r="PY110" s="39"/>
      <c r="PZ110" s="39"/>
      <c r="QA110" s="39"/>
      <c r="QB110" s="39"/>
      <c r="QC110" s="39"/>
      <c r="QD110" s="39"/>
      <c r="QE110" s="39"/>
      <c r="QF110" s="39"/>
      <c r="QG110" s="39"/>
      <c r="QH110" s="39"/>
      <c r="QI110" s="39"/>
      <c r="QJ110" s="39"/>
      <c r="QK110" s="39"/>
      <c r="QL110" s="39"/>
      <c r="QM110" s="39"/>
      <c r="QN110" s="39"/>
      <c r="QO110" s="39"/>
      <c r="QP110" s="39"/>
      <c r="QQ110" s="39"/>
      <c r="QR110" s="39"/>
      <c r="QS110" s="39"/>
      <c r="QT110" s="39"/>
      <c r="QU110" s="39"/>
      <c r="QV110" s="39"/>
      <c r="QW110" s="39"/>
      <c r="QX110" s="39"/>
      <c r="QY110" s="39"/>
      <c r="QZ110" s="39"/>
      <c r="RA110" s="39"/>
      <c r="RB110" s="39"/>
      <c r="RC110" s="39"/>
      <c r="RD110" s="39"/>
      <c r="RE110" s="39"/>
      <c r="RF110" s="39"/>
      <c r="RG110" s="39"/>
      <c r="RH110" s="39"/>
      <c r="RI110" s="39"/>
      <c r="RJ110" s="39"/>
      <c r="RK110" s="39"/>
      <c r="RL110" s="39"/>
      <c r="RM110" s="39"/>
      <c r="RN110" s="39"/>
      <c r="RO110" s="39"/>
      <c r="RP110" s="39"/>
      <c r="RQ110" s="39"/>
      <c r="RR110" s="39"/>
      <c r="RS110" s="39"/>
      <c r="RT110" s="39"/>
      <c r="RU110" s="39"/>
      <c r="RV110" s="39"/>
      <c r="RW110" s="39"/>
      <c r="RX110" s="39"/>
      <c r="RY110" s="39"/>
      <c r="RZ110" s="39"/>
      <c r="SA110" s="39"/>
      <c r="SB110" s="39"/>
      <c r="SC110" s="39"/>
      <c r="SD110" s="39"/>
      <c r="SE110" s="39"/>
      <c r="SF110" s="39"/>
      <c r="SG110" s="39"/>
      <c r="SH110" s="39"/>
      <c r="SI110" s="39"/>
      <c r="SJ110" s="39"/>
      <c r="SK110" s="39"/>
      <c r="SL110" s="39"/>
      <c r="SM110" s="39"/>
      <c r="SN110" s="39"/>
      <c r="SO110" s="39"/>
      <c r="SP110" s="39"/>
      <c r="SQ110" s="39"/>
      <c r="SR110" s="39"/>
      <c r="SS110" s="39"/>
      <c r="ST110" s="39"/>
      <c r="SU110" s="39"/>
      <c r="SV110" s="39"/>
      <c r="SW110" s="39"/>
      <c r="SX110" s="39"/>
      <c r="SY110" s="39"/>
      <c r="SZ110" s="39"/>
      <c r="TA110" s="39"/>
      <c r="TB110" s="39"/>
      <c r="TC110" s="39"/>
      <c r="TD110" s="39"/>
      <c r="TE110" s="39"/>
      <c r="TF110" s="39"/>
      <c r="TG110" s="39"/>
      <c r="TH110" s="39"/>
      <c r="TI110" s="39"/>
    </row>
    <row r="111" spans="1:529" s="23" customFormat="1" ht="50.25" customHeight="1" x14ac:dyDescent="0.25">
      <c r="A111" s="43" t="s">
        <v>188</v>
      </c>
      <c r="B111" s="44" t="str">
        <f>'дод 4'!A20</f>
        <v>0160</v>
      </c>
      <c r="C111" s="44" t="str">
        <f>'дод 4'!B20</f>
        <v>0111</v>
      </c>
      <c r="D111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11" s="66">
        <f t="shared" ref="E111:E133" si="48">F111+I111</f>
        <v>2347300</v>
      </c>
      <c r="F111" s="66">
        <f>2218500+30000+3500-97800+196800-4500+800</f>
        <v>2347300</v>
      </c>
      <c r="G111" s="66">
        <f>1721600-80200-3700</f>
        <v>1637700</v>
      </c>
      <c r="H111" s="66">
        <v>35400</v>
      </c>
      <c r="I111" s="66"/>
      <c r="J111" s="66">
        <f>L111+O111</f>
        <v>0</v>
      </c>
      <c r="K111" s="66"/>
      <c r="L111" s="66"/>
      <c r="M111" s="66"/>
      <c r="N111" s="66"/>
      <c r="O111" s="66"/>
      <c r="P111" s="66">
        <f t="shared" ref="P111:P133" si="49">E111+J111</f>
        <v>2347300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  <c r="IW111" s="26"/>
      <c r="IX111" s="26"/>
      <c r="IY111" s="26"/>
      <c r="IZ111" s="26"/>
      <c r="JA111" s="26"/>
      <c r="JB111" s="26"/>
      <c r="JC111" s="26"/>
      <c r="JD111" s="26"/>
      <c r="JE111" s="26"/>
      <c r="JF111" s="26"/>
      <c r="JG111" s="26"/>
      <c r="JH111" s="26"/>
      <c r="JI111" s="26"/>
      <c r="JJ111" s="26"/>
      <c r="JK111" s="26"/>
      <c r="JL111" s="26"/>
      <c r="JM111" s="26"/>
      <c r="JN111" s="26"/>
      <c r="JO111" s="26"/>
      <c r="JP111" s="26"/>
      <c r="JQ111" s="26"/>
      <c r="JR111" s="26"/>
      <c r="JS111" s="26"/>
      <c r="JT111" s="26"/>
      <c r="JU111" s="26"/>
      <c r="JV111" s="26"/>
      <c r="JW111" s="26"/>
      <c r="JX111" s="26"/>
      <c r="JY111" s="26"/>
      <c r="JZ111" s="26"/>
      <c r="KA111" s="26"/>
      <c r="KB111" s="26"/>
      <c r="KC111" s="26"/>
      <c r="KD111" s="26"/>
      <c r="KE111" s="26"/>
      <c r="KF111" s="26"/>
      <c r="KG111" s="26"/>
      <c r="KH111" s="26"/>
      <c r="KI111" s="26"/>
      <c r="KJ111" s="26"/>
      <c r="KK111" s="26"/>
      <c r="KL111" s="26"/>
      <c r="KM111" s="26"/>
      <c r="KN111" s="26"/>
      <c r="KO111" s="26"/>
      <c r="KP111" s="26"/>
      <c r="KQ111" s="26"/>
      <c r="KR111" s="26"/>
      <c r="KS111" s="26"/>
      <c r="KT111" s="26"/>
      <c r="KU111" s="26"/>
      <c r="KV111" s="26"/>
      <c r="KW111" s="26"/>
      <c r="KX111" s="26"/>
      <c r="KY111" s="26"/>
      <c r="KZ111" s="26"/>
      <c r="LA111" s="26"/>
      <c r="LB111" s="26"/>
      <c r="LC111" s="26"/>
      <c r="LD111" s="26"/>
      <c r="LE111" s="26"/>
      <c r="LF111" s="26"/>
      <c r="LG111" s="26"/>
      <c r="LH111" s="26"/>
      <c r="LI111" s="26"/>
      <c r="LJ111" s="26"/>
      <c r="LK111" s="26"/>
      <c r="LL111" s="26"/>
      <c r="LM111" s="26"/>
      <c r="LN111" s="26"/>
      <c r="LO111" s="26"/>
      <c r="LP111" s="26"/>
      <c r="LQ111" s="26"/>
      <c r="LR111" s="26"/>
      <c r="LS111" s="26"/>
      <c r="LT111" s="26"/>
      <c r="LU111" s="26"/>
      <c r="LV111" s="26"/>
      <c r="LW111" s="26"/>
      <c r="LX111" s="26"/>
      <c r="LY111" s="26"/>
      <c r="LZ111" s="26"/>
      <c r="MA111" s="26"/>
      <c r="MB111" s="26"/>
      <c r="MC111" s="26"/>
      <c r="MD111" s="26"/>
      <c r="ME111" s="26"/>
      <c r="MF111" s="26"/>
      <c r="MG111" s="26"/>
      <c r="MH111" s="26"/>
      <c r="MI111" s="26"/>
      <c r="MJ111" s="26"/>
      <c r="MK111" s="26"/>
      <c r="ML111" s="26"/>
      <c r="MM111" s="26"/>
      <c r="MN111" s="26"/>
      <c r="MO111" s="26"/>
      <c r="MP111" s="26"/>
      <c r="MQ111" s="26"/>
      <c r="MR111" s="26"/>
      <c r="MS111" s="26"/>
      <c r="MT111" s="26"/>
      <c r="MU111" s="26"/>
      <c r="MV111" s="26"/>
      <c r="MW111" s="26"/>
      <c r="MX111" s="26"/>
      <c r="MY111" s="26"/>
      <c r="MZ111" s="26"/>
      <c r="NA111" s="26"/>
      <c r="NB111" s="26"/>
      <c r="NC111" s="26"/>
      <c r="ND111" s="26"/>
      <c r="NE111" s="26"/>
      <c r="NF111" s="26"/>
      <c r="NG111" s="26"/>
      <c r="NH111" s="26"/>
      <c r="NI111" s="26"/>
      <c r="NJ111" s="26"/>
      <c r="NK111" s="26"/>
      <c r="NL111" s="26"/>
      <c r="NM111" s="26"/>
      <c r="NN111" s="26"/>
      <c r="NO111" s="26"/>
      <c r="NP111" s="26"/>
      <c r="NQ111" s="26"/>
      <c r="NR111" s="26"/>
      <c r="NS111" s="26"/>
      <c r="NT111" s="26"/>
      <c r="NU111" s="26"/>
      <c r="NV111" s="26"/>
      <c r="NW111" s="26"/>
      <c r="NX111" s="26"/>
      <c r="NY111" s="26"/>
      <c r="NZ111" s="26"/>
      <c r="OA111" s="26"/>
      <c r="OB111" s="26"/>
      <c r="OC111" s="26"/>
      <c r="OD111" s="26"/>
      <c r="OE111" s="26"/>
      <c r="OF111" s="26"/>
      <c r="OG111" s="26"/>
      <c r="OH111" s="26"/>
      <c r="OI111" s="26"/>
      <c r="OJ111" s="26"/>
      <c r="OK111" s="26"/>
      <c r="OL111" s="26"/>
      <c r="OM111" s="26"/>
      <c r="ON111" s="26"/>
      <c r="OO111" s="26"/>
      <c r="OP111" s="26"/>
      <c r="OQ111" s="26"/>
      <c r="OR111" s="26"/>
      <c r="OS111" s="26"/>
      <c r="OT111" s="26"/>
      <c r="OU111" s="26"/>
      <c r="OV111" s="26"/>
      <c r="OW111" s="26"/>
      <c r="OX111" s="26"/>
      <c r="OY111" s="26"/>
      <c r="OZ111" s="26"/>
      <c r="PA111" s="26"/>
      <c r="PB111" s="26"/>
      <c r="PC111" s="26"/>
      <c r="PD111" s="26"/>
      <c r="PE111" s="26"/>
      <c r="PF111" s="26"/>
      <c r="PG111" s="26"/>
      <c r="PH111" s="26"/>
      <c r="PI111" s="26"/>
      <c r="PJ111" s="26"/>
      <c r="PK111" s="26"/>
      <c r="PL111" s="26"/>
      <c r="PM111" s="26"/>
      <c r="PN111" s="26"/>
      <c r="PO111" s="26"/>
      <c r="PP111" s="26"/>
      <c r="PQ111" s="26"/>
      <c r="PR111" s="26"/>
      <c r="PS111" s="26"/>
      <c r="PT111" s="26"/>
      <c r="PU111" s="26"/>
      <c r="PV111" s="26"/>
      <c r="PW111" s="26"/>
      <c r="PX111" s="26"/>
      <c r="PY111" s="26"/>
      <c r="PZ111" s="26"/>
      <c r="QA111" s="26"/>
      <c r="QB111" s="26"/>
      <c r="QC111" s="26"/>
      <c r="QD111" s="26"/>
      <c r="QE111" s="26"/>
      <c r="QF111" s="26"/>
      <c r="QG111" s="26"/>
      <c r="QH111" s="26"/>
      <c r="QI111" s="26"/>
      <c r="QJ111" s="26"/>
      <c r="QK111" s="26"/>
      <c r="QL111" s="26"/>
      <c r="QM111" s="26"/>
      <c r="QN111" s="26"/>
      <c r="QO111" s="26"/>
      <c r="QP111" s="26"/>
      <c r="QQ111" s="26"/>
      <c r="QR111" s="26"/>
      <c r="QS111" s="26"/>
      <c r="QT111" s="26"/>
      <c r="QU111" s="26"/>
      <c r="QV111" s="26"/>
      <c r="QW111" s="26"/>
      <c r="QX111" s="26"/>
      <c r="QY111" s="26"/>
      <c r="QZ111" s="26"/>
      <c r="RA111" s="26"/>
      <c r="RB111" s="26"/>
      <c r="RC111" s="26"/>
      <c r="RD111" s="26"/>
      <c r="RE111" s="26"/>
      <c r="RF111" s="26"/>
      <c r="RG111" s="26"/>
      <c r="RH111" s="26"/>
      <c r="RI111" s="26"/>
      <c r="RJ111" s="26"/>
      <c r="RK111" s="26"/>
      <c r="RL111" s="26"/>
      <c r="RM111" s="26"/>
      <c r="RN111" s="26"/>
      <c r="RO111" s="26"/>
      <c r="RP111" s="26"/>
      <c r="RQ111" s="26"/>
      <c r="RR111" s="26"/>
      <c r="RS111" s="26"/>
      <c r="RT111" s="26"/>
      <c r="RU111" s="26"/>
      <c r="RV111" s="26"/>
      <c r="RW111" s="26"/>
      <c r="RX111" s="26"/>
      <c r="RY111" s="26"/>
      <c r="RZ111" s="26"/>
      <c r="SA111" s="26"/>
      <c r="SB111" s="26"/>
      <c r="SC111" s="26"/>
      <c r="SD111" s="26"/>
      <c r="SE111" s="26"/>
      <c r="SF111" s="26"/>
      <c r="SG111" s="26"/>
      <c r="SH111" s="26"/>
      <c r="SI111" s="26"/>
      <c r="SJ111" s="26"/>
      <c r="SK111" s="26"/>
      <c r="SL111" s="26"/>
      <c r="SM111" s="26"/>
      <c r="SN111" s="26"/>
      <c r="SO111" s="26"/>
      <c r="SP111" s="26"/>
      <c r="SQ111" s="26"/>
      <c r="SR111" s="26"/>
      <c r="SS111" s="26"/>
      <c r="ST111" s="26"/>
      <c r="SU111" s="26"/>
      <c r="SV111" s="26"/>
      <c r="SW111" s="26"/>
      <c r="SX111" s="26"/>
      <c r="SY111" s="26"/>
      <c r="SZ111" s="26"/>
      <c r="TA111" s="26"/>
      <c r="TB111" s="26"/>
      <c r="TC111" s="26"/>
      <c r="TD111" s="26"/>
      <c r="TE111" s="26"/>
      <c r="TF111" s="26"/>
      <c r="TG111" s="26"/>
      <c r="TH111" s="26"/>
      <c r="TI111" s="26"/>
    </row>
    <row r="112" spans="1:529" s="23" customFormat="1" ht="33" customHeight="1" x14ac:dyDescent="0.25">
      <c r="A112" s="43" t="s">
        <v>189</v>
      </c>
      <c r="B112" s="44" t="str">
        <f>'дод 4'!A59</f>
        <v>2010</v>
      </c>
      <c r="C112" s="44" t="str">
        <f>'дод 4'!B59</f>
        <v>0731</v>
      </c>
      <c r="D112" s="6" t="s">
        <v>476</v>
      </c>
      <c r="E112" s="66">
        <f t="shared" si="48"/>
        <v>118538525.61</v>
      </c>
      <c r="F112" s="66">
        <f>118457491+150000+717000-100000+30000+725000+400000+60000+450000+28000+20000+203567-32.39-3692700+881200+49000+10000+200000-50000</f>
        <v>118538525.61</v>
      </c>
      <c r="G112" s="66"/>
      <c r="H112" s="66"/>
      <c r="I112" s="68"/>
      <c r="J112" s="66">
        <f t="shared" ref="J112:J133" si="50">L112+O112</f>
        <v>34684300</v>
      </c>
      <c r="K112" s="66">
        <f>34664300+20000</f>
        <v>34684300</v>
      </c>
      <c r="L112" s="66"/>
      <c r="M112" s="66"/>
      <c r="N112" s="66"/>
      <c r="O112" s="66">
        <f>34664300+20000</f>
        <v>34684300</v>
      </c>
      <c r="P112" s="66">
        <f t="shared" si="49"/>
        <v>153222825.61000001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  <c r="IW112" s="26"/>
      <c r="IX112" s="26"/>
      <c r="IY112" s="26"/>
      <c r="IZ112" s="26"/>
      <c r="JA112" s="26"/>
      <c r="JB112" s="26"/>
      <c r="JC112" s="26"/>
      <c r="JD112" s="26"/>
      <c r="JE112" s="26"/>
      <c r="JF112" s="26"/>
      <c r="JG112" s="26"/>
      <c r="JH112" s="26"/>
      <c r="JI112" s="26"/>
      <c r="JJ112" s="26"/>
      <c r="JK112" s="26"/>
      <c r="JL112" s="26"/>
      <c r="JM112" s="26"/>
      <c r="JN112" s="26"/>
      <c r="JO112" s="26"/>
      <c r="JP112" s="26"/>
      <c r="JQ112" s="26"/>
      <c r="JR112" s="26"/>
      <c r="JS112" s="26"/>
      <c r="JT112" s="26"/>
      <c r="JU112" s="26"/>
      <c r="JV112" s="26"/>
      <c r="JW112" s="26"/>
      <c r="JX112" s="26"/>
      <c r="JY112" s="26"/>
      <c r="JZ112" s="26"/>
      <c r="KA112" s="26"/>
      <c r="KB112" s="26"/>
      <c r="KC112" s="26"/>
      <c r="KD112" s="26"/>
      <c r="KE112" s="26"/>
      <c r="KF112" s="26"/>
      <c r="KG112" s="26"/>
      <c r="KH112" s="26"/>
      <c r="KI112" s="26"/>
      <c r="KJ112" s="26"/>
      <c r="KK112" s="26"/>
      <c r="KL112" s="26"/>
      <c r="KM112" s="26"/>
      <c r="KN112" s="26"/>
      <c r="KO112" s="26"/>
      <c r="KP112" s="26"/>
      <c r="KQ112" s="26"/>
      <c r="KR112" s="26"/>
      <c r="KS112" s="26"/>
      <c r="KT112" s="26"/>
      <c r="KU112" s="26"/>
      <c r="KV112" s="26"/>
      <c r="KW112" s="26"/>
      <c r="KX112" s="26"/>
      <c r="KY112" s="26"/>
      <c r="KZ112" s="26"/>
      <c r="LA112" s="26"/>
      <c r="LB112" s="26"/>
      <c r="LC112" s="26"/>
      <c r="LD112" s="26"/>
      <c r="LE112" s="26"/>
      <c r="LF112" s="26"/>
      <c r="LG112" s="26"/>
      <c r="LH112" s="26"/>
      <c r="LI112" s="26"/>
      <c r="LJ112" s="26"/>
      <c r="LK112" s="26"/>
      <c r="LL112" s="26"/>
      <c r="LM112" s="26"/>
      <c r="LN112" s="26"/>
      <c r="LO112" s="26"/>
      <c r="LP112" s="26"/>
      <c r="LQ112" s="26"/>
      <c r="LR112" s="26"/>
      <c r="LS112" s="26"/>
      <c r="LT112" s="26"/>
      <c r="LU112" s="26"/>
      <c r="LV112" s="26"/>
      <c r="LW112" s="26"/>
      <c r="LX112" s="26"/>
      <c r="LY112" s="26"/>
      <c r="LZ112" s="26"/>
      <c r="MA112" s="26"/>
      <c r="MB112" s="26"/>
      <c r="MC112" s="26"/>
      <c r="MD112" s="26"/>
      <c r="ME112" s="26"/>
      <c r="MF112" s="26"/>
      <c r="MG112" s="26"/>
      <c r="MH112" s="26"/>
      <c r="MI112" s="26"/>
      <c r="MJ112" s="26"/>
      <c r="MK112" s="26"/>
      <c r="ML112" s="26"/>
      <c r="MM112" s="26"/>
      <c r="MN112" s="26"/>
      <c r="MO112" s="26"/>
      <c r="MP112" s="26"/>
      <c r="MQ112" s="26"/>
      <c r="MR112" s="26"/>
      <c r="MS112" s="26"/>
      <c r="MT112" s="26"/>
      <c r="MU112" s="26"/>
      <c r="MV112" s="26"/>
      <c r="MW112" s="26"/>
      <c r="MX112" s="26"/>
      <c r="MY112" s="26"/>
      <c r="MZ112" s="26"/>
      <c r="NA112" s="26"/>
      <c r="NB112" s="26"/>
      <c r="NC112" s="26"/>
      <c r="ND112" s="26"/>
      <c r="NE112" s="26"/>
      <c r="NF112" s="26"/>
      <c r="NG112" s="26"/>
      <c r="NH112" s="26"/>
      <c r="NI112" s="26"/>
      <c r="NJ112" s="26"/>
      <c r="NK112" s="26"/>
      <c r="NL112" s="26"/>
      <c r="NM112" s="26"/>
      <c r="NN112" s="26"/>
      <c r="NO112" s="26"/>
      <c r="NP112" s="26"/>
      <c r="NQ112" s="26"/>
      <c r="NR112" s="26"/>
      <c r="NS112" s="26"/>
      <c r="NT112" s="26"/>
      <c r="NU112" s="26"/>
      <c r="NV112" s="26"/>
      <c r="NW112" s="26"/>
      <c r="NX112" s="26"/>
      <c r="NY112" s="26"/>
      <c r="NZ112" s="26"/>
      <c r="OA112" s="26"/>
      <c r="OB112" s="26"/>
      <c r="OC112" s="26"/>
      <c r="OD112" s="26"/>
      <c r="OE112" s="26"/>
      <c r="OF112" s="26"/>
      <c r="OG112" s="26"/>
      <c r="OH112" s="26"/>
      <c r="OI112" s="26"/>
      <c r="OJ112" s="26"/>
      <c r="OK112" s="26"/>
      <c r="OL112" s="26"/>
      <c r="OM112" s="26"/>
      <c r="ON112" s="26"/>
      <c r="OO112" s="26"/>
      <c r="OP112" s="26"/>
      <c r="OQ112" s="26"/>
      <c r="OR112" s="26"/>
      <c r="OS112" s="26"/>
      <c r="OT112" s="26"/>
      <c r="OU112" s="26"/>
      <c r="OV112" s="26"/>
      <c r="OW112" s="26"/>
      <c r="OX112" s="26"/>
      <c r="OY112" s="26"/>
      <c r="OZ112" s="26"/>
      <c r="PA112" s="26"/>
      <c r="PB112" s="26"/>
      <c r="PC112" s="26"/>
      <c r="PD112" s="26"/>
      <c r="PE112" s="26"/>
      <c r="PF112" s="26"/>
      <c r="PG112" s="26"/>
      <c r="PH112" s="26"/>
      <c r="PI112" s="26"/>
      <c r="PJ112" s="26"/>
      <c r="PK112" s="26"/>
      <c r="PL112" s="26"/>
      <c r="PM112" s="26"/>
      <c r="PN112" s="26"/>
      <c r="PO112" s="26"/>
      <c r="PP112" s="26"/>
      <c r="PQ112" s="26"/>
      <c r="PR112" s="26"/>
      <c r="PS112" s="26"/>
      <c r="PT112" s="26"/>
      <c r="PU112" s="26"/>
      <c r="PV112" s="26"/>
      <c r="PW112" s="26"/>
      <c r="PX112" s="26"/>
      <c r="PY112" s="26"/>
      <c r="PZ112" s="26"/>
      <c r="QA112" s="26"/>
      <c r="QB112" s="26"/>
      <c r="QC112" s="26"/>
      <c r="QD112" s="26"/>
      <c r="QE112" s="26"/>
      <c r="QF112" s="26"/>
      <c r="QG112" s="26"/>
      <c r="QH112" s="26"/>
      <c r="QI112" s="26"/>
      <c r="QJ112" s="26"/>
      <c r="QK112" s="26"/>
      <c r="QL112" s="26"/>
      <c r="QM112" s="26"/>
      <c r="QN112" s="26"/>
      <c r="QO112" s="26"/>
      <c r="QP112" s="26"/>
      <c r="QQ112" s="26"/>
      <c r="QR112" s="26"/>
      <c r="QS112" s="26"/>
      <c r="QT112" s="26"/>
      <c r="QU112" s="26"/>
      <c r="QV112" s="26"/>
      <c r="QW112" s="26"/>
      <c r="QX112" s="26"/>
      <c r="QY112" s="26"/>
      <c r="QZ112" s="26"/>
      <c r="RA112" s="26"/>
      <c r="RB112" s="26"/>
      <c r="RC112" s="26"/>
      <c r="RD112" s="26"/>
      <c r="RE112" s="26"/>
      <c r="RF112" s="26"/>
      <c r="RG112" s="26"/>
      <c r="RH112" s="26"/>
      <c r="RI112" s="26"/>
      <c r="RJ112" s="26"/>
      <c r="RK112" s="26"/>
      <c r="RL112" s="26"/>
      <c r="RM112" s="26"/>
      <c r="RN112" s="26"/>
      <c r="RO112" s="26"/>
      <c r="RP112" s="26"/>
      <c r="RQ112" s="26"/>
      <c r="RR112" s="26"/>
      <c r="RS112" s="26"/>
      <c r="RT112" s="26"/>
      <c r="RU112" s="26"/>
      <c r="RV112" s="26"/>
      <c r="RW112" s="26"/>
      <c r="RX112" s="26"/>
      <c r="RY112" s="26"/>
      <c r="RZ112" s="26"/>
      <c r="SA112" s="26"/>
      <c r="SB112" s="26"/>
      <c r="SC112" s="26"/>
      <c r="SD112" s="26"/>
      <c r="SE112" s="26"/>
      <c r="SF112" s="26"/>
      <c r="SG112" s="26"/>
      <c r="SH112" s="26"/>
      <c r="SI112" s="26"/>
      <c r="SJ112" s="26"/>
      <c r="SK112" s="26"/>
      <c r="SL112" s="26"/>
      <c r="SM112" s="26"/>
      <c r="SN112" s="26"/>
      <c r="SO112" s="26"/>
      <c r="SP112" s="26"/>
      <c r="SQ112" s="26"/>
      <c r="SR112" s="26"/>
      <c r="SS112" s="26"/>
      <c r="ST112" s="26"/>
      <c r="SU112" s="26"/>
      <c r="SV112" s="26"/>
      <c r="SW112" s="26"/>
      <c r="SX112" s="26"/>
      <c r="SY112" s="26"/>
      <c r="SZ112" s="26"/>
      <c r="TA112" s="26"/>
      <c r="TB112" s="26"/>
      <c r="TC112" s="26"/>
      <c r="TD112" s="26"/>
      <c r="TE112" s="26"/>
      <c r="TF112" s="26"/>
      <c r="TG112" s="26"/>
      <c r="TH112" s="26"/>
      <c r="TI112" s="26"/>
    </row>
    <row r="113" spans="1:529" s="27" customFormat="1" ht="30" x14ac:dyDescent="0.25">
      <c r="A113" s="145"/>
      <c r="B113" s="146"/>
      <c r="C113" s="146"/>
      <c r="D113" s="143" t="s">
        <v>454</v>
      </c>
      <c r="E113" s="144">
        <f t="shared" si="48"/>
        <v>45209900</v>
      </c>
      <c r="F113" s="144">
        <v>45209900</v>
      </c>
      <c r="G113" s="144"/>
      <c r="H113" s="144"/>
      <c r="I113" s="148"/>
      <c r="J113" s="144">
        <f t="shared" si="50"/>
        <v>0</v>
      </c>
      <c r="K113" s="144"/>
      <c r="L113" s="144"/>
      <c r="M113" s="144"/>
      <c r="N113" s="144"/>
      <c r="O113" s="144"/>
      <c r="P113" s="144">
        <f t="shared" si="49"/>
        <v>45209900</v>
      </c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6"/>
      <c r="IS113" s="36"/>
      <c r="IT113" s="36"/>
      <c r="IU113" s="36"/>
      <c r="IV113" s="36"/>
      <c r="IW113" s="36"/>
      <c r="IX113" s="36"/>
      <c r="IY113" s="36"/>
      <c r="IZ113" s="36"/>
      <c r="JA113" s="36"/>
      <c r="JB113" s="36"/>
      <c r="JC113" s="36"/>
      <c r="JD113" s="36"/>
      <c r="JE113" s="36"/>
      <c r="JF113" s="36"/>
      <c r="JG113" s="36"/>
      <c r="JH113" s="36"/>
      <c r="JI113" s="36"/>
      <c r="JJ113" s="36"/>
      <c r="JK113" s="36"/>
      <c r="JL113" s="36"/>
      <c r="JM113" s="36"/>
      <c r="JN113" s="36"/>
      <c r="JO113" s="36"/>
      <c r="JP113" s="36"/>
      <c r="JQ113" s="36"/>
      <c r="JR113" s="36"/>
      <c r="JS113" s="36"/>
      <c r="JT113" s="36"/>
      <c r="JU113" s="36"/>
      <c r="JV113" s="36"/>
      <c r="JW113" s="36"/>
      <c r="JX113" s="36"/>
      <c r="JY113" s="36"/>
      <c r="JZ113" s="36"/>
      <c r="KA113" s="36"/>
      <c r="KB113" s="36"/>
      <c r="KC113" s="36"/>
      <c r="KD113" s="36"/>
      <c r="KE113" s="36"/>
      <c r="KF113" s="36"/>
      <c r="KG113" s="36"/>
      <c r="KH113" s="36"/>
      <c r="KI113" s="36"/>
      <c r="KJ113" s="36"/>
      <c r="KK113" s="36"/>
      <c r="KL113" s="36"/>
      <c r="KM113" s="36"/>
      <c r="KN113" s="36"/>
      <c r="KO113" s="36"/>
      <c r="KP113" s="36"/>
      <c r="KQ113" s="36"/>
      <c r="KR113" s="36"/>
      <c r="KS113" s="36"/>
      <c r="KT113" s="36"/>
      <c r="KU113" s="36"/>
      <c r="KV113" s="36"/>
      <c r="KW113" s="36"/>
      <c r="KX113" s="36"/>
      <c r="KY113" s="36"/>
      <c r="KZ113" s="36"/>
      <c r="LA113" s="36"/>
      <c r="LB113" s="36"/>
      <c r="LC113" s="36"/>
      <c r="LD113" s="36"/>
      <c r="LE113" s="36"/>
      <c r="LF113" s="36"/>
      <c r="LG113" s="36"/>
      <c r="LH113" s="36"/>
      <c r="LI113" s="36"/>
      <c r="LJ113" s="36"/>
      <c r="LK113" s="36"/>
      <c r="LL113" s="36"/>
      <c r="LM113" s="36"/>
      <c r="LN113" s="36"/>
      <c r="LO113" s="36"/>
      <c r="LP113" s="36"/>
      <c r="LQ113" s="36"/>
      <c r="LR113" s="36"/>
      <c r="LS113" s="36"/>
      <c r="LT113" s="36"/>
      <c r="LU113" s="36"/>
      <c r="LV113" s="36"/>
      <c r="LW113" s="36"/>
      <c r="LX113" s="36"/>
      <c r="LY113" s="36"/>
      <c r="LZ113" s="36"/>
      <c r="MA113" s="36"/>
      <c r="MB113" s="36"/>
      <c r="MC113" s="36"/>
      <c r="MD113" s="36"/>
      <c r="ME113" s="36"/>
      <c r="MF113" s="36"/>
      <c r="MG113" s="36"/>
      <c r="MH113" s="36"/>
      <c r="MI113" s="36"/>
      <c r="MJ113" s="36"/>
      <c r="MK113" s="36"/>
      <c r="ML113" s="36"/>
      <c r="MM113" s="36"/>
      <c r="MN113" s="36"/>
      <c r="MO113" s="36"/>
      <c r="MP113" s="36"/>
      <c r="MQ113" s="36"/>
      <c r="MR113" s="36"/>
      <c r="MS113" s="36"/>
      <c r="MT113" s="36"/>
      <c r="MU113" s="36"/>
      <c r="MV113" s="36"/>
      <c r="MW113" s="36"/>
      <c r="MX113" s="36"/>
      <c r="MY113" s="36"/>
      <c r="MZ113" s="36"/>
      <c r="NA113" s="36"/>
      <c r="NB113" s="36"/>
      <c r="NC113" s="36"/>
      <c r="ND113" s="36"/>
      <c r="NE113" s="36"/>
      <c r="NF113" s="36"/>
      <c r="NG113" s="36"/>
      <c r="NH113" s="36"/>
      <c r="NI113" s="36"/>
      <c r="NJ113" s="36"/>
      <c r="NK113" s="36"/>
      <c r="NL113" s="36"/>
      <c r="NM113" s="36"/>
      <c r="NN113" s="36"/>
      <c r="NO113" s="36"/>
      <c r="NP113" s="36"/>
      <c r="NQ113" s="36"/>
      <c r="NR113" s="36"/>
      <c r="NS113" s="36"/>
      <c r="NT113" s="36"/>
      <c r="NU113" s="36"/>
      <c r="NV113" s="36"/>
      <c r="NW113" s="36"/>
      <c r="NX113" s="36"/>
      <c r="NY113" s="36"/>
      <c r="NZ113" s="36"/>
      <c r="OA113" s="36"/>
      <c r="OB113" s="36"/>
      <c r="OC113" s="36"/>
      <c r="OD113" s="36"/>
      <c r="OE113" s="36"/>
      <c r="OF113" s="36"/>
      <c r="OG113" s="36"/>
      <c r="OH113" s="36"/>
      <c r="OI113" s="36"/>
      <c r="OJ113" s="36"/>
      <c r="OK113" s="36"/>
      <c r="OL113" s="36"/>
      <c r="OM113" s="36"/>
      <c r="ON113" s="36"/>
      <c r="OO113" s="36"/>
      <c r="OP113" s="36"/>
      <c r="OQ113" s="36"/>
      <c r="OR113" s="36"/>
      <c r="OS113" s="36"/>
      <c r="OT113" s="36"/>
      <c r="OU113" s="36"/>
      <c r="OV113" s="36"/>
      <c r="OW113" s="36"/>
      <c r="OX113" s="36"/>
      <c r="OY113" s="36"/>
      <c r="OZ113" s="36"/>
      <c r="PA113" s="36"/>
      <c r="PB113" s="36"/>
      <c r="PC113" s="36"/>
      <c r="PD113" s="36"/>
      <c r="PE113" s="36"/>
      <c r="PF113" s="36"/>
      <c r="PG113" s="36"/>
      <c r="PH113" s="36"/>
      <c r="PI113" s="36"/>
      <c r="PJ113" s="36"/>
      <c r="PK113" s="36"/>
      <c r="PL113" s="36"/>
      <c r="PM113" s="36"/>
      <c r="PN113" s="36"/>
      <c r="PO113" s="36"/>
      <c r="PP113" s="36"/>
      <c r="PQ113" s="36"/>
      <c r="PR113" s="36"/>
      <c r="PS113" s="36"/>
      <c r="PT113" s="36"/>
      <c r="PU113" s="36"/>
      <c r="PV113" s="36"/>
      <c r="PW113" s="36"/>
      <c r="PX113" s="36"/>
      <c r="PY113" s="36"/>
      <c r="PZ113" s="36"/>
      <c r="QA113" s="36"/>
      <c r="QB113" s="36"/>
      <c r="QC113" s="36"/>
      <c r="QD113" s="36"/>
      <c r="QE113" s="36"/>
      <c r="QF113" s="36"/>
      <c r="QG113" s="36"/>
      <c r="QH113" s="36"/>
      <c r="QI113" s="36"/>
      <c r="QJ113" s="36"/>
      <c r="QK113" s="36"/>
      <c r="QL113" s="36"/>
      <c r="QM113" s="36"/>
      <c r="QN113" s="36"/>
      <c r="QO113" s="36"/>
      <c r="QP113" s="36"/>
      <c r="QQ113" s="36"/>
      <c r="QR113" s="36"/>
      <c r="QS113" s="36"/>
      <c r="QT113" s="36"/>
      <c r="QU113" s="36"/>
      <c r="QV113" s="36"/>
      <c r="QW113" s="36"/>
      <c r="QX113" s="36"/>
      <c r="QY113" s="36"/>
      <c r="QZ113" s="36"/>
      <c r="RA113" s="36"/>
      <c r="RB113" s="36"/>
      <c r="RC113" s="36"/>
      <c r="RD113" s="36"/>
      <c r="RE113" s="36"/>
      <c r="RF113" s="36"/>
      <c r="RG113" s="36"/>
      <c r="RH113" s="36"/>
      <c r="RI113" s="36"/>
      <c r="RJ113" s="36"/>
      <c r="RK113" s="36"/>
      <c r="RL113" s="36"/>
      <c r="RM113" s="36"/>
      <c r="RN113" s="36"/>
      <c r="RO113" s="36"/>
      <c r="RP113" s="36"/>
      <c r="RQ113" s="36"/>
      <c r="RR113" s="36"/>
      <c r="RS113" s="36"/>
      <c r="RT113" s="36"/>
      <c r="RU113" s="36"/>
      <c r="RV113" s="36"/>
      <c r="RW113" s="36"/>
      <c r="RX113" s="36"/>
      <c r="RY113" s="36"/>
      <c r="RZ113" s="36"/>
      <c r="SA113" s="36"/>
      <c r="SB113" s="36"/>
      <c r="SC113" s="36"/>
      <c r="SD113" s="36"/>
      <c r="SE113" s="36"/>
      <c r="SF113" s="36"/>
      <c r="SG113" s="36"/>
      <c r="SH113" s="36"/>
      <c r="SI113" s="36"/>
      <c r="SJ113" s="36"/>
      <c r="SK113" s="36"/>
      <c r="SL113" s="36"/>
      <c r="SM113" s="36"/>
      <c r="SN113" s="36"/>
      <c r="SO113" s="36"/>
      <c r="SP113" s="36"/>
      <c r="SQ113" s="36"/>
      <c r="SR113" s="36"/>
      <c r="SS113" s="36"/>
      <c r="ST113" s="36"/>
      <c r="SU113" s="36"/>
      <c r="SV113" s="36"/>
      <c r="SW113" s="36"/>
      <c r="SX113" s="36"/>
      <c r="SY113" s="36"/>
      <c r="SZ113" s="36"/>
      <c r="TA113" s="36"/>
      <c r="TB113" s="36"/>
      <c r="TC113" s="36"/>
      <c r="TD113" s="36"/>
      <c r="TE113" s="36"/>
      <c r="TF113" s="36"/>
      <c r="TG113" s="36"/>
      <c r="TH113" s="36"/>
      <c r="TI113" s="36"/>
    </row>
    <row r="114" spans="1:529" s="27" customFormat="1" ht="45" x14ac:dyDescent="0.25">
      <c r="A114" s="145"/>
      <c r="B114" s="146"/>
      <c r="C114" s="146"/>
      <c r="D114" s="143" t="s">
        <v>455</v>
      </c>
      <c r="E114" s="144">
        <f t="shared" si="48"/>
        <v>2977938.61</v>
      </c>
      <c r="F114" s="144">
        <f>2977971-32.39</f>
        <v>2977938.61</v>
      </c>
      <c r="G114" s="144"/>
      <c r="H114" s="144"/>
      <c r="I114" s="144"/>
      <c r="J114" s="144">
        <f t="shared" si="50"/>
        <v>0</v>
      </c>
      <c r="K114" s="144"/>
      <c r="L114" s="144"/>
      <c r="M114" s="144"/>
      <c r="N114" s="144"/>
      <c r="O114" s="144"/>
      <c r="P114" s="144">
        <f t="shared" si="49"/>
        <v>2977938.61</v>
      </c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  <c r="IR114" s="36"/>
      <c r="IS114" s="36"/>
      <c r="IT114" s="36"/>
      <c r="IU114" s="36"/>
      <c r="IV114" s="36"/>
      <c r="IW114" s="36"/>
      <c r="IX114" s="36"/>
      <c r="IY114" s="36"/>
      <c r="IZ114" s="36"/>
      <c r="JA114" s="36"/>
      <c r="JB114" s="36"/>
      <c r="JC114" s="36"/>
      <c r="JD114" s="36"/>
      <c r="JE114" s="36"/>
      <c r="JF114" s="36"/>
      <c r="JG114" s="36"/>
      <c r="JH114" s="36"/>
      <c r="JI114" s="36"/>
      <c r="JJ114" s="36"/>
      <c r="JK114" s="36"/>
      <c r="JL114" s="36"/>
      <c r="JM114" s="36"/>
      <c r="JN114" s="36"/>
      <c r="JO114" s="36"/>
      <c r="JP114" s="36"/>
      <c r="JQ114" s="36"/>
      <c r="JR114" s="36"/>
      <c r="JS114" s="36"/>
      <c r="JT114" s="36"/>
      <c r="JU114" s="36"/>
      <c r="JV114" s="36"/>
      <c r="JW114" s="36"/>
      <c r="JX114" s="36"/>
      <c r="JY114" s="36"/>
      <c r="JZ114" s="36"/>
      <c r="KA114" s="36"/>
      <c r="KB114" s="36"/>
      <c r="KC114" s="36"/>
      <c r="KD114" s="36"/>
      <c r="KE114" s="36"/>
      <c r="KF114" s="36"/>
      <c r="KG114" s="36"/>
      <c r="KH114" s="36"/>
      <c r="KI114" s="36"/>
      <c r="KJ114" s="36"/>
      <c r="KK114" s="36"/>
      <c r="KL114" s="36"/>
      <c r="KM114" s="36"/>
      <c r="KN114" s="36"/>
      <c r="KO114" s="36"/>
      <c r="KP114" s="36"/>
      <c r="KQ114" s="36"/>
      <c r="KR114" s="36"/>
      <c r="KS114" s="36"/>
      <c r="KT114" s="36"/>
      <c r="KU114" s="36"/>
      <c r="KV114" s="36"/>
      <c r="KW114" s="36"/>
      <c r="KX114" s="36"/>
      <c r="KY114" s="36"/>
      <c r="KZ114" s="36"/>
      <c r="LA114" s="36"/>
      <c r="LB114" s="36"/>
      <c r="LC114" s="36"/>
      <c r="LD114" s="36"/>
      <c r="LE114" s="36"/>
      <c r="LF114" s="36"/>
      <c r="LG114" s="36"/>
      <c r="LH114" s="36"/>
      <c r="LI114" s="36"/>
      <c r="LJ114" s="36"/>
      <c r="LK114" s="36"/>
      <c r="LL114" s="36"/>
      <c r="LM114" s="36"/>
      <c r="LN114" s="36"/>
      <c r="LO114" s="36"/>
      <c r="LP114" s="36"/>
      <c r="LQ114" s="36"/>
      <c r="LR114" s="36"/>
      <c r="LS114" s="36"/>
      <c r="LT114" s="36"/>
      <c r="LU114" s="36"/>
      <c r="LV114" s="36"/>
      <c r="LW114" s="36"/>
      <c r="LX114" s="36"/>
      <c r="LY114" s="36"/>
      <c r="LZ114" s="36"/>
      <c r="MA114" s="36"/>
      <c r="MB114" s="36"/>
      <c r="MC114" s="36"/>
      <c r="MD114" s="36"/>
      <c r="ME114" s="36"/>
      <c r="MF114" s="36"/>
      <c r="MG114" s="36"/>
      <c r="MH114" s="36"/>
      <c r="MI114" s="36"/>
      <c r="MJ114" s="36"/>
      <c r="MK114" s="36"/>
      <c r="ML114" s="36"/>
      <c r="MM114" s="36"/>
      <c r="MN114" s="36"/>
      <c r="MO114" s="36"/>
      <c r="MP114" s="36"/>
      <c r="MQ114" s="36"/>
      <c r="MR114" s="36"/>
      <c r="MS114" s="36"/>
      <c r="MT114" s="36"/>
      <c r="MU114" s="36"/>
      <c r="MV114" s="36"/>
      <c r="MW114" s="36"/>
      <c r="MX114" s="36"/>
      <c r="MY114" s="36"/>
      <c r="MZ114" s="36"/>
      <c r="NA114" s="36"/>
      <c r="NB114" s="36"/>
      <c r="NC114" s="36"/>
      <c r="ND114" s="36"/>
      <c r="NE114" s="36"/>
      <c r="NF114" s="36"/>
      <c r="NG114" s="36"/>
      <c r="NH114" s="36"/>
      <c r="NI114" s="36"/>
      <c r="NJ114" s="36"/>
      <c r="NK114" s="36"/>
      <c r="NL114" s="36"/>
      <c r="NM114" s="36"/>
      <c r="NN114" s="36"/>
      <c r="NO114" s="36"/>
      <c r="NP114" s="36"/>
      <c r="NQ114" s="36"/>
      <c r="NR114" s="36"/>
      <c r="NS114" s="36"/>
      <c r="NT114" s="36"/>
      <c r="NU114" s="36"/>
      <c r="NV114" s="36"/>
      <c r="NW114" s="36"/>
      <c r="NX114" s="36"/>
      <c r="NY114" s="36"/>
      <c r="NZ114" s="36"/>
      <c r="OA114" s="36"/>
      <c r="OB114" s="36"/>
      <c r="OC114" s="36"/>
      <c r="OD114" s="36"/>
      <c r="OE114" s="36"/>
      <c r="OF114" s="36"/>
      <c r="OG114" s="36"/>
      <c r="OH114" s="36"/>
      <c r="OI114" s="36"/>
      <c r="OJ114" s="36"/>
      <c r="OK114" s="36"/>
      <c r="OL114" s="36"/>
      <c r="OM114" s="36"/>
      <c r="ON114" s="36"/>
      <c r="OO114" s="36"/>
      <c r="OP114" s="36"/>
      <c r="OQ114" s="36"/>
      <c r="OR114" s="36"/>
      <c r="OS114" s="36"/>
      <c r="OT114" s="36"/>
      <c r="OU114" s="36"/>
      <c r="OV114" s="36"/>
      <c r="OW114" s="36"/>
      <c r="OX114" s="36"/>
      <c r="OY114" s="36"/>
      <c r="OZ114" s="36"/>
      <c r="PA114" s="36"/>
      <c r="PB114" s="36"/>
      <c r="PC114" s="36"/>
      <c r="PD114" s="36"/>
      <c r="PE114" s="36"/>
      <c r="PF114" s="36"/>
      <c r="PG114" s="36"/>
      <c r="PH114" s="36"/>
      <c r="PI114" s="36"/>
      <c r="PJ114" s="36"/>
      <c r="PK114" s="36"/>
      <c r="PL114" s="36"/>
      <c r="PM114" s="36"/>
      <c r="PN114" s="36"/>
      <c r="PO114" s="36"/>
      <c r="PP114" s="36"/>
      <c r="PQ114" s="36"/>
      <c r="PR114" s="36"/>
      <c r="PS114" s="36"/>
      <c r="PT114" s="36"/>
      <c r="PU114" s="36"/>
      <c r="PV114" s="36"/>
      <c r="PW114" s="36"/>
      <c r="PX114" s="36"/>
      <c r="PY114" s="36"/>
      <c r="PZ114" s="36"/>
      <c r="QA114" s="36"/>
      <c r="QB114" s="36"/>
      <c r="QC114" s="36"/>
      <c r="QD114" s="36"/>
      <c r="QE114" s="36"/>
      <c r="QF114" s="36"/>
      <c r="QG114" s="36"/>
      <c r="QH114" s="36"/>
      <c r="QI114" s="36"/>
      <c r="QJ114" s="36"/>
      <c r="QK114" s="36"/>
      <c r="QL114" s="36"/>
      <c r="QM114" s="36"/>
      <c r="QN114" s="36"/>
      <c r="QO114" s="36"/>
      <c r="QP114" s="36"/>
      <c r="QQ114" s="36"/>
      <c r="QR114" s="36"/>
      <c r="QS114" s="36"/>
      <c r="QT114" s="36"/>
      <c r="QU114" s="36"/>
      <c r="QV114" s="36"/>
      <c r="QW114" s="36"/>
      <c r="QX114" s="36"/>
      <c r="QY114" s="36"/>
      <c r="QZ114" s="36"/>
      <c r="RA114" s="36"/>
      <c r="RB114" s="36"/>
      <c r="RC114" s="36"/>
      <c r="RD114" s="36"/>
      <c r="RE114" s="36"/>
      <c r="RF114" s="36"/>
      <c r="RG114" s="36"/>
      <c r="RH114" s="36"/>
      <c r="RI114" s="36"/>
      <c r="RJ114" s="36"/>
      <c r="RK114" s="36"/>
      <c r="RL114" s="36"/>
      <c r="RM114" s="36"/>
      <c r="RN114" s="36"/>
      <c r="RO114" s="36"/>
      <c r="RP114" s="36"/>
      <c r="RQ114" s="36"/>
      <c r="RR114" s="36"/>
      <c r="RS114" s="36"/>
      <c r="RT114" s="36"/>
      <c r="RU114" s="36"/>
      <c r="RV114" s="36"/>
      <c r="RW114" s="36"/>
      <c r="RX114" s="36"/>
      <c r="RY114" s="36"/>
      <c r="RZ114" s="36"/>
      <c r="SA114" s="36"/>
      <c r="SB114" s="36"/>
      <c r="SC114" s="36"/>
      <c r="SD114" s="36"/>
      <c r="SE114" s="36"/>
      <c r="SF114" s="36"/>
      <c r="SG114" s="36"/>
      <c r="SH114" s="36"/>
      <c r="SI114" s="36"/>
      <c r="SJ114" s="36"/>
      <c r="SK114" s="36"/>
      <c r="SL114" s="36"/>
      <c r="SM114" s="36"/>
      <c r="SN114" s="36"/>
      <c r="SO114" s="36"/>
      <c r="SP114" s="36"/>
      <c r="SQ114" s="36"/>
      <c r="SR114" s="36"/>
      <c r="SS114" s="36"/>
      <c r="ST114" s="36"/>
      <c r="SU114" s="36"/>
      <c r="SV114" s="36"/>
      <c r="SW114" s="36"/>
      <c r="SX114" s="36"/>
      <c r="SY114" s="36"/>
      <c r="SZ114" s="36"/>
      <c r="TA114" s="36"/>
      <c r="TB114" s="36"/>
      <c r="TC114" s="36"/>
      <c r="TD114" s="36"/>
      <c r="TE114" s="36"/>
      <c r="TF114" s="36"/>
      <c r="TG114" s="36"/>
      <c r="TH114" s="36"/>
      <c r="TI114" s="36"/>
    </row>
    <row r="115" spans="1:529" s="27" customFormat="1" x14ac:dyDescent="0.25">
      <c r="A115" s="145"/>
      <c r="B115" s="146"/>
      <c r="C115" s="146"/>
      <c r="D115" s="143" t="s">
        <v>457</v>
      </c>
      <c r="E115" s="144">
        <f t="shared" si="48"/>
        <v>60000</v>
      </c>
      <c r="F115" s="144">
        <v>60000</v>
      </c>
      <c r="G115" s="144"/>
      <c r="H115" s="144"/>
      <c r="I115" s="148"/>
      <c r="J115" s="144">
        <f t="shared" si="50"/>
        <v>0</v>
      </c>
      <c r="K115" s="144"/>
      <c r="L115" s="144"/>
      <c r="M115" s="144"/>
      <c r="N115" s="144"/>
      <c r="O115" s="144"/>
      <c r="P115" s="144">
        <f t="shared" si="49"/>
        <v>60000</v>
      </c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  <c r="IV115" s="36"/>
      <c r="IW115" s="36"/>
      <c r="IX115" s="36"/>
      <c r="IY115" s="36"/>
      <c r="IZ115" s="36"/>
      <c r="JA115" s="36"/>
      <c r="JB115" s="36"/>
      <c r="JC115" s="36"/>
      <c r="JD115" s="36"/>
      <c r="JE115" s="36"/>
      <c r="JF115" s="36"/>
      <c r="JG115" s="36"/>
      <c r="JH115" s="36"/>
      <c r="JI115" s="36"/>
      <c r="JJ115" s="36"/>
      <c r="JK115" s="36"/>
      <c r="JL115" s="36"/>
      <c r="JM115" s="36"/>
      <c r="JN115" s="36"/>
      <c r="JO115" s="36"/>
      <c r="JP115" s="36"/>
      <c r="JQ115" s="36"/>
      <c r="JR115" s="36"/>
      <c r="JS115" s="36"/>
      <c r="JT115" s="36"/>
      <c r="JU115" s="36"/>
      <c r="JV115" s="36"/>
      <c r="JW115" s="36"/>
      <c r="JX115" s="36"/>
      <c r="JY115" s="36"/>
      <c r="JZ115" s="36"/>
      <c r="KA115" s="36"/>
      <c r="KB115" s="36"/>
      <c r="KC115" s="36"/>
      <c r="KD115" s="36"/>
      <c r="KE115" s="36"/>
      <c r="KF115" s="36"/>
      <c r="KG115" s="36"/>
      <c r="KH115" s="36"/>
      <c r="KI115" s="36"/>
      <c r="KJ115" s="36"/>
      <c r="KK115" s="36"/>
      <c r="KL115" s="36"/>
      <c r="KM115" s="36"/>
      <c r="KN115" s="36"/>
      <c r="KO115" s="36"/>
      <c r="KP115" s="36"/>
      <c r="KQ115" s="36"/>
      <c r="KR115" s="36"/>
      <c r="KS115" s="36"/>
      <c r="KT115" s="36"/>
      <c r="KU115" s="36"/>
      <c r="KV115" s="36"/>
      <c r="KW115" s="36"/>
      <c r="KX115" s="36"/>
      <c r="KY115" s="36"/>
      <c r="KZ115" s="36"/>
      <c r="LA115" s="36"/>
      <c r="LB115" s="36"/>
      <c r="LC115" s="36"/>
      <c r="LD115" s="36"/>
      <c r="LE115" s="36"/>
      <c r="LF115" s="36"/>
      <c r="LG115" s="36"/>
      <c r="LH115" s="36"/>
      <c r="LI115" s="36"/>
      <c r="LJ115" s="36"/>
      <c r="LK115" s="36"/>
      <c r="LL115" s="36"/>
      <c r="LM115" s="36"/>
      <c r="LN115" s="36"/>
      <c r="LO115" s="36"/>
      <c r="LP115" s="36"/>
      <c r="LQ115" s="36"/>
      <c r="LR115" s="36"/>
      <c r="LS115" s="36"/>
      <c r="LT115" s="36"/>
      <c r="LU115" s="36"/>
      <c r="LV115" s="36"/>
      <c r="LW115" s="36"/>
      <c r="LX115" s="36"/>
      <c r="LY115" s="36"/>
      <c r="LZ115" s="36"/>
      <c r="MA115" s="36"/>
      <c r="MB115" s="36"/>
      <c r="MC115" s="36"/>
      <c r="MD115" s="36"/>
      <c r="ME115" s="36"/>
      <c r="MF115" s="36"/>
      <c r="MG115" s="36"/>
      <c r="MH115" s="36"/>
      <c r="MI115" s="36"/>
      <c r="MJ115" s="36"/>
      <c r="MK115" s="36"/>
      <c r="ML115" s="36"/>
      <c r="MM115" s="36"/>
      <c r="MN115" s="36"/>
      <c r="MO115" s="36"/>
      <c r="MP115" s="36"/>
      <c r="MQ115" s="36"/>
      <c r="MR115" s="36"/>
      <c r="MS115" s="36"/>
      <c r="MT115" s="36"/>
      <c r="MU115" s="36"/>
      <c r="MV115" s="36"/>
      <c r="MW115" s="36"/>
      <c r="MX115" s="36"/>
      <c r="MY115" s="36"/>
      <c r="MZ115" s="36"/>
      <c r="NA115" s="36"/>
      <c r="NB115" s="36"/>
      <c r="NC115" s="36"/>
      <c r="ND115" s="36"/>
      <c r="NE115" s="36"/>
      <c r="NF115" s="36"/>
      <c r="NG115" s="36"/>
      <c r="NH115" s="36"/>
      <c r="NI115" s="36"/>
      <c r="NJ115" s="36"/>
      <c r="NK115" s="36"/>
      <c r="NL115" s="36"/>
      <c r="NM115" s="36"/>
      <c r="NN115" s="36"/>
      <c r="NO115" s="36"/>
      <c r="NP115" s="36"/>
      <c r="NQ115" s="36"/>
      <c r="NR115" s="36"/>
      <c r="NS115" s="36"/>
      <c r="NT115" s="36"/>
      <c r="NU115" s="36"/>
      <c r="NV115" s="36"/>
      <c r="NW115" s="36"/>
      <c r="NX115" s="36"/>
      <c r="NY115" s="36"/>
      <c r="NZ115" s="36"/>
      <c r="OA115" s="36"/>
      <c r="OB115" s="36"/>
      <c r="OC115" s="36"/>
      <c r="OD115" s="36"/>
      <c r="OE115" s="36"/>
      <c r="OF115" s="36"/>
      <c r="OG115" s="36"/>
      <c r="OH115" s="36"/>
      <c r="OI115" s="36"/>
      <c r="OJ115" s="36"/>
      <c r="OK115" s="36"/>
      <c r="OL115" s="36"/>
      <c r="OM115" s="36"/>
      <c r="ON115" s="36"/>
      <c r="OO115" s="36"/>
      <c r="OP115" s="36"/>
      <c r="OQ115" s="36"/>
      <c r="OR115" s="36"/>
      <c r="OS115" s="36"/>
      <c r="OT115" s="36"/>
      <c r="OU115" s="36"/>
      <c r="OV115" s="36"/>
      <c r="OW115" s="36"/>
      <c r="OX115" s="36"/>
      <c r="OY115" s="36"/>
      <c r="OZ115" s="36"/>
      <c r="PA115" s="36"/>
      <c r="PB115" s="36"/>
      <c r="PC115" s="36"/>
      <c r="PD115" s="36"/>
      <c r="PE115" s="36"/>
      <c r="PF115" s="36"/>
      <c r="PG115" s="36"/>
      <c r="PH115" s="36"/>
      <c r="PI115" s="36"/>
      <c r="PJ115" s="36"/>
      <c r="PK115" s="36"/>
      <c r="PL115" s="36"/>
      <c r="PM115" s="36"/>
      <c r="PN115" s="36"/>
      <c r="PO115" s="36"/>
      <c r="PP115" s="36"/>
      <c r="PQ115" s="36"/>
      <c r="PR115" s="36"/>
      <c r="PS115" s="36"/>
      <c r="PT115" s="36"/>
      <c r="PU115" s="36"/>
      <c r="PV115" s="36"/>
      <c r="PW115" s="36"/>
      <c r="PX115" s="36"/>
      <c r="PY115" s="36"/>
      <c r="PZ115" s="36"/>
      <c r="QA115" s="36"/>
      <c r="QB115" s="36"/>
      <c r="QC115" s="36"/>
      <c r="QD115" s="36"/>
      <c r="QE115" s="36"/>
      <c r="QF115" s="36"/>
      <c r="QG115" s="36"/>
      <c r="QH115" s="36"/>
      <c r="QI115" s="36"/>
      <c r="QJ115" s="36"/>
      <c r="QK115" s="36"/>
      <c r="QL115" s="36"/>
      <c r="QM115" s="36"/>
      <c r="QN115" s="36"/>
      <c r="QO115" s="36"/>
      <c r="QP115" s="36"/>
      <c r="QQ115" s="36"/>
      <c r="QR115" s="36"/>
      <c r="QS115" s="36"/>
      <c r="QT115" s="36"/>
      <c r="QU115" s="36"/>
      <c r="QV115" s="36"/>
      <c r="QW115" s="36"/>
      <c r="QX115" s="36"/>
      <c r="QY115" s="36"/>
      <c r="QZ115" s="36"/>
      <c r="RA115" s="36"/>
      <c r="RB115" s="36"/>
      <c r="RC115" s="36"/>
      <c r="RD115" s="36"/>
      <c r="RE115" s="36"/>
      <c r="RF115" s="36"/>
      <c r="RG115" s="36"/>
      <c r="RH115" s="36"/>
      <c r="RI115" s="36"/>
      <c r="RJ115" s="36"/>
      <c r="RK115" s="36"/>
      <c r="RL115" s="36"/>
      <c r="RM115" s="36"/>
      <c r="RN115" s="36"/>
      <c r="RO115" s="36"/>
      <c r="RP115" s="36"/>
      <c r="RQ115" s="36"/>
      <c r="RR115" s="36"/>
      <c r="RS115" s="36"/>
      <c r="RT115" s="36"/>
      <c r="RU115" s="36"/>
      <c r="RV115" s="36"/>
      <c r="RW115" s="36"/>
      <c r="RX115" s="36"/>
      <c r="RY115" s="36"/>
      <c r="RZ115" s="36"/>
      <c r="SA115" s="36"/>
      <c r="SB115" s="36"/>
      <c r="SC115" s="36"/>
      <c r="SD115" s="36"/>
      <c r="SE115" s="36"/>
      <c r="SF115" s="36"/>
      <c r="SG115" s="36"/>
      <c r="SH115" s="36"/>
      <c r="SI115" s="36"/>
      <c r="SJ115" s="36"/>
      <c r="SK115" s="36"/>
      <c r="SL115" s="36"/>
      <c r="SM115" s="36"/>
      <c r="SN115" s="36"/>
      <c r="SO115" s="36"/>
      <c r="SP115" s="36"/>
      <c r="SQ115" s="36"/>
      <c r="SR115" s="36"/>
      <c r="SS115" s="36"/>
      <c r="ST115" s="36"/>
      <c r="SU115" s="36"/>
      <c r="SV115" s="36"/>
      <c r="SW115" s="36"/>
      <c r="SX115" s="36"/>
      <c r="SY115" s="36"/>
      <c r="SZ115" s="36"/>
      <c r="TA115" s="36"/>
      <c r="TB115" s="36"/>
      <c r="TC115" s="36"/>
      <c r="TD115" s="36"/>
      <c r="TE115" s="36"/>
      <c r="TF115" s="36"/>
      <c r="TG115" s="36"/>
      <c r="TH115" s="36"/>
      <c r="TI115" s="36"/>
    </row>
    <row r="116" spans="1:529" s="23" customFormat="1" ht="36.75" customHeight="1" x14ac:dyDescent="0.25">
      <c r="A116" s="43" t="s">
        <v>194</v>
      </c>
      <c r="B116" s="44" t="str">
        <f>'дод 4'!A63</f>
        <v>2030</v>
      </c>
      <c r="C116" s="44" t="str">
        <f>'дод 4'!B63</f>
        <v>0733</v>
      </c>
      <c r="D116" s="24" t="s">
        <v>477</v>
      </c>
      <c r="E116" s="66">
        <f t="shared" si="48"/>
        <v>14740473</v>
      </c>
      <c r="F116" s="66">
        <f>15275473+50000+95000-680000</f>
        <v>14740473</v>
      </c>
      <c r="G116" s="68"/>
      <c r="H116" s="68"/>
      <c r="I116" s="68"/>
      <c r="J116" s="66">
        <f t="shared" si="50"/>
        <v>6800000</v>
      </c>
      <c r="K116" s="66">
        <f>15040600-8240600</f>
        <v>6800000</v>
      </c>
      <c r="L116" s="66"/>
      <c r="M116" s="66"/>
      <c r="N116" s="66"/>
      <c r="O116" s="66">
        <f>15040600-8240600</f>
        <v>6800000</v>
      </c>
      <c r="P116" s="66">
        <f t="shared" si="49"/>
        <v>21540473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  <c r="IW116" s="26"/>
      <c r="IX116" s="26"/>
      <c r="IY116" s="26"/>
      <c r="IZ116" s="26"/>
      <c r="JA116" s="26"/>
      <c r="JB116" s="26"/>
      <c r="JC116" s="26"/>
      <c r="JD116" s="26"/>
      <c r="JE116" s="26"/>
      <c r="JF116" s="26"/>
      <c r="JG116" s="26"/>
      <c r="JH116" s="26"/>
      <c r="JI116" s="26"/>
      <c r="JJ116" s="26"/>
      <c r="JK116" s="26"/>
      <c r="JL116" s="26"/>
      <c r="JM116" s="26"/>
      <c r="JN116" s="26"/>
      <c r="JO116" s="26"/>
      <c r="JP116" s="26"/>
      <c r="JQ116" s="26"/>
      <c r="JR116" s="26"/>
      <c r="JS116" s="26"/>
      <c r="JT116" s="26"/>
      <c r="JU116" s="26"/>
      <c r="JV116" s="26"/>
      <c r="JW116" s="26"/>
      <c r="JX116" s="26"/>
      <c r="JY116" s="26"/>
      <c r="JZ116" s="26"/>
      <c r="KA116" s="26"/>
      <c r="KB116" s="26"/>
      <c r="KC116" s="26"/>
      <c r="KD116" s="26"/>
      <c r="KE116" s="26"/>
      <c r="KF116" s="26"/>
      <c r="KG116" s="26"/>
      <c r="KH116" s="26"/>
      <c r="KI116" s="26"/>
      <c r="KJ116" s="26"/>
      <c r="KK116" s="26"/>
      <c r="KL116" s="26"/>
      <c r="KM116" s="26"/>
      <c r="KN116" s="26"/>
      <c r="KO116" s="26"/>
      <c r="KP116" s="26"/>
      <c r="KQ116" s="26"/>
      <c r="KR116" s="26"/>
      <c r="KS116" s="26"/>
      <c r="KT116" s="26"/>
      <c r="KU116" s="26"/>
      <c r="KV116" s="26"/>
      <c r="KW116" s="26"/>
      <c r="KX116" s="26"/>
      <c r="KY116" s="26"/>
      <c r="KZ116" s="26"/>
      <c r="LA116" s="26"/>
      <c r="LB116" s="26"/>
      <c r="LC116" s="26"/>
      <c r="LD116" s="26"/>
      <c r="LE116" s="26"/>
      <c r="LF116" s="26"/>
      <c r="LG116" s="26"/>
      <c r="LH116" s="26"/>
      <c r="LI116" s="26"/>
      <c r="LJ116" s="26"/>
      <c r="LK116" s="26"/>
      <c r="LL116" s="26"/>
      <c r="LM116" s="26"/>
      <c r="LN116" s="26"/>
      <c r="LO116" s="26"/>
      <c r="LP116" s="26"/>
      <c r="LQ116" s="26"/>
      <c r="LR116" s="26"/>
      <c r="LS116" s="26"/>
      <c r="LT116" s="26"/>
      <c r="LU116" s="26"/>
      <c r="LV116" s="26"/>
      <c r="LW116" s="26"/>
      <c r="LX116" s="26"/>
      <c r="LY116" s="26"/>
      <c r="LZ116" s="26"/>
      <c r="MA116" s="26"/>
      <c r="MB116" s="26"/>
      <c r="MC116" s="26"/>
      <c r="MD116" s="26"/>
      <c r="ME116" s="26"/>
      <c r="MF116" s="26"/>
      <c r="MG116" s="26"/>
      <c r="MH116" s="26"/>
      <c r="MI116" s="26"/>
      <c r="MJ116" s="26"/>
      <c r="MK116" s="26"/>
      <c r="ML116" s="26"/>
      <c r="MM116" s="26"/>
      <c r="MN116" s="26"/>
      <c r="MO116" s="26"/>
      <c r="MP116" s="26"/>
      <c r="MQ116" s="26"/>
      <c r="MR116" s="26"/>
      <c r="MS116" s="26"/>
      <c r="MT116" s="26"/>
      <c r="MU116" s="26"/>
      <c r="MV116" s="26"/>
      <c r="MW116" s="26"/>
      <c r="MX116" s="26"/>
      <c r="MY116" s="26"/>
      <c r="MZ116" s="26"/>
      <c r="NA116" s="26"/>
      <c r="NB116" s="26"/>
      <c r="NC116" s="26"/>
      <c r="ND116" s="26"/>
      <c r="NE116" s="26"/>
      <c r="NF116" s="26"/>
      <c r="NG116" s="26"/>
      <c r="NH116" s="26"/>
      <c r="NI116" s="26"/>
      <c r="NJ116" s="26"/>
      <c r="NK116" s="26"/>
      <c r="NL116" s="26"/>
      <c r="NM116" s="26"/>
      <c r="NN116" s="26"/>
      <c r="NO116" s="26"/>
      <c r="NP116" s="26"/>
      <c r="NQ116" s="26"/>
      <c r="NR116" s="26"/>
      <c r="NS116" s="26"/>
      <c r="NT116" s="26"/>
      <c r="NU116" s="26"/>
      <c r="NV116" s="26"/>
      <c r="NW116" s="26"/>
      <c r="NX116" s="26"/>
      <c r="NY116" s="26"/>
      <c r="NZ116" s="26"/>
      <c r="OA116" s="26"/>
      <c r="OB116" s="26"/>
      <c r="OC116" s="26"/>
      <c r="OD116" s="26"/>
      <c r="OE116" s="26"/>
      <c r="OF116" s="26"/>
      <c r="OG116" s="26"/>
      <c r="OH116" s="26"/>
      <c r="OI116" s="26"/>
      <c r="OJ116" s="26"/>
      <c r="OK116" s="26"/>
      <c r="OL116" s="26"/>
      <c r="OM116" s="26"/>
      <c r="ON116" s="26"/>
      <c r="OO116" s="26"/>
      <c r="OP116" s="26"/>
      <c r="OQ116" s="26"/>
      <c r="OR116" s="26"/>
      <c r="OS116" s="26"/>
      <c r="OT116" s="26"/>
      <c r="OU116" s="26"/>
      <c r="OV116" s="26"/>
      <c r="OW116" s="26"/>
      <c r="OX116" s="26"/>
      <c r="OY116" s="26"/>
      <c r="OZ116" s="26"/>
      <c r="PA116" s="26"/>
      <c r="PB116" s="26"/>
      <c r="PC116" s="26"/>
      <c r="PD116" s="26"/>
      <c r="PE116" s="26"/>
      <c r="PF116" s="26"/>
      <c r="PG116" s="26"/>
      <c r="PH116" s="26"/>
      <c r="PI116" s="26"/>
      <c r="PJ116" s="26"/>
      <c r="PK116" s="26"/>
      <c r="PL116" s="26"/>
      <c r="PM116" s="26"/>
      <c r="PN116" s="26"/>
      <c r="PO116" s="26"/>
      <c r="PP116" s="26"/>
      <c r="PQ116" s="26"/>
      <c r="PR116" s="26"/>
      <c r="PS116" s="26"/>
      <c r="PT116" s="26"/>
      <c r="PU116" s="26"/>
      <c r="PV116" s="26"/>
      <c r="PW116" s="26"/>
      <c r="PX116" s="26"/>
      <c r="PY116" s="26"/>
      <c r="PZ116" s="26"/>
      <c r="QA116" s="26"/>
      <c r="QB116" s="26"/>
      <c r="QC116" s="26"/>
      <c r="QD116" s="26"/>
      <c r="QE116" s="26"/>
      <c r="QF116" s="26"/>
      <c r="QG116" s="26"/>
      <c r="QH116" s="26"/>
      <c r="QI116" s="26"/>
      <c r="QJ116" s="26"/>
      <c r="QK116" s="26"/>
      <c r="QL116" s="26"/>
      <c r="QM116" s="26"/>
      <c r="QN116" s="26"/>
      <c r="QO116" s="26"/>
      <c r="QP116" s="26"/>
      <c r="QQ116" s="26"/>
      <c r="QR116" s="26"/>
      <c r="QS116" s="26"/>
      <c r="QT116" s="26"/>
      <c r="QU116" s="26"/>
      <c r="QV116" s="26"/>
      <c r="QW116" s="26"/>
      <c r="QX116" s="26"/>
      <c r="QY116" s="26"/>
      <c r="QZ116" s="26"/>
      <c r="RA116" s="26"/>
      <c r="RB116" s="26"/>
      <c r="RC116" s="26"/>
      <c r="RD116" s="26"/>
      <c r="RE116" s="26"/>
      <c r="RF116" s="26"/>
      <c r="RG116" s="26"/>
      <c r="RH116" s="26"/>
      <c r="RI116" s="26"/>
      <c r="RJ116" s="26"/>
      <c r="RK116" s="26"/>
      <c r="RL116" s="26"/>
      <c r="RM116" s="26"/>
      <c r="RN116" s="26"/>
      <c r="RO116" s="26"/>
      <c r="RP116" s="26"/>
      <c r="RQ116" s="26"/>
      <c r="RR116" s="26"/>
      <c r="RS116" s="26"/>
      <c r="RT116" s="26"/>
      <c r="RU116" s="26"/>
      <c r="RV116" s="26"/>
      <c r="RW116" s="26"/>
      <c r="RX116" s="26"/>
      <c r="RY116" s="26"/>
      <c r="RZ116" s="26"/>
      <c r="SA116" s="26"/>
      <c r="SB116" s="26"/>
      <c r="SC116" s="26"/>
      <c r="SD116" s="26"/>
      <c r="SE116" s="26"/>
      <c r="SF116" s="26"/>
      <c r="SG116" s="26"/>
      <c r="SH116" s="26"/>
      <c r="SI116" s="26"/>
      <c r="SJ116" s="26"/>
      <c r="SK116" s="26"/>
      <c r="SL116" s="26"/>
      <c r="SM116" s="26"/>
      <c r="SN116" s="26"/>
      <c r="SO116" s="26"/>
      <c r="SP116" s="26"/>
      <c r="SQ116" s="26"/>
      <c r="SR116" s="26"/>
      <c r="SS116" s="26"/>
      <c r="ST116" s="26"/>
      <c r="SU116" s="26"/>
      <c r="SV116" s="26"/>
      <c r="SW116" s="26"/>
      <c r="SX116" s="26"/>
      <c r="SY116" s="26"/>
      <c r="SZ116" s="26"/>
      <c r="TA116" s="26"/>
      <c r="TB116" s="26"/>
      <c r="TC116" s="26"/>
      <c r="TD116" s="26"/>
      <c r="TE116" s="26"/>
      <c r="TF116" s="26"/>
      <c r="TG116" s="26"/>
      <c r="TH116" s="26"/>
      <c r="TI116" s="26"/>
    </row>
    <row r="117" spans="1:529" s="27" customFormat="1" ht="30" x14ac:dyDescent="0.25">
      <c r="A117" s="145"/>
      <c r="B117" s="146"/>
      <c r="C117" s="146"/>
      <c r="D117" s="143" t="s">
        <v>454</v>
      </c>
      <c r="E117" s="144">
        <f t="shared" si="48"/>
        <v>6347600</v>
      </c>
      <c r="F117" s="144">
        <v>6347600</v>
      </c>
      <c r="G117" s="148"/>
      <c r="H117" s="148"/>
      <c r="I117" s="148"/>
      <c r="J117" s="144"/>
      <c r="K117" s="144"/>
      <c r="L117" s="144"/>
      <c r="M117" s="144"/>
      <c r="N117" s="144"/>
      <c r="O117" s="144"/>
      <c r="P117" s="144">
        <f t="shared" si="49"/>
        <v>6347600</v>
      </c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  <c r="IW117" s="36"/>
      <c r="IX117" s="36"/>
      <c r="IY117" s="36"/>
      <c r="IZ117" s="36"/>
      <c r="JA117" s="36"/>
      <c r="JB117" s="36"/>
      <c r="JC117" s="36"/>
      <c r="JD117" s="36"/>
      <c r="JE117" s="36"/>
      <c r="JF117" s="36"/>
      <c r="JG117" s="36"/>
      <c r="JH117" s="36"/>
      <c r="JI117" s="36"/>
      <c r="JJ117" s="36"/>
      <c r="JK117" s="36"/>
      <c r="JL117" s="36"/>
      <c r="JM117" s="36"/>
      <c r="JN117" s="36"/>
      <c r="JO117" s="36"/>
      <c r="JP117" s="36"/>
      <c r="JQ117" s="36"/>
      <c r="JR117" s="36"/>
      <c r="JS117" s="36"/>
      <c r="JT117" s="36"/>
      <c r="JU117" s="36"/>
      <c r="JV117" s="36"/>
      <c r="JW117" s="36"/>
      <c r="JX117" s="36"/>
      <c r="JY117" s="36"/>
      <c r="JZ117" s="36"/>
      <c r="KA117" s="36"/>
      <c r="KB117" s="36"/>
      <c r="KC117" s="36"/>
      <c r="KD117" s="36"/>
      <c r="KE117" s="36"/>
      <c r="KF117" s="36"/>
      <c r="KG117" s="36"/>
      <c r="KH117" s="36"/>
      <c r="KI117" s="36"/>
      <c r="KJ117" s="36"/>
      <c r="KK117" s="36"/>
      <c r="KL117" s="36"/>
      <c r="KM117" s="36"/>
      <c r="KN117" s="36"/>
      <c r="KO117" s="36"/>
      <c r="KP117" s="36"/>
      <c r="KQ117" s="36"/>
      <c r="KR117" s="36"/>
      <c r="KS117" s="36"/>
      <c r="KT117" s="36"/>
      <c r="KU117" s="36"/>
      <c r="KV117" s="36"/>
      <c r="KW117" s="36"/>
      <c r="KX117" s="36"/>
      <c r="KY117" s="36"/>
      <c r="KZ117" s="36"/>
      <c r="LA117" s="36"/>
      <c r="LB117" s="36"/>
      <c r="LC117" s="36"/>
      <c r="LD117" s="36"/>
      <c r="LE117" s="36"/>
      <c r="LF117" s="36"/>
      <c r="LG117" s="36"/>
      <c r="LH117" s="36"/>
      <c r="LI117" s="36"/>
      <c r="LJ117" s="36"/>
      <c r="LK117" s="36"/>
      <c r="LL117" s="36"/>
      <c r="LM117" s="36"/>
      <c r="LN117" s="36"/>
      <c r="LO117" s="36"/>
      <c r="LP117" s="36"/>
      <c r="LQ117" s="36"/>
      <c r="LR117" s="36"/>
      <c r="LS117" s="36"/>
      <c r="LT117" s="36"/>
      <c r="LU117" s="36"/>
      <c r="LV117" s="36"/>
      <c r="LW117" s="36"/>
      <c r="LX117" s="36"/>
      <c r="LY117" s="36"/>
      <c r="LZ117" s="36"/>
      <c r="MA117" s="36"/>
      <c r="MB117" s="36"/>
      <c r="MC117" s="36"/>
      <c r="MD117" s="36"/>
      <c r="ME117" s="36"/>
      <c r="MF117" s="36"/>
      <c r="MG117" s="36"/>
      <c r="MH117" s="36"/>
      <c r="MI117" s="36"/>
      <c r="MJ117" s="36"/>
      <c r="MK117" s="36"/>
      <c r="ML117" s="36"/>
      <c r="MM117" s="36"/>
      <c r="MN117" s="36"/>
      <c r="MO117" s="36"/>
      <c r="MP117" s="36"/>
      <c r="MQ117" s="36"/>
      <c r="MR117" s="36"/>
      <c r="MS117" s="36"/>
      <c r="MT117" s="36"/>
      <c r="MU117" s="36"/>
      <c r="MV117" s="36"/>
      <c r="MW117" s="36"/>
      <c r="MX117" s="36"/>
      <c r="MY117" s="36"/>
      <c r="MZ117" s="36"/>
      <c r="NA117" s="36"/>
      <c r="NB117" s="36"/>
      <c r="NC117" s="36"/>
      <c r="ND117" s="36"/>
      <c r="NE117" s="36"/>
      <c r="NF117" s="36"/>
      <c r="NG117" s="36"/>
      <c r="NH117" s="36"/>
      <c r="NI117" s="36"/>
      <c r="NJ117" s="36"/>
      <c r="NK117" s="36"/>
      <c r="NL117" s="36"/>
      <c r="NM117" s="36"/>
      <c r="NN117" s="36"/>
      <c r="NO117" s="36"/>
      <c r="NP117" s="36"/>
      <c r="NQ117" s="36"/>
      <c r="NR117" s="36"/>
      <c r="NS117" s="36"/>
      <c r="NT117" s="36"/>
      <c r="NU117" s="36"/>
      <c r="NV117" s="36"/>
      <c r="NW117" s="36"/>
      <c r="NX117" s="36"/>
      <c r="NY117" s="36"/>
      <c r="NZ117" s="36"/>
      <c r="OA117" s="36"/>
      <c r="OB117" s="36"/>
      <c r="OC117" s="36"/>
      <c r="OD117" s="36"/>
      <c r="OE117" s="36"/>
      <c r="OF117" s="36"/>
      <c r="OG117" s="36"/>
      <c r="OH117" s="36"/>
      <c r="OI117" s="36"/>
      <c r="OJ117" s="36"/>
      <c r="OK117" s="36"/>
      <c r="OL117" s="36"/>
      <c r="OM117" s="36"/>
      <c r="ON117" s="36"/>
      <c r="OO117" s="36"/>
      <c r="OP117" s="36"/>
      <c r="OQ117" s="36"/>
      <c r="OR117" s="36"/>
      <c r="OS117" s="36"/>
      <c r="OT117" s="36"/>
      <c r="OU117" s="36"/>
      <c r="OV117" s="36"/>
      <c r="OW117" s="36"/>
      <c r="OX117" s="36"/>
      <c r="OY117" s="36"/>
      <c r="OZ117" s="36"/>
      <c r="PA117" s="36"/>
      <c r="PB117" s="36"/>
      <c r="PC117" s="36"/>
      <c r="PD117" s="36"/>
      <c r="PE117" s="36"/>
      <c r="PF117" s="36"/>
      <c r="PG117" s="36"/>
      <c r="PH117" s="36"/>
      <c r="PI117" s="36"/>
      <c r="PJ117" s="36"/>
      <c r="PK117" s="36"/>
      <c r="PL117" s="36"/>
      <c r="PM117" s="36"/>
      <c r="PN117" s="36"/>
      <c r="PO117" s="36"/>
      <c r="PP117" s="36"/>
      <c r="PQ117" s="36"/>
      <c r="PR117" s="36"/>
      <c r="PS117" s="36"/>
      <c r="PT117" s="36"/>
      <c r="PU117" s="36"/>
      <c r="PV117" s="36"/>
      <c r="PW117" s="36"/>
      <c r="PX117" s="36"/>
      <c r="PY117" s="36"/>
      <c r="PZ117" s="36"/>
      <c r="QA117" s="36"/>
      <c r="QB117" s="36"/>
      <c r="QC117" s="36"/>
      <c r="QD117" s="36"/>
      <c r="QE117" s="36"/>
      <c r="QF117" s="36"/>
      <c r="QG117" s="36"/>
      <c r="QH117" s="36"/>
      <c r="QI117" s="36"/>
      <c r="QJ117" s="36"/>
      <c r="QK117" s="36"/>
      <c r="QL117" s="36"/>
      <c r="QM117" s="36"/>
      <c r="QN117" s="36"/>
      <c r="QO117" s="36"/>
      <c r="QP117" s="36"/>
      <c r="QQ117" s="36"/>
      <c r="QR117" s="36"/>
      <c r="QS117" s="36"/>
      <c r="QT117" s="36"/>
      <c r="QU117" s="36"/>
      <c r="QV117" s="36"/>
      <c r="QW117" s="36"/>
      <c r="QX117" s="36"/>
      <c r="QY117" s="36"/>
      <c r="QZ117" s="36"/>
      <c r="RA117" s="36"/>
      <c r="RB117" s="36"/>
      <c r="RC117" s="36"/>
      <c r="RD117" s="36"/>
      <c r="RE117" s="36"/>
      <c r="RF117" s="36"/>
      <c r="RG117" s="36"/>
      <c r="RH117" s="36"/>
      <c r="RI117" s="36"/>
      <c r="RJ117" s="36"/>
      <c r="RK117" s="36"/>
      <c r="RL117" s="36"/>
      <c r="RM117" s="36"/>
      <c r="RN117" s="36"/>
      <c r="RO117" s="36"/>
      <c r="RP117" s="36"/>
      <c r="RQ117" s="36"/>
      <c r="RR117" s="36"/>
      <c r="RS117" s="36"/>
      <c r="RT117" s="36"/>
      <c r="RU117" s="36"/>
      <c r="RV117" s="36"/>
      <c r="RW117" s="36"/>
      <c r="RX117" s="36"/>
      <c r="RY117" s="36"/>
      <c r="RZ117" s="36"/>
      <c r="SA117" s="36"/>
      <c r="SB117" s="36"/>
      <c r="SC117" s="36"/>
      <c r="SD117" s="36"/>
      <c r="SE117" s="36"/>
      <c r="SF117" s="36"/>
      <c r="SG117" s="36"/>
      <c r="SH117" s="36"/>
      <c r="SI117" s="36"/>
      <c r="SJ117" s="36"/>
      <c r="SK117" s="36"/>
      <c r="SL117" s="36"/>
      <c r="SM117" s="36"/>
      <c r="SN117" s="36"/>
      <c r="SO117" s="36"/>
      <c r="SP117" s="36"/>
      <c r="SQ117" s="36"/>
      <c r="SR117" s="36"/>
      <c r="SS117" s="36"/>
      <c r="ST117" s="36"/>
      <c r="SU117" s="36"/>
      <c r="SV117" s="36"/>
      <c r="SW117" s="36"/>
      <c r="SX117" s="36"/>
      <c r="SY117" s="36"/>
      <c r="SZ117" s="36"/>
      <c r="TA117" s="36"/>
      <c r="TB117" s="36"/>
      <c r="TC117" s="36"/>
      <c r="TD117" s="36"/>
      <c r="TE117" s="36"/>
      <c r="TF117" s="36"/>
      <c r="TG117" s="36"/>
      <c r="TH117" s="36"/>
      <c r="TI117" s="36"/>
    </row>
    <row r="118" spans="1:529" s="23" customFormat="1" ht="24" customHeight="1" x14ac:dyDescent="0.25">
      <c r="A118" s="43" t="s">
        <v>193</v>
      </c>
      <c r="B118" s="44" t="str">
        <f>'дод 4'!A65</f>
        <v>2100</v>
      </c>
      <c r="C118" s="44" t="str">
        <f>'дод 4'!B65</f>
        <v>0722</v>
      </c>
      <c r="D118" s="24" t="str">
        <f>'дод 4'!C65</f>
        <v>Стоматологічна допомога населенню, у т.ч. за рахунок:</v>
      </c>
      <c r="E118" s="66">
        <f t="shared" si="48"/>
        <v>6663426</v>
      </c>
      <c r="F118" s="66">
        <v>6663426</v>
      </c>
      <c r="G118" s="68"/>
      <c r="H118" s="68"/>
      <c r="I118" s="68"/>
      <c r="J118" s="66">
        <f t="shared" si="50"/>
        <v>590000</v>
      </c>
      <c r="K118" s="66">
        <f>1210600-80600-560000+20000</f>
        <v>590000</v>
      </c>
      <c r="L118" s="66"/>
      <c r="M118" s="66"/>
      <c r="N118" s="66"/>
      <c r="O118" s="66">
        <f>1210600-80600-560000+20000</f>
        <v>590000</v>
      </c>
      <c r="P118" s="66">
        <f t="shared" si="49"/>
        <v>7253426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  <c r="IW118" s="26"/>
      <c r="IX118" s="26"/>
      <c r="IY118" s="26"/>
      <c r="IZ118" s="26"/>
      <c r="JA118" s="26"/>
      <c r="JB118" s="26"/>
      <c r="JC118" s="26"/>
      <c r="JD118" s="26"/>
      <c r="JE118" s="26"/>
      <c r="JF118" s="26"/>
      <c r="JG118" s="26"/>
      <c r="JH118" s="26"/>
      <c r="JI118" s="26"/>
      <c r="JJ118" s="26"/>
      <c r="JK118" s="26"/>
      <c r="JL118" s="26"/>
      <c r="JM118" s="26"/>
      <c r="JN118" s="26"/>
      <c r="JO118" s="26"/>
      <c r="JP118" s="26"/>
      <c r="JQ118" s="26"/>
      <c r="JR118" s="26"/>
      <c r="JS118" s="26"/>
      <c r="JT118" s="26"/>
      <c r="JU118" s="26"/>
      <c r="JV118" s="26"/>
      <c r="JW118" s="26"/>
      <c r="JX118" s="26"/>
      <c r="JY118" s="26"/>
      <c r="JZ118" s="26"/>
      <c r="KA118" s="26"/>
      <c r="KB118" s="26"/>
      <c r="KC118" s="26"/>
      <c r="KD118" s="26"/>
      <c r="KE118" s="26"/>
      <c r="KF118" s="26"/>
      <c r="KG118" s="26"/>
      <c r="KH118" s="26"/>
      <c r="KI118" s="26"/>
      <c r="KJ118" s="26"/>
      <c r="KK118" s="26"/>
      <c r="KL118" s="26"/>
      <c r="KM118" s="26"/>
      <c r="KN118" s="26"/>
      <c r="KO118" s="26"/>
      <c r="KP118" s="26"/>
      <c r="KQ118" s="26"/>
      <c r="KR118" s="26"/>
      <c r="KS118" s="26"/>
      <c r="KT118" s="26"/>
      <c r="KU118" s="26"/>
      <c r="KV118" s="26"/>
      <c r="KW118" s="26"/>
      <c r="KX118" s="26"/>
      <c r="KY118" s="26"/>
      <c r="KZ118" s="26"/>
      <c r="LA118" s="26"/>
      <c r="LB118" s="26"/>
      <c r="LC118" s="26"/>
      <c r="LD118" s="26"/>
      <c r="LE118" s="26"/>
      <c r="LF118" s="26"/>
      <c r="LG118" s="26"/>
      <c r="LH118" s="26"/>
      <c r="LI118" s="26"/>
      <c r="LJ118" s="26"/>
      <c r="LK118" s="26"/>
      <c r="LL118" s="26"/>
      <c r="LM118" s="26"/>
      <c r="LN118" s="26"/>
      <c r="LO118" s="26"/>
      <c r="LP118" s="26"/>
      <c r="LQ118" s="26"/>
      <c r="LR118" s="26"/>
      <c r="LS118" s="26"/>
      <c r="LT118" s="26"/>
      <c r="LU118" s="26"/>
      <c r="LV118" s="26"/>
      <c r="LW118" s="26"/>
      <c r="LX118" s="26"/>
      <c r="LY118" s="26"/>
      <c r="LZ118" s="26"/>
      <c r="MA118" s="26"/>
      <c r="MB118" s="26"/>
      <c r="MC118" s="26"/>
      <c r="MD118" s="26"/>
      <c r="ME118" s="26"/>
      <c r="MF118" s="26"/>
      <c r="MG118" s="26"/>
      <c r="MH118" s="26"/>
      <c r="MI118" s="26"/>
      <c r="MJ118" s="26"/>
      <c r="MK118" s="26"/>
      <c r="ML118" s="26"/>
      <c r="MM118" s="26"/>
      <c r="MN118" s="26"/>
      <c r="MO118" s="26"/>
      <c r="MP118" s="26"/>
      <c r="MQ118" s="26"/>
      <c r="MR118" s="26"/>
      <c r="MS118" s="26"/>
      <c r="MT118" s="26"/>
      <c r="MU118" s="26"/>
      <c r="MV118" s="26"/>
      <c r="MW118" s="26"/>
      <c r="MX118" s="26"/>
      <c r="MY118" s="26"/>
      <c r="MZ118" s="26"/>
      <c r="NA118" s="26"/>
      <c r="NB118" s="26"/>
      <c r="NC118" s="26"/>
      <c r="ND118" s="26"/>
      <c r="NE118" s="26"/>
      <c r="NF118" s="26"/>
      <c r="NG118" s="26"/>
      <c r="NH118" s="26"/>
      <c r="NI118" s="26"/>
      <c r="NJ118" s="26"/>
      <c r="NK118" s="26"/>
      <c r="NL118" s="26"/>
      <c r="NM118" s="26"/>
      <c r="NN118" s="26"/>
      <c r="NO118" s="26"/>
      <c r="NP118" s="26"/>
      <c r="NQ118" s="26"/>
      <c r="NR118" s="26"/>
      <c r="NS118" s="26"/>
      <c r="NT118" s="26"/>
      <c r="NU118" s="26"/>
      <c r="NV118" s="26"/>
      <c r="NW118" s="26"/>
      <c r="NX118" s="26"/>
      <c r="NY118" s="26"/>
      <c r="NZ118" s="26"/>
      <c r="OA118" s="26"/>
      <c r="OB118" s="26"/>
      <c r="OC118" s="26"/>
      <c r="OD118" s="26"/>
      <c r="OE118" s="26"/>
      <c r="OF118" s="26"/>
      <c r="OG118" s="26"/>
      <c r="OH118" s="26"/>
      <c r="OI118" s="26"/>
      <c r="OJ118" s="26"/>
      <c r="OK118" s="26"/>
      <c r="OL118" s="26"/>
      <c r="OM118" s="26"/>
      <c r="ON118" s="26"/>
      <c r="OO118" s="26"/>
      <c r="OP118" s="26"/>
      <c r="OQ118" s="26"/>
      <c r="OR118" s="26"/>
      <c r="OS118" s="26"/>
      <c r="OT118" s="26"/>
      <c r="OU118" s="26"/>
      <c r="OV118" s="26"/>
      <c r="OW118" s="26"/>
      <c r="OX118" s="26"/>
      <c r="OY118" s="26"/>
      <c r="OZ118" s="26"/>
      <c r="PA118" s="26"/>
      <c r="PB118" s="26"/>
      <c r="PC118" s="26"/>
      <c r="PD118" s="26"/>
      <c r="PE118" s="26"/>
      <c r="PF118" s="26"/>
      <c r="PG118" s="26"/>
      <c r="PH118" s="26"/>
      <c r="PI118" s="26"/>
      <c r="PJ118" s="26"/>
      <c r="PK118" s="26"/>
      <c r="PL118" s="26"/>
      <c r="PM118" s="26"/>
      <c r="PN118" s="26"/>
      <c r="PO118" s="26"/>
      <c r="PP118" s="26"/>
      <c r="PQ118" s="26"/>
      <c r="PR118" s="26"/>
      <c r="PS118" s="26"/>
      <c r="PT118" s="26"/>
      <c r="PU118" s="26"/>
      <c r="PV118" s="26"/>
      <c r="PW118" s="26"/>
      <c r="PX118" s="26"/>
      <c r="PY118" s="26"/>
      <c r="PZ118" s="26"/>
      <c r="QA118" s="26"/>
      <c r="QB118" s="26"/>
      <c r="QC118" s="26"/>
      <c r="QD118" s="26"/>
      <c r="QE118" s="26"/>
      <c r="QF118" s="26"/>
      <c r="QG118" s="26"/>
      <c r="QH118" s="26"/>
      <c r="QI118" s="26"/>
      <c r="QJ118" s="26"/>
      <c r="QK118" s="26"/>
      <c r="QL118" s="26"/>
      <c r="QM118" s="26"/>
      <c r="QN118" s="26"/>
      <c r="QO118" s="26"/>
      <c r="QP118" s="26"/>
      <c r="QQ118" s="26"/>
      <c r="QR118" s="26"/>
      <c r="QS118" s="26"/>
      <c r="QT118" s="26"/>
      <c r="QU118" s="26"/>
      <c r="QV118" s="26"/>
      <c r="QW118" s="26"/>
      <c r="QX118" s="26"/>
      <c r="QY118" s="26"/>
      <c r="QZ118" s="26"/>
      <c r="RA118" s="26"/>
      <c r="RB118" s="26"/>
      <c r="RC118" s="26"/>
      <c r="RD118" s="26"/>
      <c r="RE118" s="26"/>
      <c r="RF118" s="26"/>
      <c r="RG118" s="26"/>
      <c r="RH118" s="26"/>
      <c r="RI118" s="26"/>
      <c r="RJ118" s="26"/>
      <c r="RK118" s="26"/>
      <c r="RL118" s="26"/>
      <c r="RM118" s="26"/>
      <c r="RN118" s="26"/>
      <c r="RO118" s="26"/>
      <c r="RP118" s="26"/>
      <c r="RQ118" s="26"/>
      <c r="RR118" s="26"/>
      <c r="RS118" s="26"/>
      <c r="RT118" s="26"/>
      <c r="RU118" s="26"/>
      <c r="RV118" s="26"/>
      <c r="RW118" s="26"/>
      <c r="RX118" s="26"/>
      <c r="RY118" s="26"/>
      <c r="RZ118" s="26"/>
      <c r="SA118" s="26"/>
      <c r="SB118" s="26"/>
      <c r="SC118" s="26"/>
      <c r="SD118" s="26"/>
      <c r="SE118" s="26"/>
      <c r="SF118" s="26"/>
      <c r="SG118" s="26"/>
      <c r="SH118" s="26"/>
      <c r="SI118" s="26"/>
      <c r="SJ118" s="26"/>
      <c r="SK118" s="26"/>
      <c r="SL118" s="26"/>
      <c r="SM118" s="26"/>
      <c r="SN118" s="26"/>
      <c r="SO118" s="26"/>
      <c r="SP118" s="26"/>
      <c r="SQ118" s="26"/>
      <c r="SR118" s="26"/>
      <c r="SS118" s="26"/>
      <c r="ST118" s="26"/>
      <c r="SU118" s="26"/>
      <c r="SV118" s="26"/>
      <c r="SW118" s="26"/>
      <c r="SX118" s="26"/>
      <c r="SY118" s="26"/>
      <c r="SZ118" s="26"/>
      <c r="TA118" s="26"/>
      <c r="TB118" s="26"/>
      <c r="TC118" s="26"/>
      <c r="TD118" s="26"/>
      <c r="TE118" s="26"/>
      <c r="TF118" s="26"/>
      <c r="TG118" s="26"/>
      <c r="TH118" s="26"/>
      <c r="TI118" s="26"/>
    </row>
    <row r="119" spans="1:529" s="27" customFormat="1" ht="30" x14ac:dyDescent="0.25">
      <c r="A119" s="145"/>
      <c r="B119" s="146"/>
      <c r="C119" s="146"/>
      <c r="D119" s="143" t="s">
        <v>454</v>
      </c>
      <c r="E119" s="144">
        <f t="shared" si="48"/>
        <v>1132200</v>
      </c>
      <c r="F119" s="144">
        <v>1132200</v>
      </c>
      <c r="G119" s="148"/>
      <c r="H119" s="148"/>
      <c r="I119" s="148"/>
      <c r="J119" s="144">
        <f t="shared" si="50"/>
        <v>0</v>
      </c>
      <c r="K119" s="144"/>
      <c r="L119" s="144"/>
      <c r="M119" s="144"/>
      <c r="N119" s="144"/>
      <c r="O119" s="144"/>
      <c r="P119" s="144">
        <f t="shared" si="49"/>
        <v>1132200</v>
      </c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  <c r="IW119" s="36"/>
      <c r="IX119" s="36"/>
      <c r="IY119" s="36"/>
      <c r="IZ119" s="36"/>
      <c r="JA119" s="36"/>
      <c r="JB119" s="36"/>
      <c r="JC119" s="36"/>
      <c r="JD119" s="36"/>
      <c r="JE119" s="36"/>
      <c r="JF119" s="36"/>
      <c r="JG119" s="36"/>
      <c r="JH119" s="36"/>
      <c r="JI119" s="36"/>
      <c r="JJ119" s="36"/>
      <c r="JK119" s="36"/>
      <c r="JL119" s="36"/>
      <c r="JM119" s="36"/>
      <c r="JN119" s="36"/>
      <c r="JO119" s="36"/>
      <c r="JP119" s="36"/>
      <c r="JQ119" s="36"/>
      <c r="JR119" s="36"/>
      <c r="JS119" s="36"/>
      <c r="JT119" s="36"/>
      <c r="JU119" s="36"/>
      <c r="JV119" s="36"/>
      <c r="JW119" s="36"/>
      <c r="JX119" s="36"/>
      <c r="JY119" s="36"/>
      <c r="JZ119" s="36"/>
      <c r="KA119" s="36"/>
      <c r="KB119" s="36"/>
      <c r="KC119" s="36"/>
      <c r="KD119" s="36"/>
      <c r="KE119" s="36"/>
      <c r="KF119" s="36"/>
      <c r="KG119" s="36"/>
      <c r="KH119" s="36"/>
      <c r="KI119" s="36"/>
      <c r="KJ119" s="36"/>
      <c r="KK119" s="36"/>
      <c r="KL119" s="36"/>
      <c r="KM119" s="36"/>
      <c r="KN119" s="36"/>
      <c r="KO119" s="36"/>
      <c r="KP119" s="36"/>
      <c r="KQ119" s="36"/>
      <c r="KR119" s="36"/>
      <c r="KS119" s="36"/>
      <c r="KT119" s="36"/>
      <c r="KU119" s="36"/>
      <c r="KV119" s="36"/>
      <c r="KW119" s="36"/>
      <c r="KX119" s="36"/>
      <c r="KY119" s="36"/>
      <c r="KZ119" s="36"/>
      <c r="LA119" s="36"/>
      <c r="LB119" s="36"/>
      <c r="LC119" s="36"/>
      <c r="LD119" s="36"/>
      <c r="LE119" s="36"/>
      <c r="LF119" s="36"/>
      <c r="LG119" s="36"/>
      <c r="LH119" s="36"/>
      <c r="LI119" s="36"/>
      <c r="LJ119" s="36"/>
      <c r="LK119" s="36"/>
      <c r="LL119" s="36"/>
      <c r="LM119" s="36"/>
      <c r="LN119" s="36"/>
      <c r="LO119" s="36"/>
      <c r="LP119" s="36"/>
      <c r="LQ119" s="36"/>
      <c r="LR119" s="36"/>
      <c r="LS119" s="36"/>
      <c r="LT119" s="36"/>
      <c r="LU119" s="36"/>
      <c r="LV119" s="36"/>
      <c r="LW119" s="36"/>
      <c r="LX119" s="36"/>
      <c r="LY119" s="36"/>
      <c r="LZ119" s="36"/>
      <c r="MA119" s="36"/>
      <c r="MB119" s="36"/>
      <c r="MC119" s="36"/>
      <c r="MD119" s="36"/>
      <c r="ME119" s="36"/>
      <c r="MF119" s="36"/>
      <c r="MG119" s="36"/>
      <c r="MH119" s="36"/>
      <c r="MI119" s="36"/>
      <c r="MJ119" s="36"/>
      <c r="MK119" s="36"/>
      <c r="ML119" s="36"/>
      <c r="MM119" s="36"/>
      <c r="MN119" s="36"/>
      <c r="MO119" s="36"/>
      <c r="MP119" s="36"/>
      <c r="MQ119" s="36"/>
      <c r="MR119" s="36"/>
      <c r="MS119" s="36"/>
      <c r="MT119" s="36"/>
      <c r="MU119" s="36"/>
      <c r="MV119" s="36"/>
      <c r="MW119" s="36"/>
      <c r="MX119" s="36"/>
      <c r="MY119" s="36"/>
      <c r="MZ119" s="36"/>
      <c r="NA119" s="36"/>
      <c r="NB119" s="36"/>
      <c r="NC119" s="36"/>
      <c r="ND119" s="36"/>
      <c r="NE119" s="36"/>
      <c r="NF119" s="36"/>
      <c r="NG119" s="36"/>
      <c r="NH119" s="36"/>
      <c r="NI119" s="36"/>
      <c r="NJ119" s="36"/>
      <c r="NK119" s="36"/>
      <c r="NL119" s="36"/>
      <c r="NM119" s="36"/>
      <c r="NN119" s="36"/>
      <c r="NO119" s="36"/>
      <c r="NP119" s="36"/>
      <c r="NQ119" s="36"/>
      <c r="NR119" s="36"/>
      <c r="NS119" s="36"/>
      <c r="NT119" s="36"/>
      <c r="NU119" s="36"/>
      <c r="NV119" s="36"/>
      <c r="NW119" s="36"/>
      <c r="NX119" s="36"/>
      <c r="NY119" s="36"/>
      <c r="NZ119" s="36"/>
      <c r="OA119" s="36"/>
      <c r="OB119" s="36"/>
      <c r="OC119" s="36"/>
      <c r="OD119" s="36"/>
      <c r="OE119" s="36"/>
      <c r="OF119" s="36"/>
      <c r="OG119" s="36"/>
      <c r="OH119" s="36"/>
      <c r="OI119" s="36"/>
      <c r="OJ119" s="36"/>
      <c r="OK119" s="36"/>
      <c r="OL119" s="36"/>
      <c r="OM119" s="36"/>
      <c r="ON119" s="36"/>
      <c r="OO119" s="36"/>
      <c r="OP119" s="36"/>
      <c r="OQ119" s="36"/>
      <c r="OR119" s="36"/>
      <c r="OS119" s="36"/>
      <c r="OT119" s="36"/>
      <c r="OU119" s="36"/>
      <c r="OV119" s="36"/>
      <c r="OW119" s="36"/>
      <c r="OX119" s="36"/>
      <c r="OY119" s="36"/>
      <c r="OZ119" s="36"/>
      <c r="PA119" s="36"/>
      <c r="PB119" s="36"/>
      <c r="PC119" s="36"/>
      <c r="PD119" s="36"/>
      <c r="PE119" s="36"/>
      <c r="PF119" s="36"/>
      <c r="PG119" s="36"/>
      <c r="PH119" s="36"/>
      <c r="PI119" s="36"/>
      <c r="PJ119" s="36"/>
      <c r="PK119" s="36"/>
      <c r="PL119" s="36"/>
      <c r="PM119" s="36"/>
      <c r="PN119" s="36"/>
      <c r="PO119" s="36"/>
      <c r="PP119" s="36"/>
      <c r="PQ119" s="36"/>
      <c r="PR119" s="36"/>
      <c r="PS119" s="36"/>
      <c r="PT119" s="36"/>
      <c r="PU119" s="36"/>
      <c r="PV119" s="36"/>
      <c r="PW119" s="36"/>
      <c r="PX119" s="36"/>
      <c r="PY119" s="36"/>
      <c r="PZ119" s="36"/>
      <c r="QA119" s="36"/>
      <c r="QB119" s="36"/>
      <c r="QC119" s="36"/>
      <c r="QD119" s="36"/>
      <c r="QE119" s="36"/>
      <c r="QF119" s="36"/>
      <c r="QG119" s="36"/>
      <c r="QH119" s="36"/>
      <c r="QI119" s="36"/>
      <c r="QJ119" s="36"/>
      <c r="QK119" s="36"/>
      <c r="QL119" s="36"/>
      <c r="QM119" s="36"/>
      <c r="QN119" s="36"/>
      <c r="QO119" s="36"/>
      <c r="QP119" s="36"/>
      <c r="QQ119" s="36"/>
      <c r="QR119" s="36"/>
      <c r="QS119" s="36"/>
      <c r="QT119" s="36"/>
      <c r="QU119" s="36"/>
      <c r="QV119" s="36"/>
      <c r="QW119" s="36"/>
      <c r="QX119" s="36"/>
      <c r="QY119" s="36"/>
      <c r="QZ119" s="36"/>
      <c r="RA119" s="36"/>
      <c r="RB119" s="36"/>
      <c r="RC119" s="36"/>
      <c r="RD119" s="36"/>
      <c r="RE119" s="36"/>
      <c r="RF119" s="36"/>
      <c r="RG119" s="36"/>
      <c r="RH119" s="36"/>
      <c r="RI119" s="36"/>
      <c r="RJ119" s="36"/>
      <c r="RK119" s="36"/>
      <c r="RL119" s="36"/>
      <c r="RM119" s="36"/>
      <c r="RN119" s="36"/>
      <c r="RO119" s="36"/>
      <c r="RP119" s="36"/>
      <c r="RQ119" s="36"/>
      <c r="RR119" s="36"/>
      <c r="RS119" s="36"/>
      <c r="RT119" s="36"/>
      <c r="RU119" s="36"/>
      <c r="RV119" s="36"/>
      <c r="RW119" s="36"/>
      <c r="RX119" s="36"/>
      <c r="RY119" s="36"/>
      <c r="RZ119" s="36"/>
      <c r="SA119" s="36"/>
      <c r="SB119" s="36"/>
      <c r="SC119" s="36"/>
      <c r="SD119" s="36"/>
      <c r="SE119" s="36"/>
      <c r="SF119" s="36"/>
      <c r="SG119" s="36"/>
      <c r="SH119" s="36"/>
      <c r="SI119" s="36"/>
      <c r="SJ119" s="36"/>
      <c r="SK119" s="36"/>
      <c r="SL119" s="36"/>
      <c r="SM119" s="36"/>
      <c r="SN119" s="36"/>
      <c r="SO119" s="36"/>
      <c r="SP119" s="36"/>
      <c r="SQ119" s="36"/>
      <c r="SR119" s="36"/>
      <c r="SS119" s="36"/>
      <c r="ST119" s="36"/>
      <c r="SU119" s="36"/>
      <c r="SV119" s="36"/>
      <c r="SW119" s="36"/>
      <c r="SX119" s="36"/>
      <c r="SY119" s="36"/>
      <c r="SZ119" s="36"/>
      <c r="TA119" s="36"/>
      <c r="TB119" s="36"/>
      <c r="TC119" s="36"/>
      <c r="TD119" s="36"/>
      <c r="TE119" s="36"/>
      <c r="TF119" s="36"/>
      <c r="TG119" s="36"/>
      <c r="TH119" s="36"/>
      <c r="TI119" s="36"/>
    </row>
    <row r="120" spans="1:529" s="23" customFormat="1" ht="44.25" customHeight="1" x14ac:dyDescent="0.25">
      <c r="A120" s="43" t="s">
        <v>192</v>
      </c>
      <c r="B120" s="44" t="str">
        <f>'дод 4'!A67</f>
        <v>2111</v>
      </c>
      <c r="C120" s="44" t="str">
        <f>'дод 4'!B67</f>
        <v>0726</v>
      </c>
      <c r="D120" s="24" t="str">
        <f>'дод 4'!C67</f>
        <v>Первинна медична допомога населенню, що надається центрами первинної медичної (медико-санітарної) допомоги, у т.ч. за рахунок:</v>
      </c>
      <c r="E120" s="66">
        <f t="shared" si="48"/>
        <v>1984936</v>
      </c>
      <c r="F120" s="66">
        <f>1672468+173000+25000+12000+2468+100000</f>
        <v>1984936</v>
      </c>
      <c r="G120" s="68"/>
      <c r="H120" s="68"/>
      <c r="I120" s="68"/>
      <c r="J120" s="66">
        <f t="shared" si="50"/>
        <v>0</v>
      </c>
      <c r="K120" s="66"/>
      <c r="L120" s="66"/>
      <c r="M120" s="66"/>
      <c r="N120" s="66"/>
      <c r="O120" s="66"/>
      <c r="P120" s="66">
        <f t="shared" si="49"/>
        <v>1984936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  <c r="IW120" s="26"/>
      <c r="IX120" s="26"/>
      <c r="IY120" s="26"/>
      <c r="IZ120" s="26"/>
      <c r="JA120" s="26"/>
      <c r="JB120" s="26"/>
      <c r="JC120" s="26"/>
      <c r="JD120" s="26"/>
      <c r="JE120" s="26"/>
      <c r="JF120" s="26"/>
      <c r="JG120" s="26"/>
      <c r="JH120" s="26"/>
      <c r="JI120" s="26"/>
      <c r="JJ120" s="26"/>
      <c r="JK120" s="26"/>
      <c r="JL120" s="26"/>
      <c r="JM120" s="26"/>
      <c r="JN120" s="26"/>
      <c r="JO120" s="26"/>
      <c r="JP120" s="26"/>
      <c r="JQ120" s="26"/>
      <c r="JR120" s="26"/>
      <c r="JS120" s="26"/>
      <c r="JT120" s="26"/>
      <c r="JU120" s="26"/>
      <c r="JV120" s="26"/>
      <c r="JW120" s="26"/>
      <c r="JX120" s="26"/>
      <c r="JY120" s="26"/>
      <c r="JZ120" s="26"/>
      <c r="KA120" s="26"/>
      <c r="KB120" s="26"/>
      <c r="KC120" s="26"/>
      <c r="KD120" s="26"/>
      <c r="KE120" s="26"/>
      <c r="KF120" s="26"/>
      <c r="KG120" s="26"/>
      <c r="KH120" s="26"/>
      <c r="KI120" s="26"/>
      <c r="KJ120" s="26"/>
      <c r="KK120" s="26"/>
      <c r="KL120" s="26"/>
      <c r="KM120" s="26"/>
      <c r="KN120" s="26"/>
      <c r="KO120" s="26"/>
      <c r="KP120" s="26"/>
      <c r="KQ120" s="26"/>
      <c r="KR120" s="26"/>
      <c r="KS120" s="26"/>
      <c r="KT120" s="26"/>
      <c r="KU120" s="26"/>
      <c r="KV120" s="26"/>
      <c r="KW120" s="26"/>
      <c r="KX120" s="26"/>
      <c r="KY120" s="26"/>
      <c r="KZ120" s="26"/>
      <c r="LA120" s="26"/>
      <c r="LB120" s="26"/>
      <c r="LC120" s="26"/>
      <c r="LD120" s="26"/>
      <c r="LE120" s="26"/>
      <c r="LF120" s="26"/>
      <c r="LG120" s="26"/>
      <c r="LH120" s="26"/>
      <c r="LI120" s="26"/>
      <c r="LJ120" s="26"/>
      <c r="LK120" s="26"/>
      <c r="LL120" s="26"/>
      <c r="LM120" s="26"/>
      <c r="LN120" s="26"/>
      <c r="LO120" s="26"/>
      <c r="LP120" s="26"/>
      <c r="LQ120" s="26"/>
      <c r="LR120" s="26"/>
      <c r="LS120" s="26"/>
      <c r="LT120" s="26"/>
      <c r="LU120" s="26"/>
      <c r="LV120" s="26"/>
      <c r="LW120" s="26"/>
      <c r="LX120" s="26"/>
      <c r="LY120" s="26"/>
      <c r="LZ120" s="26"/>
      <c r="MA120" s="26"/>
      <c r="MB120" s="26"/>
      <c r="MC120" s="26"/>
      <c r="MD120" s="26"/>
      <c r="ME120" s="26"/>
      <c r="MF120" s="26"/>
      <c r="MG120" s="26"/>
      <c r="MH120" s="26"/>
      <c r="MI120" s="26"/>
      <c r="MJ120" s="26"/>
      <c r="MK120" s="26"/>
      <c r="ML120" s="26"/>
      <c r="MM120" s="26"/>
      <c r="MN120" s="26"/>
      <c r="MO120" s="26"/>
      <c r="MP120" s="26"/>
      <c r="MQ120" s="26"/>
      <c r="MR120" s="26"/>
      <c r="MS120" s="26"/>
      <c r="MT120" s="26"/>
      <c r="MU120" s="26"/>
      <c r="MV120" s="26"/>
      <c r="MW120" s="26"/>
      <c r="MX120" s="26"/>
      <c r="MY120" s="26"/>
      <c r="MZ120" s="26"/>
      <c r="NA120" s="26"/>
      <c r="NB120" s="26"/>
      <c r="NC120" s="26"/>
      <c r="ND120" s="26"/>
      <c r="NE120" s="26"/>
      <c r="NF120" s="26"/>
      <c r="NG120" s="26"/>
      <c r="NH120" s="26"/>
      <c r="NI120" s="26"/>
      <c r="NJ120" s="26"/>
      <c r="NK120" s="26"/>
      <c r="NL120" s="26"/>
      <c r="NM120" s="26"/>
      <c r="NN120" s="26"/>
      <c r="NO120" s="26"/>
      <c r="NP120" s="26"/>
      <c r="NQ120" s="26"/>
      <c r="NR120" s="26"/>
      <c r="NS120" s="26"/>
      <c r="NT120" s="26"/>
      <c r="NU120" s="26"/>
      <c r="NV120" s="26"/>
      <c r="NW120" s="26"/>
      <c r="NX120" s="26"/>
      <c r="NY120" s="26"/>
      <c r="NZ120" s="26"/>
      <c r="OA120" s="26"/>
      <c r="OB120" s="26"/>
      <c r="OC120" s="26"/>
      <c r="OD120" s="26"/>
      <c r="OE120" s="26"/>
      <c r="OF120" s="26"/>
      <c r="OG120" s="26"/>
      <c r="OH120" s="26"/>
      <c r="OI120" s="26"/>
      <c r="OJ120" s="26"/>
      <c r="OK120" s="26"/>
      <c r="OL120" s="26"/>
      <c r="OM120" s="26"/>
      <c r="ON120" s="26"/>
      <c r="OO120" s="26"/>
      <c r="OP120" s="26"/>
      <c r="OQ120" s="26"/>
      <c r="OR120" s="26"/>
      <c r="OS120" s="26"/>
      <c r="OT120" s="26"/>
      <c r="OU120" s="26"/>
      <c r="OV120" s="26"/>
      <c r="OW120" s="26"/>
      <c r="OX120" s="26"/>
      <c r="OY120" s="26"/>
      <c r="OZ120" s="26"/>
      <c r="PA120" s="26"/>
      <c r="PB120" s="26"/>
      <c r="PC120" s="26"/>
      <c r="PD120" s="26"/>
      <c r="PE120" s="26"/>
      <c r="PF120" s="26"/>
      <c r="PG120" s="26"/>
      <c r="PH120" s="26"/>
      <c r="PI120" s="26"/>
      <c r="PJ120" s="26"/>
      <c r="PK120" s="26"/>
      <c r="PL120" s="26"/>
      <c r="PM120" s="26"/>
      <c r="PN120" s="26"/>
      <c r="PO120" s="26"/>
      <c r="PP120" s="26"/>
      <c r="PQ120" s="26"/>
      <c r="PR120" s="26"/>
      <c r="PS120" s="26"/>
      <c r="PT120" s="26"/>
      <c r="PU120" s="26"/>
      <c r="PV120" s="26"/>
      <c r="PW120" s="26"/>
      <c r="PX120" s="26"/>
      <c r="PY120" s="26"/>
      <c r="PZ120" s="26"/>
      <c r="QA120" s="26"/>
      <c r="QB120" s="26"/>
      <c r="QC120" s="26"/>
      <c r="QD120" s="26"/>
      <c r="QE120" s="26"/>
      <c r="QF120" s="26"/>
      <c r="QG120" s="26"/>
      <c r="QH120" s="26"/>
      <c r="QI120" s="26"/>
      <c r="QJ120" s="26"/>
      <c r="QK120" s="26"/>
      <c r="QL120" s="26"/>
      <c r="QM120" s="26"/>
      <c r="QN120" s="26"/>
      <c r="QO120" s="26"/>
      <c r="QP120" s="26"/>
      <c r="QQ120" s="26"/>
      <c r="QR120" s="26"/>
      <c r="QS120" s="26"/>
      <c r="QT120" s="26"/>
      <c r="QU120" s="26"/>
      <c r="QV120" s="26"/>
      <c r="QW120" s="26"/>
      <c r="QX120" s="26"/>
      <c r="QY120" s="26"/>
      <c r="QZ120" s="26"/>
      <c r="RA120" s="26"/>
      <c r="RB120" s="26"/>
      <c r="RC120" s="26"/>
      <c r="RD120" s="26"/>
      <c r="RE120" s="26"/>
      <c r="RF120" s="26"/>
      <c r="RG120" s="26"/>
      <c r="RH120" s="26"/>
      <c r="RI120" s="26"/>
      <c r="RJ120" s="26"/>
      <c r="RK120" s="26"/>
      <c r="RL120" s="26"/>
      <c r="RM120" s="26"/>
      <c r="RN120" s="26"/>
      <c r="RO120" s="26"/>
      <c r="RP120" s="26"/>
      <c r="RQ120" s="26"/>
      <c r="RR120" s="26"/>
      <c r="RS120" s="26"/>
      <c r="RT120" s="26"/>
      <c r="RU120" s="26"/>
      <c r="RV120" s="26"/>
      <c r="RW120" s="26"/>
      <c r="RX120" s="26"/>
      <c r="RY120" s="26"/>
      <c r="RZ120" s="26"/>
      <c r="SA120" s="26"/>
      <c r="SB120" s="26"/>
      <c r="SC120" s="26"/>
      <c r="SD120" s="26"/>
      <c r="SE120" s="26"/>
      <c r="SF120" s="26"/>
      <c r="SG120" s="26"/>
      <c r="SH120" s="26"/>
      <c r="SI120" s="26"/>
      <c r="SJ120" s="26"/>
      <c r="SK120" s="26"/>
      <c r="SL120" s="26"/>
      <c r="SM120" s="26"/>
      <c r="SN120" s="26"/>
      <c r="SO120" s="26"/>
      <c r="SP120" s="26"/>
      <c r="SQ120" s="26"/>
      <c r="SR120" s="26"/>
      <c r="SS120" s="26"/>
      <c r="ST120" s="26"/>
      <c r="SU120" s="26"/>
      <c r="SV120" s="26"/>
      <c r="SW120" s="26"/>
      <c r="SX120" s="26"/>
      <c r="SY120" s="26"/>
      <c r="SZ120" s="26"/>
      <c r="TA120" s="26"/>
      <c r="TB120" s="26"/>
      <c r="TC120" s="26"/>
      <c r="TD120" s="26"/>
      <c r="TE120" s="26"/>
      <c r="TF120" s="26"/>
      <c r="TG120" s="26"/>
      <c r="TH120" s="26"/>
      <c r="TI120" s="26"/>
    </row>
    <row r="121" spans="1:529" s="27" customFormat="1" ht="52.5" customHeight="1" x14ac:dyDescent="0.25">
      <c r="A121" s="145"/>
      <c r="B121" s="146"/>
      <c r="C121" s="146"/>
      <c r="D121" s="149" t="s">
        <v>456</v>
      </c>
      <c r="E121" s="144">
        <f t="shared" si="48"/>
        <v>2468</v>
      </c>
      <c r="F121" s="144">
        <v>2468</v>
      </c>
      <c r="G121" s="148"/>
      <c r="H121" s="148"/>
      <c r="I121" s="148"/>
      <c r="J121" s="144">
        <f t="shared" si="50"/>
        <v>0</v>
      </c>
      <c r="K121" s="144"/>
      <c r="L121" s="144"/>
      <c r="M121" s="144"/>
      <c r="N121" s="144"/>
      <c r="O121" s="144"/>
      <c r="P121" s="144">
        <f t="shared" si="49"/>
        <v>2468</v>
      </c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  <c r="IW121" s="36"/>
      <c r="IX121" s="36"/>
      <c r="IY121" s="36"/>
      <c r="IZ121" s="36"/>
      <c r="JA121" s="36"/>
      <c r="JB121" s="36"/>
      <c r="JC121" s="36"/>
      <c r="JD121" s="36"/>
      <c r="JE121" s="36"/>
      <c r="JF121" s="36"/>
      <c r="JG121" s="36"/>
      <c r="JH121" s="36"/>
      <c r="JI121" s="36"/>
      <c r="JJ121" s="36"/>
      <c r="JK121" s="36"/>
      <c r="JL121" s="36"/>
      <c r="JM121" s="36"/>
      <c r="JN121" s="36"/>
      <c r="JO121" s="36"/>
      <c r="JP121" s="36"/>
      <c r="JQ121" s="36"/>
      <c r="JR121" s="36"/>
      <c r="JS121" s="36"/>
      <c r="JT121" s="36"/>
      <c r="JU121" s="36"/>
      <c r="JV121" s="36"/>
      <c r="JW121" s="36"/>
      <c r="JX121" s="36"/>
      <c r="JY121" s="36"/>
      <c r="JZ121" s="36"/>
      <c r="KA121" s="36"/>
      <c r="KB121" s="36"/>
      <c r="KC121" s="36"/>
      <c r="KD121" s="36"/>
      <c r="KE121" s="36"/>
      <c r="KF121" s="36"/>
      <c r="KG121" s="36"/>
      <c r="KH121" s="36"/>
      <c r="KI121" s="36"/>
      <c r="KJ121" s="36"/>
      <c r="KK121" s="36"/>
      <c r="KL121" s="36"/>
      <c r="KM121" s="36"/>
      <c r="KN121" s="36"/>
      <c r="KO121" s="36"/>
      <c r="KP121" s="36"/>
      <c r="KQ121" s="36"/>
      <c r="KR121" s="36"/>
      <c r="KS121" s="36"/>
      <c r="KT121" s="36"/>
      <c r="KU121" s="36"/>
      <c r="KV121" s="36"/>
      <c r="KW121" s="36"/>
      <c r="KX121" s="36"/>
      <c r="KY121" s="36"/>
      <c r="KZ121" s="36"/>
      <c r="LA121" s="36"/>
      <c r="LB121" s="36"/>
      <c r="LC121" s="36"/>
      <c r="LD121" s="36"/>
      <c r="LE121" s="36"/>
      <c r="LF121" s="36"/>
      <c r="LG121" s="36"/>
      <c r="LH121" s="36"/>
      <c r="LI121" s="36"/>
      <c r="LJ121" s="36"/>
      <c r="LK121" s="36"/>
      <c r="LL121" s="36"/>
      <c r="LM121" s="36"/>
      <c r="LN121" s="36"/>
      <c r="LO121" s="36"/>
      <c r="LP121" s="36"/>
      <c r="LQ121" s="36"/>
      <c r="LR121" s="36"/>
      <c r="LS121" s="36"/>
      <c r="LT121" s="36"/>
      <c r="LU121" s="36"/>
      <c r="LV121" s="36"/>
      <c r="LW121" s="36"/>
      <c r="LX121" s="36"/>
      <c r="LY121" s="36"/>
      <c r="LZ121" s="36"/>
      <c r="MA121" s="36"/>
      <c r="MB121" s="36"/>
      <c r="MC121" s="36"/>
      <c r="MD121" s="36"/>
      <c r="ME121" s="36"/>
      <c r="MF121" s="36"/>
      <c r="MG121" s="36"/>
      <c r="MH121" s="36"/>
      <c r="MI121" s="36"/>
      <c r="MJ121" s="36"/>
      <c r="MK121" s="36"/>
      <c r="ML121" s="36"/>
      <c r="MM121" s="36"/>
      <c r="MN121" s="36"/>
      <c r="MO121" s="36"/>
      <c r="MP121" s="36"/>
      <c r="MQ121" s="36"/>
      <c r="MR121" s="36"/>
      <c r="MS121" s="36"/>
      <c r="MT121" s="36"/>
      <c r="MU121" s="36"/>
      <c r="MV121" s="36"/>
      <c r="MW121" s="36"/>
      <c r="MX121" s="36"/>
      <c r="MY121" s="36"/>
      <c r="MZ121" s="36"/>
      <c r="NA121" s="36"/>
      <c r="NB121" s="36"/>
      <c r="NC121" s="36"/>
      <c r="ND121" s="36"/>
      <c r="NE121" s="36"/>
      <c r="NF121" s="36"/>
      <c r="NG121" s="36"/>
      <c r="NH121" s="36"/>
      <c r="NI121" s="36"/>
      <c r="NJ121" s="36"/>
      <c r="NK121" s="36"/>
      <c r="NL121" s="36"/>
      <c r="NM121" s="36"/>
      <c r="NN121" s="36"/>
      <c r="NO121" s="36"/>
      <c r="NP121" s="36"/>
      <c r="NQ121" s="36"/>
      <c r="NR121" s="36"/>
      <c r="NS121" s="36"/>
      <c r="NT121" s="36"/>
      <c r="NU121" s="36"/>
      <c r="NV121" s="36"/>
      <c r="NW121" s="36"/>
      <c r="NX121" s="36"/>
      <c r="NY121" s="36"/>
      <c r="NZ121" s="36"/>
      <c r="OA121" s="36"/>
      <c r="OB121" s="36"/>
      <c r="OC121" s="36"/>
      <c r="OD121" s="36"/>
      <c r="OE121" s="36"/>
      <c r="OF121" s="36"/>
      <c r="OG121" s="36"/>
      <c r="OH121" s="36"/>
      <c r="OI121" s="36"/>
      <c r="OJ121" s="36"/>
      <c r="OK121" s="36"/>
      <c r="OL121" s="36"/>
      <c r="OM121" s="36"/>
      <c r="ON121" s="36"/>
      <c r="OO121" s="36"/>
      <c r="OP121" s="36"/>
      <c r="OQ121" s="36"/>
      <c r="OR121" s="36"/>
      <c r="OS121" s="36"/>
      <c r="OT121" s="36"/>
      <c r="OU121" s="36"/>
      <c r="OV121" s="36"/>
      <c r="OW121" s="36"/>
      <c r="OX121" s="36"/>
      <c r="OY121" s="36"/>
      <c r="OZ121" s="36"/>
      <c r="PA121" s="36"/>
      <c r="PB121" s="36"/>
      <c r="PC121" s="36"/>
      <c r="PD121" s="36"/>
      <c r="PE121" s="36"/>
      <c r="PF121" s="36"/>
      <c r="PG121" s="36"/>
      <c r="PH121" s="36"/>
      <c r="PI121" s="36"/>
      <c r="PJ121" s="36"/>
      <c r="PK121" s="36"/>
      <c r="PL121" s="36"/>
      <c r="PM121" s="36"/>
      <c r="PN121" s="36"/>
      <c r="PO121" s="36"/>
      <c r="PP121" s="36"/>
      <c r="PQ121" s="36"/>
      <c r="PR121" s="36"/>
      <c r="PS121" s="36"/>
      <c r="PT121" s="36"/>
      <c r="PU121" s="36"/>
      <c r="PV121" s="36"/>
      <c r="PW121" s="36"/>
      <c r="PX121" s="36"/>
      <c r="PY121" s="36"/>
      <c r="PZ121" s="36"/>
      <c r="QA121" s="36"/>
      <c r="QB121" s="36"/>
      <c r="QC121" s="36"/>
      <c r="QD121" s="36"/>
      <c r="QE121" s="36"/>
      <c r="QF121" s="36"/>
      <c r="QG121" s="36"/>
      <c r="QH121" s="36"/>
      <c r="QI121" s="36"/>
      <c r="QJ121" s="36"/>
      <c r="QK121" s="36"/>
      <c r="QL121" s="36"/>
      <c r="QM121" s="36"/>
      <c r="QN121" s="36"/>
      <c r="QO121" s="36"/>
      <c r="QP121" s="36"/>
      <c r="QQ121" s="36"/>
      <c r="QR121" s="36"/>
      <c r="QS121" s="36"/>
      <c r="QT121" s="36"/>
      <c r="QU121" s="36"/>
      <c r="QV121" s="36"/>
      <c r="QW121" s="36"/>
      <c r="QX121" s="36"/>
      <c r="QY121" s="36"/>
      <c r="QZ121" s="36"/>
      <c r="RA121" s="36"/>
      <c r="RB121" s="36"/>
      <c r="RC121" s="36"/>
      <c r="RD121" s="36"/>
      <c r="RE121" s="36"/>
      <c r="RF121" s="36"/>
      <c r="RG121" s="36"/>
      <c r="RH121" s="36"/>
      <c r="RI121" s="36"/>
      <c r="RJ121" s="36"/>
      <c r="RK121" s="36"/>
      <c r="RL121" s="36"/>
      <c r="RM121" s="36"/>
      <c r="RN121" s="36"/>
      <c r="RO121" s="36"/>
      <c r="RP121" s="36"/>
      <c r="RQ121" s="36"/>
      <c r="RR121" s="36"/>
      <c r="RS121" s="36"/>
      <c r="RT121" s="36"/>
      <c r="RU121" s="36"/>
      <c r="RV121" s="36"/>
      <c r="RW121" s="36"/>
      <c r="RX121" s="36"/>
      <c r="RY121" s="36"/>
      <c r="RZ121" s="36"/>
      <c r="SA121" s="36"/>
      <c r="SB121" s="36"/>
      <c r="SC121" s="36"/>
      <c r="SD121" s="36"/>
      <c r="SE121" s="36"/>
      <c r="SF121" s="36"/>
      <c r="SG121" s="36"/>
      <c r="SH121" s="36"/>
      <c r="SI121" s="36"/>
      <c r="SJ121" s="36"/>
      <c r="SK121" s="36"/>
      <c r="SL121" s="36"/>
      <c r="SM121" s="36"/>
      <c r="SN121" s="36"/>
      <c r="SO121" s="36"/>
      <c r="SP121" s="36"/>
      <c r="SQ121" s="36"/>
      <c r="SR121" s="36"/>
      <c r="SS121" s="36"/>
      <c r="ST121" s="36"/>
      <c r="SU121" s="36"/>
      <c r="SV121" s="36"/>
      <c r="SW121" s="36"/>
      <c r="SX121" s="36"/>
      <c r="SY121" s="36"/>
      <c r="SZ121" s="36"/>
      <c r="TA121" s="36"/>
      <c r="TB121" s="36"/>
      <c r="TC121" s="36"/>
      <c r="TD121" s="36"/>
      <c r="TE121" s="36"/>
      <c r="TF121" s="36"/>
      <c r="TG121" s="36"/>
      <c r="TH121" s="36"/>
      <c r="TI121" s="36"/>
    </row>
    <row r="122" spans="1:529" s="23" customFormat="1" ht="32.25" customHeight="1" x14ac:dyDescent="0.25">
      <c r="A122" s="43" t="s">
        <v>191</v>
      </c>
      <c r="B122" s="44">
        <f>'дод 4'!A69</f>
        <v>2144</v>
      </c>
      <c r="C122" s="44" t="str">
        <f>'дод 4'!B69</f>
        <v>0763</v>
      </c>
      <c r="D122" s="25" t="str">
        <f>'дод 4'!C69</f>
        <v>Централізовані заходи з лікування хворих на цукровий та нецукровий діабет, у т.ч. за рахунок:</v>
      </c>
      <c r="E122" s="66">
        <f t="shared" si="48"/>
        <v>7432709</v>
      </c>
      <c r="F122" s="66">
        <f>2090140+1000000+4342569</f>
        <v>7432709</v>
      </c>
      <c r="G122" s="68"/>
      <c r="H122" s="68"/>
      <c r="I122" s="68"/>
      <c r="J122" s="66">
        <f t="shared" si="50"/>
        <v>0</v>
      </c>
      <c r="K122" s="66"/>
      <c r="L122" s="66"/>
      <c r="M122" s="66"/>
      <c r="N122" s="66"/>
      <c r="O122" s="66"/>
      <c r="P122" s="66">
        <f t="shared" si="49"/>
        <v>7432709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  <c r="IW122" s="26"/>
      <c r="IX122" s="26"/>
      <c r="IY122" s="26"/>
      <c r="IZ122" s="26"/>
      <c r="JA122" s="26"/>
      <c r="JB122" s="26"/>
      <c r="JC122" s="26"/>
      <c r="JD122" s="26"/>
      <c r="JE122" s="26"/>
      <c r="JF122" s="26"/>
      <c r="JG122" s="26"/>
      <c r="JH122" s="26"/>
      <c r="JI122" s="26"/>
      <c r="JJ122" s="26"/>
      <c r="JK122" s="26"/>
      <c r="JL122" s="26"/>
      <c r="JM122" s="26"/>
      <c r="JN122" s="26"/>
      <c r="JO122" s="26"/>
      <c r="JP122" s="26"/>
      <c r="JQ122" s="26"/>
      <c r="JR122" s="26"/>
      <c r="JS122" s="26"/>
      <c r="JT122" s="26"/>
      <c r="JU122" s="26"/>
      <c r="JV122" s="26"/>
      <c r="JW122" s="26"/>
      <c r="JX122" s="26"/>
      <c r="JY122" s="26"/>
      <c r="JZ122" s="26"/>
      <c r="KA122" s="26"/>
      <c r="KB122" s="26"/>
      <c r="KC122" s="26"/>
      <c r="KD122" s="26"/>
      <c r="KE122" s="26"/>
      <c r="KF122" s="26"/>
      <c r="KG122" s="26"/>
      <c r="KH122" s="26"/>
      <c r="KI122" s="26"/>
      <c r="KJ122" s="26"/>
      <c r="KK122" s="26"/>
      <c r="KL122" s="26"/>
      <c r="KM122" s="26"/>
      <c r="KN122" s="26"/>
      <c r="KO122" s="26"/>
      <c r="KP122" s="26"/>
      <c r="KQ122" s="26"/>
      <c r="KR122" s="26"/>
      <c r="KS122" s="26"/>
      <c r="KT122" s="26"/>
      <c r="KU122" s="26"/>
      <c r="KV122" s="26"/>
      <c r="KW122" s="26"/>
      <c r="KX122" s="26"/>
      <c r="KY122" s="26"/>
      <c r="KZ122" s="26"/>
      <c r="LA122" s="26"/>
      <c r="LB122" s="26"/>
      <c r="LC122" s="26"/>
      <c r="LD122" s="26"/>
      <c r="LE122" s="26"/>
      <c r="LF122" s="26"/>
      <c r="LG122" s="26"/>
      <c r="LH122" s="26"/>
      <c r="LI122" s="26"/>
      <c r="LJ122" s="26"/>
      <c r="LK122" s="26"/>
      <c r="LL122" s="26"/>
      <c r="LM122" s="26"/>
      <c r="LN122" s="26"/>
      <c r="LO122" s="26"/>
      <c r="LP122" s="26"/>
      <c r="LQ122" s="26"/>
      <c r="LR122" s="26"/>
      <c r="LS122" s="26"/>
      <c r="LT122" s="26"/>
      <c r="LU122" s="26"/>
      <c r="LV122" s="26"/>
      <c r="LW122" s="26"/>
      <c r="LX122" s="26"/>
      <c r="LY122" s="26"/>
      <c r="LZ122" s="26"/>
      <c r="MA122" s="26"/>
      <c r="MB122" s="26"/>
      <c r="MC122" s="26"/>
      <c r="MD122" s="26"/>
      <c r="ME122" s="26"/>
      <c r="MF122" s="26"/>
      <c r="MG122" s="26"/>
      <c r="MH122" s="26"/>
      <c r="MI122" s="26"/>
      <c r="MJ122" s="26"/>
      <c r="MK122" s="26"/>
      <c r="ML122" s="26"/>
      <c r="MM122" s="26"/>
      <c r="MN122" s="26"/>
      <c r="MO122" s="26"/>
      <c r="MP122" s="26"/>
      <c r="MQ122" s="26"/>
      <c r="MR122" s="26"/>
      <c r="MS122" s="26"/>
      <c r="MT122" s="26"/>
      <c r="MU122" s="26"/>
      <c r="MV122" s="26"/>
      <c r="MW122" s="26"/>
      <c r="MX122" s="26"/>
      <c r="MY122" s="26"/>
      <c r="MZ122" s="26"/>
      <c r="NA122" s="26"/>
      <c r="NB122" s="26"/>
      <c r="NC122" s="26"/>
      <c r="ND122" s="26"/>
      <c r="NE122" s="26"/>
      <c r="NF122" s="26"/>
      <c r="NG122" s="26"/>
      <c r="NH122" s="26"/>
      <c r="NI122" s="26"/>
      <c r="NJ122" s="26"/>
      <c r="NK122" s="26"/>
      <c r="NL122" s="26"/>
      <c r="NM122" s="26"/>
      <c r="NN122" s="26"/>
      <c r="NO122" s="26"/>
      <c r="NP122" s="26"/>
      <c r="NQ122" s="26"/>
      <c r="NR122" s="26"/>
      <c r="NS122" s="26"/>
      <c r="NT122" s="26"/>
      <c r="NU122" s="26"/>
      <c r="NV122" s="26"/>
      <c r="NW122" s="26"/>
      <c r="NX122" s="26"/>
      <c r="NY122" s="26"/>
      <c r="NZ122" s="26"/>
      <c r="OA122" s="26"/>
      <c r="OB122" s="26"/>
      <c r="OC122" s="26"/>
      <c r="OD122" s="26"/>
      <c r="OE122" s="26"/>
      <c r="OF122" s="26"/>
      <c r="OG122" s="26"/>
      <c r="OH122" s="26"/>
      <c r="OI122" s="26"/>
      <c r="OJ122" s="26"/>
      <c r="OK122" s="26"/>
      <c r="OL122" s="26"/>
      <c r="OM122" s="26"/>
      <c r="ON122" s="26"/>
      <c r="OO122" s="26"/>
      <c r="OP122" s="26"/>
      <c r="OQ122" s="26"/>
      <c r="OR122" s="26"/>
      <c r="OS122" s="26"/>
      <c r="OT122" s="26"/>
      <c r="OU122" s="26"/>
      <c r="OV122" s="26"/>
      <c r="OW122" s="26"/>
      <c r="OX122" s="26"/>
      <c r="OY122" s="26"/>
      <c r="OZ122" s="26"/>
      <c r="PA122" s="26"/>
      <c r="PB122" s="26"/>
      <c r="PC122" s="26"/>
      <c r="PD122" s="26"/>
      <c r="PE122" s="26"/>
      <c r="PF122" s="26"/>
      <c r="PG122" s="26"/>
      <c r="PH122" s="26"/>
      <c r="PI122" s="26"/>
      <c r="PJ122" s="26"/>
      <c r="PK122" s="26"/>
      <c r="PL122" s="26"/>
      <c r="PM122" s="26"/>
      <c r="PN122" s="26"/>
      <c r="PO122" s="26"/>
      <c r="PP122" s="26"/>
      <c r="PQ122" s="26"/>
      <c r="PR122" s="26"/>
      <c r="PS122" s="26"/>
      <c r="PT122" s="26"/>
      <c r="PU122" s="26"/>
      <c r="PV122" s="26"/>
      <c r="PW122" s="26"/>
      <c r="PX122" s="26"/>
      <c r="PY122" s="26"/>
      <c r="PZ122" s="26"/>
      <c r="QA122" s="26"/>
      <c r="QB122" s="26"/>
      <c r="QC122" s="26"/>
      <c r="QD122" s="26"/>
      <c r="QE122" s="26"/>
      <c r="QF122" s="26"/>
      <c r="QG122" s="26"/>
      <c r="QH122" s="26"/>
      <c r="QI122" s="26"/>
      <c r="QJ122" s="26"/>
      <c r="QK122" s="26"/>
      <c r="QL122" s="26"/>
      <c r="QM122" s="26"/>
      <c r="QN122" s="26"/>
      <c r="QO122" s="26"/>
      <c r="QP122" s="26"/>
      <c r="QQ122" s="26"/>
      <c r="QR122" s="26"/>
      <c r="QS122" s="26"/>
      <c r="QT122" s="26"/>
      <c r="QU122" s="26"/>
      <c r="QV122" s="26"/>
      <c r="QW122" s="26"/>
      <c r="QX122" s="26"/>
      <c r="QY122" s="26"/>
      <c r="QZ122" s="26"/>
      <c r="RA122" s="26"/>
      <c r="RB122" s="26"/>
      <c r="RC122" s="26"/>
      <c r="RD122" s="26"/>
      <c r="RE122" s="26"/>
      <c r="RF122" s="26"/>
      <c r="RG122" s="26"/>
      <c r="RH122" s="26"/>
      <c r="RI122" s="26"/>
      <c r="RJ122" s="26"/>
      <c r="RK122" s="26"/>
      <c r="RL122" s="26"/>
      <c r="RM122" s="26"/>
      <c r="RN122" s="26"/>
      <c r="RO122" s="26"/>
      <c r="RP122" s="26"/>
      <c r="RQ122" s="26"/>
      <c r="RR122" s="26"/>
      <c r="RS122" s="26"/>
      <c r="RT122" s="26"/>
      <c r="RU122" s="26"/>
      <c r="RV122" s="26"/>
      <c r="RW122" s="26"/>
      <c r="RX122" s="26"/>
      <c r="RY122" s="26"/>
      <c r="RZ122" s="26"/>
      <c r="SA122" s="26"/>
      <c r="SB122" s="26"/>
      <c r="SC122" s="26"/>
      <c r="SD122" s="26"/>
      <c r="SE122" s="26"/>
      <c r="SF122" s="26"/>
      <c r="SG122" s="26"/>
      <c r="SH122" s="26"/>
      <c r="SI122" s="26"/>
      <c r="SJ122" s="26"/>
      <c r="SK122" s="26"/>
      <c r="SL122" s="26"/>
      <c r="SM122" s="26"/>
      <c r="SN122" s="26"/>
      <c r="SO122" s="26"/>
      <c r="SP122" s="26"/>
      <c r="SQ122" s="26"/>
      <c r="SR122" s="26"/>
      <c r="SS122" s="26"/>
      <c r="ST122" s="26"/>
      <c r="SU122" s="26"/>
      <c r="SV122" s="26"/>
      <c r="SW122" s="26"/>
      <c r="SX122" s="26"/>
      <c r="SY122" s="26"/>
      <c r="SZ122" s="26"/>
      <c r="TA122" s="26"/>
      <c r="TB122" s="26"/>
      <c r="TC122" s="26"/>
      <c r="TD122" s="26"/>
      <c r="TE122" s="26"/>
      <c r="TF122" s="26"/>
      <c r="TG122" s="26"/>
      <c r="TH122" s="26"/>
      <c r="TI122" s="26"/>
    </row>
    <row r="123" spans="1:529" s="27" customFormat="1" ht="45" x14ac:dyDescent="0.25">
      <c r="A123" s="145"/>
      <c r="B123" s="146"/>
      <c r="C123" s="146"/>
      <c r="D123" s="150" t="s">
        <v>455</v>
      </c>
      <c r="E123" s="144">
        <f t="shared" si="48"/>
        <v>1490140</v>
      </c>
      <c r="F123" s="144">
        <v>1490140</v>
      </c>
      <c r="G123" s="144"/>
      <c r="H123" s="144"/>
      <c r="I123" s="144"/>
      <c r="J123" s="144">
        <f t="shared" si="50"/>
        <v>0</v>
      </c>
      <c r="K123" s="144"/>
      <c r="L123" s="144"/>
      <c r="M123" s="144"/>
      <c r="N123" s="144"/>
      <c r="O123" s="144"/>
      <c r="P123" s="144">
        <f t="shared" si="49"/>
        <v>1490140</v>
      </c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  <c r="IW123" s="36"/>
      <c r="IX123" s="36"/>
      <c r="IY123" s="36"/>
      <c r="IZ123" s="36"/>
      <c r="JA123" s="36"/>
      <c r="JB123" s="36"/>
      <c r="JC123" s="36"/>
      <c r="JD123" s="36"/>
      <c r="JE123" s="36"/>
      <c r="JF123" s="36"/>
      <c r="JG123" s="36"/>
      <c r="JH123" s="36"/>
      <c r="JI123" s="36"/>
      <c r="JJ123" s="36"/>
      <c r="JK123" s="36"/>
      <c r="JL123" s="36"/>
      <c r="JM123" s="36"/>
      <c r="JN123" s="36"/>
      <c r="JO123" s="36"/>
      <c r="JP123" s="36"/>
      <c r="JQ123" s="36"/>
      <c r="JR123" s="36"/>
      <c r="JS123" s="36"/>
      <c r="JT123" s="36"/>
      <c r="JU123" s="36"/>
      <c r="JV123" s="36"/>
      <c r="JW123" s="36"/>
      <c r="JX123" s="36"/>
      <c r="JY123" s="36"/>
      <c r="JZ123" s="36"/>
      <c r="KA123" s="36"/>
      <c r="KB123" s="36"/>
      <c r="KC123" s="36"/>
      <c r="KD123" s="36"/>
      <c r="KE123" s="36"/>
      <c r="KF123" s="36"/>
      <c r="KG123" s="36"/>
      <c r="KH123" s="36"/>
      <c r="KI123" s="36"/>
      <c r="KJ123" s="36"/>
      <c r="KK123" s="36"/>
      <c r="KL123" s="36"/>
      <c r="KM123" s="36"/>
      <c r="KN123" s="36"/>
      <c r="KO123" s="36"/>
      <c r="KP123" s="36"/>
      <c r="KQ123" s="36"/>
      <c r="KR123" s="36"/>
      <c r="KS123" s="36"/>
      <c r="KT123" s="36"/>
      <c r="KU123" s="36"/>
      <c r="KV123" s="36"/>
      <c r="KW123" s="36"/>
      <c r="KX123" s="36"/>
      <c r="KY123" s="36"/>
      <c r="KZ123" s="36"/>
      <c r="LA123" s="36"/>
      <c r="LB123" s="36"/>
      <c r="LC123" s="36"/>
      <c r="LD123" s="36"/>
      <c r="LE123" s="36"/>
      <c r="LF123" s="36"/>
      <c r="LG123" s="36"/>
      <c r="LH123" s="36"/>
      <c r="LI123" s="36"/>
      <c r="LJ123" s="36"/>
      <c r="LK123" s="36"/>
      <c r="LL123" s="36"/>
      <c r="LM123" s="36"/>
      <c r="LN123" s="36"/>
      <c r="LO123" s="36"/>
      <c r="LP123" s="36"/>
      <c r="LQ123" s="36"/>
      <c r="LR123" s="36"/>
      <c r="LS123" s="36"/>
      <c r="LT123" s="36"/>
      <c r="LU123" s="36"/>
      <c r="LV123" s="36"/>
      <c r="LW123" s="36"/>
      <c r="LX123" s="36"/>
      <c r="LY123" s="36"/>
      <c r="LZ123" s="36"/>
      <c r="MA123" s="36"/>
      <c r="MB123" s="36"/>
      <c r="MC123" s="36"/>
      <c r="MD123" s="36"/>
      <c r="ME123" s="36"/>
      <c r="MF123" s="36"/>
      <c r="MG123" s="36"/>
      <c r="MH123" s="36"/>
      <c r="MI123" s="36"/>
      <c r="MJ123" s="36"/>
      <c r="MK123" s="36"/>
      <c r="ML123" s="36"/>
      <c r="MM123" s="36"/>
      <c r="MN123" s="36"/>
      <c r="MO123" s="36"/>
      <c r="MP123" s="36"/>
      <c r="MQ123" s="36"/>
      <c r="MR123" s="36"/>
      <c r="MS123" s="36"/>
      <c r="MT123" s="36"/>
      <c r="MU123" s="36"/>
      <c r="MV123" s="36"/>
      <c r="MW123" s="36"/>
      <c r="MX123" s="36"/>
      <c r="MY123" s="36"/>
      <c r="MZ123" s="36"/>
      <c r="NA123" s="36"/>
      <c r="NB123" s="36"/>
      <c r="NC123" s="36"/>
      <c r="ND123" s="36"/>
      <c r="NE123" s="36"/>
      <c r="NF123" s="36"/>
      <c r="NG123" s="36"/>
      <c r="NH123" s="36"/>
      <c r="NI123" s="36"/>
      <c r="NJ123" s="36"/>
      <c r="NK123" s="36"/>
      <c r="NL123" s="36"/>
      <c r="NM123" s="36"/>
      <c r="NN123" s="36"/>
      <c r="NO123" s="36"/>
      <c r="NP123" s="36"/>
      <c r="NQ123" s="36"/>
      <c r="NR123" s="36"/>
      <c r="NS123" s="36"/>
      <c r="NT123" s="36"/>
      <c r="NU123" s="36"/>
      <c r="NV123" s="36"/>
      <c r="NW123" s="36"/>
      <c r="NX123" s="36"/>
      <c r="NY123" s="36"/>
      <c r="NZ123" s="36"/>
      <c r="OA123" s="36"/>
      <c r="OB123" s="36"/>
      <c r="OC123" s="36"/>
      <c r="OD123" s="36"/>
      <c r="OE123" s="36"/>
      <c r="OF123" s="36"/>
      <c r="OG123" s="36"/>
      <c r="OH123" s="36"/>
      <c r="OI123" s="36"/>
      <c r="OJ123" s="36"/>
      <c r="OK123" s="36"/>
      <c r="OL123" s="36"/>
      <c r="OM123" s="36"/>
      <c r="ON123" s="36"/>
      <c r="OO123" s="36"/>
      <c r="OP123" s="36"/>
      <c r="OQ123" s="36"/>
      <c r="OR123" s="36"/>
      <c r="OS123" s="36"/>
      <c r="OT123" s="36"/>
      <c r="OU123" s="36"/>
      <c r="OV123" s="36"/>
      <c r="OW123" s="36"/>
      <c r="OX123" s="36"/>
      <c r="OY123" s="36"/>
      <c r="OZ123" s="36"/>
      <c r="PA123" s="36"/>
      <c r="PB123" s="36"/>
      <c r="PC123" s="36"/>
      <c r="PD123" s="36"/>
      <c r="PE123" s="36"/>
      <c r="PF123" s="36"/>
      <c r="PG123" s="36"/>
      <c r="PH123" s="36"/>
      <c r="PI123" s="36"/>
      <c r="PJ123" s="36"/>
      <c r="PK123" s="36"/>
      <c r="PL123" s="36"/>
      <c r="PM123" s="36"/>
      <c r="PN123" s="36"/>
      <c r="PO123" s="36"/>
      <c r="PP123" s="36"/>
      <c r="PQ123" s="36"/>
      <c r="PR123" s="36"/>
      <c r="PS123" s="36"/>
      <c r="PT123" s="36"/>
      <c r="PU123" s="36"/>
      <c r="PV123" s="36"/>
      <c r="PW123" s="36"/>
      <c r="PX123" s="36"/>
      <c r="PY123" s="36"/>
      <c r="PZ123" s="36"/>
      <c r="QA123" s="36"/>
      <c r="QB123" s="36"/>
      <c r="QC123" s="36"/>
      <c r="QD123" s="36"/>
      <c r="QE123" s="36"/>
      <c r="QF123" s="36"/>
      <c r="QG123" s="36"/>
      <c r="QH123" s="36"/>
      <c r="QI123" s="36"/>
      <c r="QJ123" s="36"/>
      <c r="QK123" s="36"/>
      <c r="QL123" s="36"/>
      <c r="QM123" s="36"/>
      <c r="QN123" s="36"/>
      <c r="QO123" s="36"/>
      <c r="QP123" s="36"/>
      <c r="QQ123" s="36"/>
      <c r="QR123" s="36"/>
      <c r="QS123" s="36"/>
      <c r="QT123" s="36"/>
      <c r="QU123" s="36"/>
      <c r="QV123" s="36"/>
      <c r="QW123" s="36"/>
      <c r="QX123" s="36"/>
      <c r="QY123" s="36"/>
      <c r="QZ123" s="36"/>
      <c r="RA123" s="36"/>
      <c r="RB123" s="36"/>
      <c r="RC123" s="36"/>
      <c r="RD123" s="36"/>
      <c r="RE123" s="36"/>
      <c r="RF123" s="36"/>
      <c r="RG123" s="36"/>
      <c r="RH123" s="36"/>
      <c r="RI123" s="36"/>
      <c r="RJ123" s="36"/>
      <c r="RK123" s="36"/>
      <c r="RL123" s="36"/>
      <c r="RM123" s="36"/>
      <c r="RN123" s="36"/>
      <c r="RO123" s="36"/>
      <c r="RP123" s="36"/>
      <c r="RQ123" s="36"/>
      <c r="RR123" s="36"/>
      <c r="RS123" s="36"/>
      <c r="RT123" s="36"/>
      <c r="RU123" s="36"/>
      <c r="RV123" s="36"/>
      <c r="RW123" s="36"/>
      <c r="RX123" s="36"/>
      <c r="RY123" s="36"/>
      <c r="RZ123" s="36"/>
      <c r="SA123" s="36"/>
      <c r="SB123" s="36"/>
      <c r="SC123" s="36"/>
      <c r="SD123" s="36"/>
      <c r="SE123" s="36"/>
      <c r="SF123" s="36"/>
      <c r="SG123" s="36"/>
      <c r="SH123" s="36"/>
      <c r="SI123" s="36"/>
      <c r="SJ123" s="36"/>
      <c r="SK123" s="36"/>
      <c r="SL123" s="36"/>
      <c r="SM123" s="36"/>
      <c r="SN123" s="36"/>
      <c r="SO123" s="36"/>
      <c r="SP123" s="36"/>
      <c r="SQ123" s="36"/>
      <c r="SR123" s="36"/>
      <c r="SS123" s="36"/>
      <c r="ST123" s="36"/>
      <c r="SU123" s="36"/>
      <c r="SV123" s="36"/>
      <c r="SW123" s="36"/>
      <c r="SX123" s="36"/>
      <c r="SY123" s="36"/>
      <c r="SZ123" s="36"/>
      <c r="TA123" s="36"/>
      <c r="TB123" s="36"/>
      <c r="TC123" s="36"/>
      <c r="TD123" s="36"/>
      <c r="TE123" s="36"/>
      <c r="TF123" s="36"/>
      <c r="TG123" s="36"/>
      <c r="TH123" s="36"/>
      <c r="TI123" s="36"/>
    </row>
    <row r="124" spans="1:529" s="27" customFormat="1" ht="48" customHeight="1" x14ac:dyDescent="0.25">
      <c r="A124" s="145"/>
      <c r="B124" s="146"/>
      <c r="C124" s="146"/>
      <c r="D124" s="150" t="s">
        <v>456</v>
      </c>
      <c r="E124" s="144">
        <f t="shared" si="48"/>
        <v>4342569</v>
      </c>
      <c r="F124" s="144">
        <v>4342569</v>
      </c>
      <c r="G124" s="148"/>
      <c r="H124" s="148"/>
      <c r="I124" s="148"/>
      <c r="J124" s="144">
        <f t="shared" si="50"/>
        <v>0</v>
      </c>
      <c r="K124" s="144"/>
      <c r="L124" s="144"/>
      <c r="M124" s="144"/>
      <c r="N124" s="144"/>
      <c r="O124" s="144"/>
      <c r="P124" s="144">
        <f t="shared" si="49"/>
        <v>4342569</v>
      </c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  <c r="IW124" s="36"/>
      <c r="IX124" s="36"/>
      <c r="IY124" s="36"/>
      <c r="IZ124" s="36"/>
      <c r="JA124" s="36"/>
      <c r="JB124" s="36"/>
      <c r="JC124" s="36"/>
      <c r="JD124" s="36"/>
      <c r="JE124" s="36"/>
      <c r="JF124" s="36"/>
      <c r="JG124" s="36"/>
      <c r="JH124" s="36"/>
      <c r="JI124" s="36"/>
      <c r="JJ124" s="36"/>
      <c r="JK124" s="36"/>
      <c r="JL124" s="36"/>
      <c r="JM124" s="36"/>
      <c r="JN124" s="36"/>
      <c r="JO124" s="36"/>
      <c r="JP124" s="36"/>
      <c r="JQ124" s="36"/>
      <c r="JR124" s="36"/>
      <c r="JS124" s="36"/>
      <c r="JT124" s="36"/>
      <c r="JU124" s="36"/>
      <c r="JV124" s="36"/>
      <c r="JW124" s="36"/>
      <c r="JX124" s="36"/>
      <c r="JY124" s="36"/>
      <c r="JZ124" s="36"/>
      <c r="KA124" s="36"/>
      <c r="KB124" s="36"/>
      <c r="KC124" s="36"/>
      <c r="KD124" s="36"/>
      <c r="KE124" s="36"/>
      <c r="KF124" s="36"/>
      <c r="KG124" s="36"/>
      <c r="KH124" s="36"/>
      <c r="KI124" s="36"/>
      <c r="KJ124" s="36"/>
      <c r="KK124" s="36"/>
      <c r="KL124" s="36"/>
      <c r="KM124" s="36"/>
      <c r="KN124" s="36"/>
      <c r="KO124" s="36"/>
      <c r="KP124" s="36"/>
      <c r="KQ124" s="36"/>
      <c r="KR124" s="36"/>
      <c r="KS124" s="36"/>
      <c r="KT124" s="36"/>
      <c r="KU124" s="36"/>
      <c r="KV124" s="36"/>
      <c r="KW124" s="36"/>
      <c r="KX124" s="36"/>
      <c r="KY124" s="36"/>
      <c r="KZ124" s="36"/>
      <c r="LA124" s="36"/>
      <c r="LB124" s="36"/>
      <c r="LC124" s="36"/>
      <c r="LD124" s="36"/>
      <c r="LE124" s="36"/>
      <c r="LF124" s="36"/>
      <c r="LG124" s="36"/>
      <c r="LH124" s="36"/>
      <c r="LI124" s="36"/>
      <c r="LJ124" s="36"/>
      <c r="LK124" s="36"/>
      <c r="LL124" s="36"/>
      <c r="LM124" s="36"/>
      <c r="LN124" s="36"/>
      <c r="LO124" s="36"/>
      <c r="LP124" s="36"/>
      <c r="LQ124" s="36"/>
      <c r="LR124" s="36"/>
      <c r="LS124" s="36"/>
      <c r="LT124" s="36"/>
      <c r="LU124" s="36"/>
      <c r="LV124" s="36"/>
      <c r="LW124" s="36"/>
      <c r="LX124" s="36"/>
      <c r="LY124" s="36"/>
      <c r="LZ124" s="36"/>
      <c r="MA124" s="36"/>
      <c r="MB124" s="36"/>
      <c r="MC124" s="36"/>
      <c r="MD124" s="36"/>
      <c r="ME124" s="36"/>
      <c r="MF124" s="36"/>
      <c r="MG124" s="36"/>
      <c r="MH124" s="36"/>
      <c r="MI124" s="36"/>
      <c r="MJ124" s="36"/>
      <c r="MK124" s="36"/>
      <c r="ML124" s="36"/>
      <c r="MM124" s="36"/>
      <c r="MN124" s="36"/>
      <c r="MO124" s="36"/>
      <c r="MP124" s="36"/>
      <c r="MQ124" s="36"/>
      <c r="MR124" s="36"/>
      <c r="MS124" s="36"/>
      <c r="MT124" s="36"/>
      <c r="MU124" s="36"/>
      <c r="MV124" s="36"/>
      <c r="MW124" s="36"/>
      <c r="MX124" s="36"/>
      <c r="MY124" s="36"/>
      <c r="MZ124" s="36"/>
      <c r="NA124" s="36"/>
      <c r="NB124" s="36"/>
      <c r="NC124" s="36"/>
      <c r="ND124" s="36"/>
      <c r="NE124" s="36"/>
      <c r="NF124" s="36"/>
      <c r="NG124" s="36"/>
      <c r="NH124" s="36"/>
      <c r="NI124" s="36"/>
      <c r="NJ124" s="36"/>
      <c r="NK124" s="36"/>
      <c r="NL124" s="36"/>
      <c r="NM124" s="36"/>
      <c r="NN124" s="36"/>
      <c r="NO124" s="36"/>
      <c r="NP124" s="36"/>
      <c r="NQ124" s="36"/>
      <c r="NR124" s="36"/>
      <c r="NS124" s="36"/>
      <c r="NT124" s="36"/>
      <c r="NU124" s="36"/>
      <c r="NV124" s="36"/>
      <c r="NW124" s="36"/>
      <c r="NX124" s="36"/>
      <c r="NY124" s="36"/>
      <c r="NZ124" s="36"/>
      <c r="OA124" s="36"/>
      <c r="OB124" s="36"/>
      <c r="OC124" s="36"/>
      <c r="OD124" s="36"/>
      <c r="OE124" s="36"/>
      <c r="OF124" s="36"/>
      <c r="OG124" s="36"/>
      <c r="OH124" s="36"/>
      <c r="OI124" s="36"/>
      <c r="OJ124" s="36"/>
      <c r="OK124" s="36"/>
      <c r="OL124" s="36"/>
      <c r="OM124" s="36"/>
      <c r="ON124" s="36"/>
      <c r="OO124" s="36"/>
      <c r="OP124" s="36"/>
      <c r="OQ124" s="36"/>
      <c r="OR124" s="36"/>
      <c r="OS124" s="36"/>
      <c r="OT124" s="36"/>
      <c r="OU124" s="36"/>
      <c r="OV124" s="36"/>
      <c r="OW124" s="36"/>
      <c r="OX124" s="36"/>
      <c r="OY124" s="36"/>
      <c r="OZ124" s="36"/>
      <c r="PA124" s="36"/>
      <c r="PB124" s="36"/>
      <c r="PC124" s="36"/>
      <c r="PD124" s="36"/>
      <c r="PE124" s="36"/>
      <c r="PF124" s="36"/>
      <c r="PG124" s="36"/>
      <c r="PH124" s="36"/>
      <c r="PI124" s="36"/>
      <c r="PJ124" s="36"/>
      <c r="PK124" s="36"/>
      <c r="PL124" s="36"/>
      <c r="PM124" s="36"/>
      <c r="PN124" s="36"/>
      <c r="PO124" s="36"/>
      <c r="PP124" s="36"/>
      <c r="PQ124" s="36"/>
      <c r="PR124" s="36"/>
      <c r="PS124" s="36"/>
      <c r="PT124" s="36"/>
      <c r="PU124" s="36"/>
      <c r="PV124" s="36"/>
      <c r="PW124" s="36"/>
      <c r="PX124" s="36"/>
      <c r="PY124" s="36"/>
      <c r="PZ124" s="36"/>
      <c r="QA124" s="36"/>
      <c r="QB124" s="36"/>
      <c r="QC124" s="36"/>
      <c r="QD124" s="36"/>
      <c r="QE124" s="36"/>
      <c r="QF124" s="36"/>
      <c r="QG124" s="36"/>
      <c r="QH124" s="36"/>
      <c r="QI124" s="36"/>
      <c r="QJ124" s="36"/>
      <c r="QK124" s="36"/>
      <c r="QL124" s="36"/>
      <c r="QM124" s="36"/>
      <c r="QN124" s="36"/>
      <c r="QO124" s="36"/>
      <c r="QP124" s="36"/>
      <c r="QQ124" s="36"/>
      <c r="QR124" s="36"/>
      <c r="QS124" s="36"/>
      <c r="QT124" s="36"/>
      <c r="QU124" s="36"/>
      <c r="QV124" s="36"/>
      <c r="QW124" s="36"/>
      <c r="QX124" s="36"/>
      <c r="QY124" s="36"/>
      <c r="QZ124" s="36"/>
      <c r="RA124" s="36"/>
      <c r="RB124" s="36"/>
      <c r="RC124" s="36"/>
      <c r="RD124" s="36"/>
      <c r="RE124" s="36"/>
      <c r="RF124" s="36"/>
      <c r="RG124" s="36"/>
      <c r="RH124" s="36"/>
      <c r="RI124" s="36"/>
      <c r="RJ124" s="36"/>
      <c r="RK124" s="36"/>
      <c r="RL124" s="36"/>
      <c r="RM124" s="36"/>
      <c r="RN124" s="36"/>
      <c r="RO124" s="36"/>
      <c r="RP124" s="36"/>
      <c r="RQ124" s="36"/>
      <c r="RR124" s="36"/>
      <c r="RS124" s="36"/>
      <c r="RT124" s="36"/>
      <c r="RU124" s="36"/>
      <c r="RV124" s="36"/>
      <c r="RW124" s="36"/>
      <c r="RX124" s="36"/>
      <c r="RY124" s="36"/>
      <c r="RZ124" s="36"/>
      <c r="SA124" s="36"/>
      <c r="SB124" s="36"/>
      <c r="SC124" s="36"/>
      <c r="SD124" s="36"/>
      <c r="SE124" s="36"/>
      <c r="SF124" s="36"/>
      <c r="SG124" s="36"/>
      <c r="SH124" s="36"/>
      <c r="SI124" s="36"/>
      <c r="SJ124" s="36"/>
      <c r="SK124" s="36"/>
      <c r="SL124" s="36"/>
      <c r="SM124" s="36"/>
      <c r="SN124" s="36"/>
      <c r="SO124" s="36"/>
      <c r="SP124" s="36"/>
      <c r="SQ124" s="36"/>
      <c r="SR124" s="36"/>
      <c r="SS124" s="36"/>
      <c r="ST124" s="36"/>
      <c r="SU124" s="36"/>
      <c r="SV124" s="36"/>
      <c r="SW124" s="36"/>
      <c r="SX124" s="36"/>
      <c r="SY124" s="36"/>
      <c r="SZ124" s="36"/>
      <c r="TA124" s="36"/>
      <c r="TB124" s="36"/>
      <c r="TC124" s="36"/>
      <c r="TD124" s="36"/>
      <c r="TE124" s="36"/>
      <c r="TF124" s="36"/>
      <c r="TG124" s="36"/>
      <c r="TH124" s="36"/>
      <c r="TI124" s="36"/>
    </row>
    <row r="125" spans="1:529" s="23" customFormat="1" ht="30" customHeight="1" x14ac:dyDescent="0.25">
      <c r="A125" s="43" t="s">
        <v>357</v>
      </c>
      <c r="B125" s="45" t="str">
        <f>'дод 4'!A72</f>
        <v>2151</v>
      </c>
      <c r="C125" s="45" t="str">
        <f>'дод 4'!B72</f>
        <v>0763</v>
      </c>
      <c r="D125" s="24" t="str">
        <f>'дод 4'!C72</f>
        <v>Забезпечення діяльності інших закладів у сфері охорони здоров’я</v>
      </c>
      <c r="E125" s="66">
        <f t="shared" si="48"/>
        <v>2894213</v>
      </c>
      <c r="F125" s="66">
        <v>2894213</v>
      </c>
      <c r="G125" s="68"/>
      <c r="H125" s="68"/>
      <c r="I125" s="68"/>
      <c r="J125" s="66">
        <f t="shared" si="50"/>
        <v>0</v>
      </c>
      <c r="K125" s="66"/>
      <c r="L125" s="66"/>
      <c r="M125" s="66"/>
      <c r="N125" s="66"/>
      <c r="O125" s="66"/>
      <c r="P125" s="66">
        <f t="shared" si="49"/>
        <v>2894213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  <c r="IW125" s="26"/>
      <c r="IX125" s="26"/>
      <c r="IY125" s="26"/>
      <c r="IZ125" s="26"/>
      <c r="JA125" s="26"/>
      <c r="JB125" s="26"/>
      <c r="JC125" s="26"/>
      <c r="JD125" s="26"/>
      <c r="JE125" s="26"/>
      <c r="JF125" s="26"/>
      <c r="JG125" s="26"/>
      <c r="JH125" s="26"/>
      <c r="JI125" s="26"/>
      <c r="JJ125" s="26"/>
      <c r="JK125" s="26"/>
      <c r="JL125" s="26"/>
      <c r="JM125" s="26"/>
      <c r="JN125" s="26"/>
      <c r="JO125" s="26"/>
      <c r="JP125" s="26"/>
      <c r="JQ125" s="26"/>
      <c r="JR125" s="26"/>
      <c r="JS125" s="26"/>
      <c r="JT125" s="26"/>
      <c r="JU125" s="26"/>
      <c r="JV125" s="26"/>
      <c r="JW125" s="26"/>
      <c r="JX125" s="26"/>
      <c r="JY125" s="26"/>
      <c r="JZ125" s="26"/>
      <c r="KA125" s="26"/>
      <c r="KB125" s="26"/>
      <c r="KC125" s="26"/>
      <c r="KD125" s="26"/>
      <c r="KE125" s="26"/>
      <c r="KF125" s="26"/>
      <c r="KG125" s="26"/>
      <c r="KH125" s="26"/>
      <c r="KI125" s="26"/>
      <c r="KJ125" s="26"/>
      <c r="KK125" s="26"/>
      <c r="KL125" s="26"/>
      <c r="KM125" s="26"/>
      <c r="KN125" s="26"/>
      <c r="KO125" s="26"/>
      <c r="KP125" s="26"/>
      <c r="KQ125" s="26"/>
      <c r="KR125" s="26"/>
      <c r="KS125" s="26"/>
      <c r="KT125" s="26"/>
      <c r="KU125" s="26"/>
      <c r="KV125" s="26"/>
      <c r="KW125" s="26"/>
      <c r="KX125" s="26"/>
      <c r="KY125" s="26"/>
      <c r="KZ125" s="26"/>
      <c r="LA125" s="26"/>
      <c r="LB125" s="26"/>
      <c r="LC125" s="26"/>
      <c r="LD125" s="26"/>
      <c r="LE125" s="26"/>
      <c r="LF125" s="26"/>
      <c r="LG125" s="26"/>
      <c r="LH125" s="26"/>
      <c r="LI125" s="26"/>
      <c r="LJ125" s="26"/>
      <c r="LK125" s="26"/>
      <c r="LL125" s="26"/>
      <c r="LM125" s="26"/>
      <c r="LN125" s="26"/>
      <c r="LO125" s="26"/>
      <c r="LP125" s="26"/>
      <c r="LQ125" s="26"/>
      <c r="LR125" s="26"/>
      <c r="LS125" s="26"/>
      <c r="LT125" s="26"/>
      <c r="LU125" s="26"/>
      <c r="LV125" s="26"/>
      <c r="LW125" s="26"/>
      <c r="LX125" s="26"/>
      <c r="LY125" s="26"/>
      <c r="LZ125" s="26"/>
      <c r="MA125" s="26"/>
      <c r="MB125" s="26"/>
      <c r="MC125" s="26"/>
      <c r="MD125" s="26"/>
      <c r="ME125" s="26"/>
      <c r="MF125" s="26"/>
      <c r="MG125" s="26"/>
      <c r="MH125" s="26"/>
      <c r="MI125" s="26"/>
      <c r="MJ125" s="26"/>
      <c r="MK125" s="26"/>
      <c r="ML125" s="26"/>
      <c r="MM125" s="26"/>
      <c r="MN125" s="26"/>
      <c r="MO125" s="26"/>
      <c r="MP125" s="26"/>
      <c r="MQ125" s="26"/>
      <c r="MR125" s="26"/>
      <c r="MS125" s="26"/>
      <c r="MT125" s="26"/>
      <c r="MU125" s="26"/>
      <c r="MV125" s="26"/>
      <c r="MW125" s="26"/>
      <c r="MX125" s="26"/>
      <c r="MY125" s="26"/>
      <c r="MZ125" s="26"/>
      <c r="NA125" s="26"/>
      <c r="NB125" s="26"/>
      <c r="NC125" s="26"/>
      <c r="ND125" s="26"/>
      <c r="NE125" s="26"/>
      <c r="NF125" s="26"/>
      <c r="NG125" s="26"/>
      <c r="NH125" s="26"/>
      <c r="NI125" s="26"/>
      <c r="NJ125" s="26"/>
      <c r="NK125" s="26"/>
      <c r="NL125" s="26"/>
      <c r="NM125" s="26"/>
      <c r="NN125" s="26"/>
      <c r="NO125" s="26"/>
      <c r="NP125" s="26"/>
      <c r="NQ125" s="26"/>
      <c r="NR125" s="26"/>
      <c r="NS125" s="26"/>
      <c r="NT125" s="26"/>
      <c r="NU125" s="26"/>
      <c r="NV125" s="26"/>
      <c r="NW125" s="26"/>
      <c r="NX125" s="26"/>
      <c r="NY125" s="26"/>
      <c r="NZ125" s="26"/>
      <c r="OA125" s="26"/>
      <c r="OB125" s="26"/>
      <c r="OC125" s="26"/>
      <c r="OD125" s="26"/>
      <c r="OE125" s="26"/>
      <c r="OF125" s="26"/>
      <c r="OG125" s="26"/>
      <c r="OH125" s="26"/>
      <c r="OI125" s="26"/>
      <c r="OJ125" s="26"/>
      <c r="OK125" s="26"/>
      <c r="OL125" s="26"/>
      <c r="OM125" s="26"/>
      <c r="ON125" s="26"/>
      <c r="OO125" s="26"/>
      <c r="OP125" s="26"/>
      <c r="OQ125" s="26"/>
      <c r="OR125" s="26"/>
      <c r="OS125" s="26"/>
      <c r="OT125" s="26"/>
      <c r="OU125" s="26"/>
      <c r="OV125" s="26"/>
      <c r="OW125" s="26"/>
      <c r="OX125" s="26"/>
      <c r="OY125" s="26"/>
      <c r="OZ125" s="26"/>
      <c r="PA125" s="26"/>
      <c r="PB125" s="26"/>
      <c r="PC125" s="26"/>
      <c r="PD125" s="26"/>
      <c r="PE125" s="26"/>
      <c r="PF125" s="26"/>
      <c r="PG125" s="26"/>
      <c r="PH125" s="26"/>
      <c r="PI125" s="26"/>
      <c r="PJ125" s="26"/>
      <c r="PK125" s="26"/>
      <c r="PL125" s="26"/>
      <c r="PM125" s="26"/>
      <c r="PN125" s="26"/>
      <c r="PO125" s="26"/>
      <c r="PP125" s="26"/>
      <c r="PQ125" s="26"/>
      <c r="PR125" s="26"/>
      <c r="PS125" s="26"/>
      <c r="PT125" s="26"/>
      <c r="PU125" s="26"/>
      <c r="PV125" s="26"/>
      <c r="PW125" s="26"/>
      <c r="PX125" s="26"/>
      <c r="PY125" s="26"/>
      <c r="PZ125" s="26"/>
      <c r="QA125" s="26"/>
      <c r="QB125" s="26"/>
      <c r="QC125" s="26"/>
      <c r="QD125" s="26"/>
      <c r="QE125" s="26"/>
      <c r="QF125" s="26"/>
      <c r="QG125" s="26"/>
      <c r="QH125" s="26"/>
      <c r="QI125" s="26"/>
      <c r="QJ125" s="26"/>
      <c r="QK125" s="26"/>
      <c r="QL125" s="26"/>
      <c r="QM125" s="26"/>
      <c r="QN125" s="26"/>
      <c r="QO125" s="26"/>
      <c r="QP125" s="26"/>
      <c r="QQ125" s="26"/>
      <c r="QR125" s="26"/>
      <c r="QS125" s="26"/>
      <c r="QT125" s="26"/>
      <c r="QU125" s="26"/>
      <c r="QV125" s="26"/>
      <c r="QW125" s="26"/>
      <c r="QX125" s="26"/>
      <c r="QY125" s="26"/>
      <c r="QZ125" s="26"/>
      <c r="RA125" s="26"/>
      <c r="RB125" s="26"/>
      <c r="RC125" s="26"/>
      <c r="RD125" s="26"/>
      <c r="RE125" s="26"/>
      <c r="RF125" s="26"/>
      <c r="RG125" s="26"/>
      <c r="RH125" s="26"/>
      <c r="RI125" s="26"/>
      <c r="RJ125" s="26"/>
      <c r="RK125" s="26"/>
      <c r="RL125" s="26"/>
      <c r="RM125" s="26"/>
      <c r="RN125" s="26"/>
      <c r="RO125" s="26"/>
      <c r="RP125" s="26"/>
      <c r="RQ125" s="26"/>
      <c r="RR125" s="26"/>
      <c r="RS125" s="26"/>
      <c r="RT125" s="26"/>
      <c r="RU125" s="26"/>
      <c r="RV125" s="26"/>
      <c r="RW125" s="26"/>
      <c r="RX125" s="26"/>
      <c r="RY125" s="26"/>
      <c r="RZ125" s="26"/>
      <c r="SA125" s="26"/>
      <c r="SB125" s="26"/>
      <c r="SC125" s="26"/>
      <c r="SD125" s="26"/>
      <c r="SE125" s="26"/>
      <c r="SF125" s="26"/>
      <c r="SG125" s="26"/>
      <c r="SH125" s="26"/>
      <c r="SI125" s="26"/>
      <c r="SJ125" s="26"/>
      <c r="SK125" s="26"/>
      <c r="SL125" s="26"/>
      <c r="SM125" s="26"/>
      <c r="SN125" s="26"/>
      <c r="SO125" s="26"/>
      <c r="SP125" s="26"/>
      <c r="SQ125" s="26"/>
      <c r="SR125" s="26"/>
      <c r="SS125" s="26"/>
      <c r="ST125" s="26"/>
      <c r="SU125" s="26"/>
      <c r="SV125" s="26"/>
      <c r="SW125" s="26"/>
      <c r="SX125" s="26"/>
      <c r="SY125" s="26"/>
      <c r="SZ125" s="26"/>
      <c r="TA125" s="26"/>
      <c r="TB125" s="26"/>
      <c r="TC125" s="26"/>
      <c r="TD125" s="26"/>
      <c r="TE125" s="26"/>
      <c r="TF125" s="26"/>
      <c r="TG125" s="26"/>
      <c r="TH125" s="26"/>
      <c r="TI125" s="26"/>
    </row>
    <row r="126" spans="1:529" s="23" customFormat="1" ht="24.75" customHeight="1" x14ac:dyDescent="0.25">
      <c r="A126" s="43" t="s">
        <v>358</v>
      </c>
      <c r="B126" s="45" t="str">
        <f>'дод 4'!A73</f>
        <v>2152</v>
      </c>
      <c r="C126" s="45" t="str">
        <f>'дод 4'!B73</f>
        <v>0763</v>
      </c>
      <c r="D126" s="22" t="str">
        <f>'дод 4'!C73</f>
        <v>Інші програми та заходи у сфері охорони здоров’я</v>
      </c>
      <c r="E126" s="66">
        <f>F126+I126</f>
        <v>34553833</v>
      </c>
      <c r="F126" s="66">
        <f>18815000+3000000+7000000+625000+63490000-8000000-1500000-5930000-1883000-1950000-203567-100000-38809600</f>
        <v>34553833</v>
      </c>
      <c r="G126" s="66"/>
      <c r="H126" s="66"/>
      <c r="I126" s="66"/>
      <c r="J126" s="66">
        <f t="shared" si="50"/>
        <v>14923300</v>
      </c>
      <c r="K126" s="66">
        <f>16000000+2500000-3576700</f>
        <v>14923300</v>
      </c>
      <c r="L126" s="66"/>
      <c r="M126" s="66"/>
      <c r="N126" s="66"/>
      <c r="O126" s="66">
        <f>16000000+2500000-3576700</f>
        <v>14923300</v>
      </c>
      <c r="P126" s="66">
        <f t="shared" si="49"/>
        <v>49477133</v>
      </c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  <c r="IW126" s="26"/>
      <c r="IX126" s="26"/>
      <c r="IY126" s="26"/>
      <c r="IZ126" s="26"/>
      <c r="JA126" s="26"/>
      <c r="JB126" s="26"/>
      <c r="JC126" s="26"/>
      <c r="JD126" s="26"/>
      <c r="JE126" s="26"/>
      <c r="JF126" s="26"/>
      <c r="JG126" s="26"/>
      <c r="JH126" s="26"/>
      <c r="JI126" s="26"/>
      <c r="JJ126" s="26"/>
      <c r="JK126" s="26"/>
      <c r="JL126" s="26"/>
      <c r="JM126" s="26"/>
      <c r="JN126" s="26"/>
      <c r="JO126" s="26"/>
      <c r="JP126" s="26"/>
      <c r="JQ126" s="26"/>
      <c r="JR126" s="26"/>
      <c r="JS126" s="26"/>
      <c r="JT126" s="26"/>
      <c r="JU126" s="26"/>
      <c r="JV126" s="26"/>
      <c r="JW126" s="26"/>
      <c r="JX126" s="26"/>
      <c r="JY126" s="26"/>
      <c r="JZ126" s="26"/>
      <c r="KA126" s="26"/>
      <c r="KB126" s="26"/>
      <c r="KC126" s="26"/>
      <c r="KD126" s="26"/>
      <c r="KE126" s="26"/>
      <c r="KF126" s="26"/>
      <c r="KG126" s="26"/>
      <c r="KH126" s="26"/>
      <c r="KI126" s="26"/>
      <c r="KJ126" s="26"/>
      <c r="KK126" s="26"/>
      <c r="KL126" s="26"/>
      <c r="KM126" s="26"/>
      <c r="KN126" s="26"/>
      <c r="KO126" s="26"/>
      <c r="KP126" s="26"/>
      <c r="KQ126" s="26"/>
      <c r="KR126" s="26"/>
      <c r="KS126" s="26"/>
      <c r="KT126" s="26"/>
      <c r="KU126" s="26"/>
      <c r="KV126" s="26"/>
      <c r="KW126" s="26"/>
      <c r="KX126" s="26"/>
      <c r="KY126" s="26"/>
      <c r="KZ126" s="26"/>
      <c r="LA126" s="26"/>
      <c r="LB126" s="26"/>
      <c r="LC126" s="26"/>
      <c r="LD126" s="26"/>
      <c r="LE126" s="26"/>
      <c r="LF126" s="26"/>
      <c r="LG126" s="26"/>
      <c r="LH126" s="26"/>
      <c r="LI126" s="26"/>
      <c r="LJ126" s="26"/>
      <c r="LK126" s="26"/>
      <c r="LL126" s="26"/>
      <c r="LM126" s="26"/>
      <c r="LN126" s="26"/>
      <c r="LO126" s="26"/>
      <c r="LP126" s="26"/>
      <c r="LQ126" s="26"/>
      <c r="LR126" s="26"/>
      <c r="LS126" s="26"/>
      <c r="LT126" s="26"/>
      <c r="LU126" s="26"/>
      <c r="LV126" s="26"/>
      <c r="LW126" s="26"/>
      <c r="LX126" s="26"/>
      <c r="LY126" s="26"/>
      <c r="LZ126" s="26"/>
      <c r="MA126" s="26"/>
      <c r="MB126" s="26"/>
      <c r="MC126" s="26"/>
      <c r="MD126" s="26"/>
      <c r="ME126" s="26"/>
      <c r="MF126" s="26"/>
      <c r="MG126" s="26"/>
      <c r="MH126" s="26"/>
      <c r="MI126" s="26"/>
      <c r="MJ126" s="26"/>
      <c r="MK126" s="26"/>
      <c r="ML126" s="26"/>
      <c r="MM126" s="26"/>
      <c r="MN126" s="26"/>
      <c r="MO126" s="26"/>
      <c r="MP126" s="26"/>
      <c r="MQ126" s="26"/>
      <c r="MR126" s="26"/>
      <c r="MS126" s="26"/>
      <c r="MT126" s="26"/>
      <c r="MU126" s="26"/>
      <c r="MV126" s="26"/>
      <c r="MW126" s="26"/>
      <c r="MX126" s="26"/>
      <c r="MY126" s="26"/>
      <c r="MZ126" s="26"/>
      <c r="NA126" s="26"/>
      <c r="NB126" s="26"/>
      <c r="NC126" s="26"/>
      <c r="ND126" s="26"/>
      <c r="NE126" s="26"/>
      <c r="NF126" s="26"/>
      <c r="NG126" s="26"/>
      <c r="NH126" s="26"/>
      <c r="NI126" s="26"/>
      <c r="NJ126" s="26"/>
      <c r="NK126" s="26"/>
      <c r="NL126" s="26"/>
      <c r="NM126" s="26"/>
      <c r="NN126" s="26"/>
      <c r="NO126" s="26"/>
      <c r="NP126" s="26"/>
      <c r="NQ126" s="26"/>
      <c r="NR126" s="26"/>
      <c r="NS126" s="26"/>
      <c r="NT126" s="26"/>
      <c r="NU126" s="26"/>
      <c r="NV126" s="26"/>
      <c r="NW126" s="26"/>
      <c r="NX126" s="26"/>
      <c r="NY126" s="26"/>
      <c r="NZ126" s="26"/>
      <c r="OA126" s="26"/>
      <c r="OB126" s="26"/>
      <c r="OC126" s="26"/>
      <c r="OD126" s="26"/>
      <c r="OE126" s="26"/>
      <c r="OF126" s="26"/>
      <c r="OG126" s="26"/>
      <c r="OH126" s="26"/>
      <c r="OI126" s="26"/>
      <c r="OJ126" s="26"/>
      <c r="OK126" s="26"/>
      <c r="OL126" s="26"/>
      <c r="OM126" s="26"/>
      <c r="ON126" s="26"/>
      <c r="OO126" s="26"/>
      <c r="OP126" s="26"/>
      <c r="OQ126" s="26"/>
      <c r="OR126" s="26"/>
      <c r="OS126" s="26"/>
      <c r="OT126" s="26"/>
      <c r="OU126" s="26"/>
      <c r="OV126" s="26"/>
      <c r="OW126" s="26"/>
      <c r="OX126" s="26"/>
      <c r="OY126" s="26"/>
      <c r="OZ126" s="26"/>
      <c r="PA126" s="26"/>
      <c r="PB126" s="26"/>
      <c r="PC126" s="26"/>
      <c r="PD126" s="26"/>
      <c r="PE126" s="26"/>
      <c r="PF126" s="26"/>
      <c r="PG126" s="26"/>
      <c r="PH126" s="26"/>
      <c r="PI126" s="26"/>
      <c r="PJ126" s="26"/>
      <c r="PK126" s="26"/>
      <c r="PL126" s="26"/>
      <c r="PM126" s="26"/>
      <c r="PN126" s="26"/>
      <c r="PO126" s="26"/>
      <c r="PP126" s="26"/>
      <c r="PQ126" s="26"/>
      <c r="PR126" s="26"/>
      <c r="PS126" s="26"/>
      <c r="PT126" s="26"/>
      <c r="PU126" s="26"/>
      <c r="PV126" s="26"/>
      <c r="PW126" s="26"/>
      <c r="PX126" s="26"/>
      <c r="PY126" s="26"/>
      <c r="PZ126" s="26"/>
      <c r="QA126" s="26"/>
      <c r="QB126" s="26"/>
      <c r="QC126" s="26"/>
      <c r="QD126" s="26"/>
      <c r="QE126" s="26"/>
      <c r="QF126" s="26"/>
      <c r="QG126" s="26"/>
      <c r="QH126" s="26"/>
      <c r="QI126" s="26"/>
      <c r="QJ126" s="26"/>
      <c r="QK126" s="26"/>
      <c r="QL126" s="26"/>
      <c r="QM126" s="26"/>
      <c r="QN126" s="26"/>
      <c r="QO126" s="26"/>
      <c r="QP126" s="26"/>
      <c r="QQ126" s="26"/>
      <c r="QR126" s="26"/>
      <c r="QS126" s="26"/>
      <c r="QT126" s="26"/>
      <c r="QU126" s="26"/>
      <c r="QV126" s="26"/>
      <c r="QW126" s="26"/>
      <c r="QX126" s="26"/>
      <c r="QY126" s="26"/>
      <c r="QZ126" s="26"/>
      <c r="RA126" s="26"/>
      <c r="RB126" s="26"/>
      <c r="RC126" s="26"/>
      <c r="RD126" s="26"/>
      <c r="RE126" s="26"/>
      <c r="RF126" s="26"/>
      <c r="RG126" s="26"/>
      <c r="RH126" s="26"/>
      <c r="RI126" s="26"/>
      <c r="RJ126" s="26"/>
      <c r="RK126" s="26"/>
      <c r="RL126" s="26"/>
      <c r="RM126" s="26"/>
      <c r="RN126" s="26"/>
      <c r="RO126" s="26"/>
      <c r="RP126" s="26"/>
      <c r="RQ126" s="26"/>
      <c r="RR126" s="26"/>
      <c r="RS126" s="26"/>
      <c r="RT126" s="26"/>
      <c r="RU126" s="26"/>
      <c r="RV126" s="26"/>
      <c r="RW126" s="26"/>
      <c r="RX126" s="26"/>
      <c r="RY126" s="26"/>
      <c r="RZ126" s="26"/>
      <c r="SA126" s="26"/>
      <c r="SB126" s="26"/>
      <c r="SC126" s="26"/>
      <c r="SD126" s="26"/>
      <c r="SE126" s="26"/>
      <c r="SF126" s="26"/>
      <c r="SG126" s="26"/>
      <c r="SH126" s="26"/>
      <c r="SI126" s="26"/>
      <c r="SJ126" s="26"/>
      <c r="SK126" s="26"/>
      <c r="SL126" s="26"/>
      <c r="SM126" s="26"/>
      <c r="SN126" s="26"/>
      <c r="SO126" s="26"/>
      <c r="SP126" s="26"/>
      <c r="SQ126" s="26"/>
      <c r="SR126" s="26"/>
      <c r="SS126" s="26"/>
      <c r="ST126" s="26"/>
      <c r="SU126" s="26"/>
      <c r="SV126" s="26"/>
      <c r="SW126" s="26"/>
      <c r="SX126" s="26"/>
      <c r="SY126" s="26"/>
      <c r="SZ126" s="26"/>
      <c r="TA126" s="26"/>
      <c r="TB126" s="26"/>
      <c r="TC126" s="26"/>
      <c r="TD126" s="26"/>
      <c r="TE126" s="26"/>
      <c r="TF126" s="26"/>
      <c r="TG126" s="26"/>
      <c r="TH126" s="26"/>
      <c r="TI126" s="26"/>
    </row>
    <row r="127" spans="1:529" s="23" customFormat="1" ht="24.75" customHeight="1" x14ac:dyDescent="0.25">
      <c r="A127" s="43" t="s">
        <v>501</v>
      </c>
      <c r="B127" s="45">
        <v>7322</v>
      </c>
      <c r="C127" s="52" t="s">
        <v>119</v>
      </c>
      <c r="D127" s="22" t="s">
        <v>305</v>
      </c>
      <c r="E127" s="66">
        <f>F127+I127</f>
        <v>0</v>
      </c>
      <c r="F127" s="66"/>
      <c r="G127" s="66"/>
      <c r="H127" s="66"/>
      <c r="I127" s="66"/>
      <c r="J127" s="66">
        <f t="shared" si="50"/>
        <v>27229570</v>
      </c>
      <c r="K127" s="66">
        <f>24880600+2348970</f>
        <v>27229570</v>
      </c>
      <c r="L127" s="66"/>
      <c r="M127" s="66"/>
      <c r="N127" s="66"/>
      <c r="O127" s="66">
        <f>24880600+2348970</f>
        <v>27229570</v>
      </c>
      <c r="P127" s="66">
        <f t="shared" si="49"/>
        <v>27229570</v>
      </c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  <c r="IW127" s="26"/>
      <c r="IX127" s="26"/>
      <c r="IY127" s="26"/>
      <c r="IZ127" s="26"/>
      <c r="JA127" s="26"/>
      <c r="JB127" s="26"/>
      <c r="JC127" s="26"/>
      <c r="JD127" s="26"/>
      <c r="JE127" s="26"/>
      <c r="JF127" s="26"/>
      <c r="JG127" s="26"/>
      <c r="JH127" s="26"/>
      <c r="JI127" s="26"/>
      <c r="JJ127" s="26"/>
      <c r="JK127" s="26"/>
      <c r="JL127" s="26"/>
      <c r="JM127" s="26"/>
      <c r="JN127" s="26"/>
      <c r="JO127" s="26"/>
      <c r="JP127" s="26"/>
      <c r="JQ127" s="26"/>
      <c r="JR127" s="26"/>
      <c r="JS127" s="26"/>
      <c r="JT127" s="26"/>
      <c r="JU127" s="26"/>
      <c r="JV127" s="26"/>
      <c r="JW127" s="26"/>
      <c r="JX127" s="26"/>
      <c r="JY127" s="26"/>
      <c r="JZ127" s="26"/>
      <c r="KA127" s="26"/>
      <c r="KB127" s="26"/>
      <c r="KC127" s="26"/>
      <c r="KD127" s="26"/>
      <c r="KE127" s="26"/>
      <c r="KF127" s="26"/>
      <c r="KG127" s="26"/>
      <c r="KH127" s="26"/>
      <c r="KI127" s="26"/>
      <c r="KJ127" s="26"/>
      <c r="KK127" s="26"/>
      <c r="KL127" s="26"/>
      <c r="KM127" s="26"/>
      <c r="KN127" s="26"/>
      <c r="KO127" s="26"/>
      <c r="KP127" s="26"/>
      <c r="KQ127" s="26"/>
      <c r="KR127" s="26"/>
      <c r="KS127" s="26"/>
      <c r="KT127" s="26"/>
      <c r="KU127" s="26"/>
      <c r="KV127" s="26"/>
      <c r="KW127" s="26"/>
      <c r="KX127" s="26"/>
      <c r="KY127" s="26"/>
      <c r="KZ127" s="26"/>
      <c r="LA127" s="26"/>
      <c r="LB127" s="26"/>
      <c r="LC127" s="26"/>
      <c r="LD127" s="26"/>
      <c r="LE127" s="26"/>
      <c r="LF127" s="26"/>
      <c r="LG127" s="26"/>
      <c r="LH127" s="26"/>
      <c r="LI127" s="26"/>
      <c r="LJ127" s="26"/>
      <c r="LK127" s="26"/>
      <c r="LL127" s="26"/>
      <c r="LM127" s="26"/>
      <c r="LN127" s="26"/>
      <c r="LO127" s="26"/>
      <c r="LP127" s="26"/>
      <c r="LQ127" s="26"/>
      <c r="LR127" s="26"/>
      <c r="LS127" s="26"/>
      <c r="LT127" s="26"/>
      <c r="LU127" s="26"/>
      <c r="LV127" s="26"/>
      <c r="LW127" s="26"/>
      <c r="LX127" s="26"/>
      <c r="LY127" s="26"/>
      <c r="LZ127" s="26"/>
      <c r="MA127" s="26"/>
      <c r="MB127" s="26"/>
      <c r="MC127" s="26"/>
      <c r="MD127" s="26"/>
      <c r="ME127" s="26"/>
      <c r="MF127" s="26"/>
      <c r="MG127" s="26"/>
      <c r="MH127" s="26"/>
      <c r="MI127" s="26"/>
      <c r="MJ127" s="26"/>
      <c r="MK127" s="26"/>
      <c r="ML127" s="26"/>
      <c r="MM127" s="26"/>
      <c r="MN127" s="26"/>
      <c r="MO127" s="26"/>
      <c r="MP127" s="26"/>
      <c r="MQ127" s="26"/>
      <c r="MR127" s="26"/>
      <c r="MS127" s="26"/>
      <c r="MT127" s="26"/>
      <c r="MU127" s="26"/>
      <c r="MV127" s="26"/>
      <c r="MW127" s="26"/>
      <c r="MX127" s="26"/>
      <c r="MY127" s="26"/>
      <c r="MZ127" s="26"/>
      <c r="NA127" s="26"/>
      <c r="NB127" s="26"/>
      <c r="NC127" s="26"/>
      <c r="ND127" s="26"/>
      <c r="NE127" s="26"/>
      <c r="NF127" s="26"/>
      <c r="NG127" s="26"/>
      <c r="NH127" s="26"/>
      <c r="NI127" s="26"/>
      <c r="NJ127" s="26"/>
      <c r="NK127" s="26"/>
      <c r="NL127" s="26"/>
      <c r="NM127" s="26"/>
      <c r="NN127" s="26"/>
      <c r="NO127" s="26"/>
      <c r="NP127" s="26"/>
      <c r="NQ127" s="26"/>
      <c r="NR127" s="26"/>
      <c r="NS127" s="26"/>
      <c r="NT127" s="26"/>
      <c r="NU127" s="26"/>
      <c r="NV127" s="26"/>
      <c r="NW127" s="26"/>
      <c r="NX127" s="26"/>
      <c r="NY127" s="26"/>
      <c r="NZ127" s="26"/>
      <c r="OA127" s="26"/>
      <c r="OB127" s="26"/>
      <c r="OC127" s="26"/>
      <c r="OD127" s="26"/>
      <c r="OE127" s="26"/>
      <c r="OF127" s="26"/>
      <c r="OG127" s="26"/>
      <c r="OH127" s="26"/>
      <c r="OI127" s="26"/>
      <c r="OJ127" s="26"/>
      <c r="OK127" s="26"/>
      <c r="OL127" s="26"/>
      <c r="OM127" s="26"/>
      <c r="ON127" s="26"/>
      <c r="OO127" s="26"/>
      <c r="OP127" s="26"/>
      <c r="OQ127" s="26"/>
      <c r="OR127" s="26"/>
      <c r="OS127" s="26"/>
      <c r="OT127" s="26"/>
      <c r="OU127" s="26"/>
      <c r="OV127" s="26"/>
      <c r="OW127" s="26"/>
      <c r="OX127" s="26"/>
      <c r="OY127" s="26"/>
      <c r="OZ127" s="26"/>
      <c r="PA127" s="26"/>
      <c r="PB127" s="26"/>
      <c r="PC127" s="26"/>
      <c r="PD127" s="26"/>
      <c r="PE127" s="26"/>
      <c r="PF127" s="26"/>
      <c r="PG127" s="26"/>
      <c r="PH127" s="26"/>
      <c r="PI127" s="26"/>
      <c r="PJ127" s="26"/>
      <c r="PK127" s="26"/>
      <c r="PL127" s="26"/>
      <c r="PM127" s="26"/>
      <c r="PN127" s="26"/>
      <c r="PO127" s="26"/>
      <c r="PP127" s="26"/>
      <c r="PQ127" s="26"/>
      <c r="PR127" s="26"/>
      <c r="PS127" s="26"/>
      <c r="PT127" s="26"/>
      <c r="PU127" s="26"/>
      <c r="PV127" s="26"/>
      <c r="PW127" s="26"/>
      <c r="PX127" s="26"/>
      <c r="PY127" s="26"/>
      <c r="PZ127" s="26"/>
      <c r="QA127" s="26"/>
      <c r="QB127" s="26"/>
      <c r="QC127" s="26"/>
      <c r="QD127" s="26"/>
      <c r="QE127" s="26"/>
      <c r="QF127" s="26"/>
      <c r="QG127" s="26"/>
      <c r="QH127" s="26"/>
      <c r="QI127" s="26"/>
      <c r="QJ127" s="26"/>
      <c r="QK127" s="26"/>
      <c r="QL127" s="26"/>
      <c r="QM127" s="26"/>
      <c r="QN127" s="26"/>
      <c r="QO127" s="26"/>
      <c r="QP127" s="26"/>
      <c r="QQ127" s="26"/>
      <c r="QR127" s="26"/>
      <c r="QS127" s="26"/>
      <c r="QT127" s="26"/>
      <c r="QU127" s="26"/>
      <c r="QV127" s="26"/>
      <c r="QW127" s="26"/>
      <c r="QX127" s="26"/>
      <c r="QY127" s="26"/>
      <c r="QZ127" s="26"/>
      <c r="RA127" s="26"/>
      <c r="RB127" s="26"/>
      <c r="RC127" s="26"/>
      <c r="RD127" s="26"/>
      <c r="RE127" s="26"/>
      <c r="RF127" s="26"/>
      <c r="RG127" s="26"/>
      <c r="RH127" s="26"/>
      <c r="RI127" s="26"/>
      <c r="RJ127" s="26"/>
      <c r="RK127" s="26"/>
      <c r="RL127" s="26"/>
      <c r="RM127" s="26"/>
      <c r="RN127" s="26"/>
      <c r="RO127" s="26"/>
      <c r="RP127" s="26"/>
      <c r="RQ127" s="26"/>
      <c r="RR127" s="26"/>
      <c r="RS127" s="26"/>
      <c r="RT127" s="26"/>
      <c r="RU127" s="26"/>
      <c r="RV127" s="26"/>
      <c r="RW127" s="26"/>
      <c r="RX127" s="26"/>
      <c r="RY127" s="26"/>
      <c r="RZ127" s="26"/>
      <c r="SA127" s="26"/>
      <c r="SB127" s="26"/>
      <c r="SC127" s="26"/>
      <c r="SD127" s="26"/>
      <c r="SE127" s="26"/>
      <c r="SF127" s="26"/>
      <c r="SG127" s="26"/>
      <c r="SH127" s="26"/>
      <c r="SI127" s="26"/>
      <c r="SJ127" s="26"/>
      <c r="SK127" s="26"/>
      <c r="SL127" s="26"/>
      <c r="SM127" s="26"/>
      <c r="SN127" s="26"/>
      <c r="SO127" s="26"/>
      <c r="SP127" s="26"/>
      <c r="SQ127" s="26"/>
      <c r="SR127" s="26"/>
      <c r="SS127" s="26"/>
      <c r="ST127" s="26"/>
      <c r="SU127" s="26"/>
      <c r="SV127" s="26"/>
      <c r="SW127" s="26"/>
      <c r="SX127" s="26"/>
      <c r="SY127" s="26"/>
      <c r="SZ127" s="26"/>
      <c r="TA127" s="26"/>
      <c r="TB127" s="26"/>
      <c r="TC127" s="26"/>
      <c r="TD127" s="26"/>
      <c r="TE127" s="26"/>
      <c r="TF127" s="26"/>
      <c r="TG127" s="26"/>
      <c r="TH127" s="26"/>
      <c r="TI127" s="26"/>
    </row>
    <row r="128" spans="1:529" s="23" customFormat="1" ht="44.25" customHeight="1" x14ac:dyDescent="0.25">
      <c r="A128" s="43" t="s">
        <v>419</v>
      </c>
      <c r="B128" s="45">
        <f>'дод 4'!A147</f>
        <v>7361</v>
      </c>
      <c r="C128" s="45" t="str">
        <f>'дод 4'!B147</f>
        <v>0490</v>
      </c>
      <c r="D128" s="22" t="str">
        <f>'дод 4'!C147</f>
        <v>Співфінансування інвестиційних проектів, що реалізуються за рахунок коштів державного фонду регіонального розвитку</v>
      </c>
      <c r="E128" s="66">
        <f t="shared" si="48"/>
        <v>0</v>
      </c>
      <c r="F128" s="66"/>
      <c r="G128" s="66"/>
      <c r="H128" s="66"/>
      <c r="I128" s="66"/>
      <c r="J128" s="66">
        <f t="shared" si="50"/>
        <v>3000000</v>
      </c>
      <c r="K128" s="66">
        <v>3000000</v>
      </c>
      <c r="L128" s="66"/>
      <c r="M128" s="66"/>
      <c r="N128" s="66"/>
      <c r="O128" s="66">
        <v>3000000</v>
      </c>
      <c r="P128" s="66">
        <f t="shared" si="49"/>
        <v>3000000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  <c r="IW128" s="26"/>
      <c r="IX128" s="26"/>
      <c r="IY128" s="26"/>
      <c r="IZ128" s="26"/>
      <c r="JA128" s="26"/>
      <c r="JB128" s="26"/>
      <c r="JC128" s="26"/>
      <c r="JD128" s="26"/>
      <c r="JE128" s="26"/>
      <c r="JF128" s="26"/>
      <c r="JG128" s="26"/>
      <c r="JH128" s="26"/>
      <c r="JI128" s="26"/>
      <c r="JJ128" s="26"/>
      <c r="JK128" s="26"/>
      <c r="JL128" s="26"/>
      <c r="JM128" s="26"/>
      <c r="JN128" s="26"/>
      <c r="JO128" s="26"/>
      <c r="JP128" s="26"/>
      <c r="JQ128" s="26"/>
      <c r="JR128" s="26"/>
      <c r="JS128" s="26"/>
      <c r="JT128" s="26"/>
      <c r="JU128" s="26"/>
      <c r="JV128" s="26"/>
      <c r="JW128" s="26"/>
      <c r="JX128" s="26"/>
      <c r="JY128" s="26"/>
      <c r="JZ128" s="26"/>
      <c r="KA128" s="26"/>
      <c r="KB128" s="26"/>
      <c r="KC128" s="26"/>
      <c r="KD128" s="26"/>
      <c r="KE128" s="26"/>
      <c r="KF128" s="26"/>
      <c r="KG128" s="26"/>
      <c r="KH128" s="26"/>
      <c r="KI128" s="26"/>
      <c r="KJ128" s="26"/>
      <c r="KK128" s="26"/>
      <c r="KL128" s="26"/>
      <c r="KM128" s="26"/>
      <c r="KN128" s="26"/>
      <c r="KO128" s="26"/>
      <c r="KP128" s="26"/>
      <c r="KQ128" s="26"/>
      <c r="KR128" s="26"/>
      <c r="KS128" s="26"/>
      <c r="KT128" s="26"/>
      <c r="KU128" s="26"/>
      <c r="KV128" s="26"/>
      <c r="KW128" s="26"/>
      <c r="KX128" s="26"/>
      <c r="KY128" s="26"/>
      <c r="KZ128" s="26"/>
      <c r="LA128" s="26"/>
      <c r="LB128" s="26"/>
      <c r="LC128" s="26"/>
      <c r="LD128" s="26"/>
      <c r="LE128" s="26"/>
      <c r="LF128" s="26"/>
      <c r="LG128" s="26"/>
      <c r="LH128" s="26"/>
      <c r="LI128" s="26"/>
      <c r="LJ128" s="26"/>
      <c r="LK128" s="26"/>
      <c r="LL128" s="26"/>
      <c r="LM128" s="26"/>
      <c r="LN128" s="26"/>
      <c r="LO128" s="26"/>
      <c r="LP128" s="26"/>
      <c r="LQ128" s="26"/>
      <c r="LR128" s="26"/>
      <c r="LS128" s="26"/>
      <c r="LT128" s="26"/>
      <c r="LU128" s="26"/>
      <c r="LV128" s="26"/>
      <c r="LW128" s="26"/>
      <c r="LX128" s="26"/>
      <c r="LY128" s="26"/>
      <c r="LZ128" s="26"/>
      <c r="MA128" s="26"/>
      <c r="MB128" s="26"/>
      <c r="MC128" s="26"/>
      <c r="MD128" s="26"/>
      <c r="ME128" s="26"/>
      <c r="MF128" s="26"/>
      <c r="MG128" s="26"/>
      <c r="MH128" s="26"/>
      <c r="MI128" s="26"/>
      <c r="MJ128" s="26"/>
      <c r="MK128" s="26"/>
      <c r="ML128" s="26"/>
      <c r="MM128" s="26"/>
      <c r="MN128" s="26"/>
      <c r="MO128" s="26"/>
      <c r="MP128" s="26"/>
      <c r="MQ128" s="26"/>
      <c r="MR128" s="26"/>
      <c r="MS128" s="26"/>
      <c r="MT128" s="26"/>
      <c r="MU128" s="26"/>
      <c r="MV128" s="26"/>
      <c r="MW128" s="26"/>
      <c r="MX128" s="26"/>
      <c r="MY128" s="26"/>
      <c r="MZ128" s="26"/>
      <c r="NA128" s="26"/>
      <c r="NB128" s="26"/>
      <c r="NC128" s="26"/>
      <c r="ND128" s="26"/>
      <c r="NE128" s="26"/>
      <c r="NF128" s="26"/>
      <c r="NG128" s="26"/>
      <c r="NH128" s="26"/>
      <c r="NI128" s="26"/>
      <c r="NJ128" s="26"/>
      <c r="NK128" s="26"/>
      <c r="NL128" s="26"/>
      <c r="NM128" s="26"/>
      <c r="NN128" s="26"/>
      <c r="NO128" s="26"/>
      <c r="NP128" s="26"/>
      <c r="NQ128" s="26"/>
      <c r="NR128" s="26"/>
      <c r="NS128" s="26"/>
      <c r="NT128" s="26"/>
      <c r="NU128" s="26"/>
      <c r="NV128" s="26"/>
      <c r="NW128" s="26"/>
      <c r="NX128" s="26"/>
      <c r="NY128" s="26"/>
      <c r="NZ128" s="26"/>
      <c r="OA128" s="26"/>
      <c r="OB128" s="26"/>
      <c r="OC128" s="26"/>
      <c r="OD128" s="26"/>
      <c r="OE128" s="26"/>
      <c r="OF128" s="26"/>
      <c r="OG128" s="26"/>
      <c r="OH128" s="26"/>
      <c r="OI128" s="26"/>
      <c r="OJ128" s="26"/>
      <c r="OK128" s="26"/>
      <c r="OL128" s="26"/>
      <c r="OM128" s="26"/>
      <c r="ON128" s="26"/>
      <c r="OO128" s="26"/>
      <c r="OP128" s="26"/>
      <c r="OQ128" s="26"/>
      <c r="OR128" s="26"/>
      <c r="OS128" s="26"/>
      <c r="OT128" s="26"/>
      <c r="OU128" s="26"/>
      <c r="OV128" s="26"/>
      <c r="OW128" s="26"/>
      <c r="OX128" s="26"/>
      <c r="OY128" s="26"/>
      <c r="OZ128" s="26"/>
      <c r="PA128" s="26"/>
      <c r="PB128" s="26"/>
      <c r="PC128" s="26"/>
      <c r="PD128" s="26"/>
      <c r="PE128" s="26"/>
      <c r="PF128" s="26"/>
      <c r="PG128" s="26"/>
      <c r="PH128" s="26"/>
      <c r="PI128" s="26"/>
      <c r="PJ128" s="26"/>
      <c r="PK128" s="26"/>
      <c r="PL128" s="26"/>
      <c r="PM128" s="26"/>
      <c r="PN128" s="26"/>
      <c r="PO128" s="26"/>
      <c r="PP128" s="26"/>
      <c r="PQ128" s="26"/>
      <c r="PR128" s="26"/>
      <c r="PS128" s="26"/>
      <c r="PT128" s="26"/>
      <c r="PU128" s="26"/>
      <c r="PV128" s="26"/>
      <c r="PW128" s="26"/>
      <c r="PX128" s="26"/>
      <c r="PY128" s="26"/>
      <c r="PZ128" s="26"/>
      <c r="QA128" s="26"/>
      <c r="QB128" s="26"/>
      <c r="QC128" s="26"/>
      <c r="QD128" s="26"/>
      <c r="QE128" s="26"/>
      <c r="QF128" s="26"/>
      <c r="QG128" s="26"/>
      <c r="QH128" s="26"/>
      <c r="QI128" s="26"/>
      <c r="QJ128" s="26"/>
      <c r="QK128" s="26"/>
      <c r="QL128" s="26"/>
      <c r="QM128" s="26"/>
      <c r="QN128" s="26"/>
      <c r="QO128" s="26"/>
      <c r="QP128" s="26"/>
      <c r="QQ128" s="26"/>
      <c r="QR128" s="26"/>
      <c r="QS128" s="26"/>
      <c r="QT128" s="26"/>
      <c r="QU128" s="26"/>
      <c r="QV128" s="26"/>
      <c r="QW128" s="26"/>
      <c r="QX128" s="26"/>
      <c r="QY128" s="26"/>
      <c r="QZ128" s="26"/>
      <c r="RA128" s="26"/>
      <c r="RB128" s="26"/>
      <c r="RC128" s="26"/>
      <c r="RD128" s="26"/>
      <c r="RE128" s="26"/>
      <c r="RF128" s="26"/>
      <c r="RG128" s="26"/>
      <c r="RH128" s="26"/>
      <c r="RI128" s="26"/>
      <c r="RJ128" s="26"/>
      <c r="RK128" s="26"/>
      <c r="RL128" s="26"/>
      <c r="RM128" s="26"/>
      <c r="RN128" s="26"/>
      <c r="RO128" s="26"/>
      <c r="RP128" s="26"/>
      <c r="RQ128" s="26"/>
      <c r="RR128" s="26"/>
      <c r="RS128" s="26"/>
      <c r="RT128" s="26"/>
      <c r="RU128" s="26"/>
      <c r="RV128" s="26"/>
      <c r="RW128" s="26"/>
      <c r="RX128" s="26"/>
      <c r="RY128" s="26"/>
      <c r="RZ128" s="26"/>
      <c r="SA128" s="26"/>
      <c r="SB128" s="26"/>
      <c r="SC128" s="26"/>
      <c r="SD128" s="26"/>
      <c r="SE128" s="26"/>
      <c r="SF128" s="26"/>
      <c r="SG128" s="26"/>
      <c r="SH128" s="26"/>
      <c r="SI128" s="26"/>
      <c r="SJ128" s="26"/>
      <c r="SK128" s="26"/>
      <c r="SL128" s="26"/>
      <c r="SM128" s="26"/>
      <c r="SN128" s="26"/>
      <c r="SO128" s="26"/>
      <c r="SP128" s="26"/>
      <c r="SQ128" s="26"/>
      <c r="SR128" s="26"/>
      <c r="SS128" s="26"/>
      <c r="ST128" s="26"/>
      <c r="SU128" s="26"/>
      <c r="SV128" s="26"/>
      <c r="SW128" s="26"/>
      <c r="SX128" s="26"/>
      <c r="SY128" s="26"/>
      <c r="SZ128" s="26"/>
      <c r="TA128" s="26"/>
      <c r="TB128" s="26"/>
      <c r="TC128" s="26"/>
      <c r="TD128" s="26"/>
      <c r="TE128" s="26"/>
      <c r="TF128" s="26"/>
      <c r="TG128" s="26"/>
      <c r="TH128" s="26"/>
      <c r="TI128" s="26"/>
    </row>
    <row r="129" spans="1:529" s="23" customFormat="1" ht="48" customHeight="1" x14ac:dyDescent="0.25">
      <c r="A129" s="43" t="s">
        <v>514</v>
      </c>
      <c r="B129" s="45">
        <v>7363</v>
      </c>
      <c r="C129" s="52" t="s">
        <v>89</v>
      </c>
      <c r="D129" s="96" t="s">
        <v>463</v>
      </c>
      <c r="E129" s="66">
        <f t="shared" si="48"/>
        <v>0</v>
      </c>
      <c r="F129" s="66"/>
      <c r="G129" s="66"/>
      <c r="H129" s="66"/>
      <c r="I129" s="66"/>
      <c r="J129" s="66">
        <f t="shared" si="50"/>
        <v>2376052</v>
      </c>
      <c r="K129" s="66">
        <v>2376052</v>
      </c>
      <c r="L129" s="66"/>
      <c r="M129" s="66"/>
      <c r="N129" s="66"/>
      <c r="O129" s="66">
        <v>2376052</v>
      </c>
      <c r="P129" s="66">
        <f t="shared" si="49"/>
        <v>2376052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  <c r="IW129" s="26"/>
      <c r="IX129" s="26"/>
      <c r="IY129" s="26"/>
      <c r="IZ129" s="26"/>
      <c r="JA129" s="26"/>
      <c r="JB129" s="26"/>
      <c r="JC129" s="26"/>
      <c r="JD129" s="26"/>
      <c r="JE129" s="26"/>
      <c r="JF129" s="26"/>
      <c r="JG129" s="26"/>
      <c r="JH129" s="26"/>
      <c r="JI129" s="26"/>
      <c r="JJ129" s="26"/>
      <c r="JK129" s="26"/>
      <c r="JL129" s="26"/>
      <c r="JM129" s="26"/>
      <c r="JN129" s="26"/>
      <c r="JO129" s="26"/>
      <c r="JP129" s="26"/>
      <c r="JQ129" s="26"/>
      <c r="JR129" s="26"/>
      <c r="JS129" s="26"/>
      <c r="JT129" s="26"/>
      <c r="JU129" s="26"/>
      <c r="JV129" s="26"/>
      <c r="JW129" s="26"/>
      <c r="JX129" s="26"/>
      <c r="JY129" s="26"/>
      <c r="JZ129" s="26"/>
      <c r="KA129" s="26"/>
      <c r="KB129" s="26"/>
      <c r="KC129" s="26"/>
      <c r="KD129" s="26"/>
      <c r="KE129" s="26"/>
      <c r="KF129" s="26"/>
      <c r="KG129" s="26"/>
      <c r="KH129" s="26"/>
      <c r="KI129" s="26"/>
      <c r="KJ129" s="26"/>
      <c r="KK129" s="26"/>
      <c r="KL129" s="26"/>
      <c r="KM129" s="26"/>
      <c r="KN129" s="26"/>
      <c r="KO129" s="26"/>
      <c r="KP129" s="26"/>
      <c r="KQ129" s="26"/>
      <c r="KR129" s="26"/>
      <c r="KS129" s="26"/>
      <c r="KT129" s="26"/>
      <c r="KU129" s="26"/>
      <c r="KV129" s="26"/>
      <c r="KW129" s="26"/>
      <c r="KX129" s="26"/>
      <c r="KY129" s="26"/>
      <c r="KZ129" s="26"/>
      <c r="LA129" s="26"/>
      <c r="LB129" s="26"/>
      <c r="LC129" s="26"/>
      <c r="LD129" s="26"/>
      <c r="LE129" s="26"/>
      <c r="LF129" s="26"/>
      <c r="LG129" s="26"/>
      <c r="LH129" s="26"/>
      <c r="LI129" s="26"/>
      <c r="LJ129" s="26"/>
      <c r="LK129" s="26"/>
      <c r="LL129" s="26"/>
      <c r="LM129" s="26"/>
      <c r="LN129" s="26"/>
      <c r="LO129" s="26"/>
      <c r="LP129" s="26"/>
      <c r="LQ129" s="26"/>
      <c r="LR129" s="26"/>
      <c r="LS129" s="26"/>
      <c r="LT129" s="26"/>
      <c r="LU129" s="26"/>
      <c r="LV129" s="26"/>
      <c r="LW129" s="26"/>
      <c r="LX129" s="26"/>
      <c r="LY129" s="26"/>
      <c r="LZ129" s="26"/>
      <c r="MA129" s="26"/>
      <c r="MB129" s="26"/>
      <c r="MC129" s="26"/>
      <c r="MD129" s="26"/>
      <c r="ME129" s="26"/>
      <c r="MF129" s="26"/>
      <c r="MG129" s="26"/>
      <c r="MH129" s="26"/>
      <c r="MI129" s="26"/>
      <c r="MJ129" s="26"/>
      <c r="MK129" s="26"/>
      <c r="ML129" s="26"/>
      <c r="MM129" s="26"/>
      <c r="MN129" s="26"/>
      <c r="MO129" s="26"/>
      <c r="MP129" s="26"/>
      <c r="MQ129" s="26"/>
      <c r="MR129" s="26"/>
      <c r="MS129" s="26"/>
      <c r="MT129" s="26"/>
      <c r="MU129" s="26"/>
      <c r="MV129" s="26"/>
      <c r="MW129" s="26"/>
      <c r="MX129" s="26"/>
      <c r="MY129" s="26"/>
      <c r="MZ129" s="26"/>
      <c r="NA129" s="26"/>
      <c r="NB129" s="26"/>
      <c r="NC129" s="26"/>
      <c r="ND129" s="26"/>
      <c r="NE129" s="26"/>
      <c r="NF129" s="26"/>
      <c r="NG129" s="26"/>
      <c r="NH129" s="26"/>
      <c r="NI129" s="26"/>
      <c r="NJ129" s="26"/>
      <c r="NK129" s="26"/>
      <c r="NL129" s="26"/>
      <c r="NM129" s="26"/>
      <c r="NN129" s="26"/>
      <c r="NO129" s="26"/>
      <c r="NP129" s="26"/>
      <c r="NQ129" s="26"/>
      <c r="NR129" s="26"/>
      <c r="NS129" s="26"/>
      <c r="NT129" s="26"/>
      <c r="NU129" s="26"/>
      <c r="NV129" s="26"/>
      <c r="NW129" s="26"/>
      <c r="NX129" s="26"/>
      <c r="NY129" s="26"/>
      <c r="NZ129" s="26"/>
      <c r="OA129" s="26"/>
      <c r="OB129" s="26"/>
      <c r="OC129" s="26"/>
      <c r="OD129" s="26"/>
      <c r="OE129" s="26"/>
      <c r="OF129" s="26"/>
      <c r="OG129" s="26"/>
      <c r="OH129" s="26"/>
      <c r="OI129" s="26"/>
      <c r="OJ129" s="26"/>
      <c r="OK129" s="26"/>
      <c r="OL129" s="26"/>
      <c r="OM129" s="26"/>
      <c r="ON129" s="26"/>
      <c r="OO129" s="26"/>
      <c r="OP129" s="26"/>
      <c r="OQ129" s="26"/>
      <c r="OR129" s="26"/>
      <c r="OS129" s="26"/>
      <c r="OT129" s="26"/>
      <c r="OU129" s="26"/>
      <c r="OV129" s="26"/>
      <c r="OW129" s="26"/>
      <c r="OX129" s="26"/>
      <c r="OY129" s="26"/>
      <c r="OZ129" s="26"/>
      <c r="PA129" s="26"/>
      <c r="PB129" s="26"/>
      <c r="PC129" s="26"/>
      <c r="PD129" s="26"/>
      <c r="PE129" s="26"/>
      <c r="PF129" s="26"/>
      <c r="PG129" s="26"/>
      <c r="PH129" s="26"/>
      <c r="PI129" s="26"/>
      <c r="PJ129" s="26"/>
      <c r="PK129" s="26"/>
      <c r="PL129" s="26"/>
      <c r="PM129" s="26"/>
      <c r="PN129" s="26"/>
      <c r="PO129" s="26"/>
      <c r="PP129" s="26"/>
      <c r="PQ129" s="26"/>
      <c r="PR129" s="26"/>
      <c r="PS129" s="26"/>
      <c r="PT129" s="26"/>
      <c r="PU129" s="26"/>
      <c r="PV129" s="26"/>
      <c r="PW129" s="26"/>
      <c r="PX129" s="26"/>
      <c r="PY129" s="26"/>
      <c r="PZ129" s="26"/>
      <c r="QA129" s="26"/>
      <c r="QB129" s="26"/>
      <c r="QC129" s="26"/>
      <c r="QD129" s="26"/>
      <c r="QE129" s="26"/>
      <c r="QF129" s="26"/>
      <c r="QG129" s="26"/>
      <c r="QH129" s="26"/>
      <c r="QI129" s="26"/>
      <c r="QJ129" s="26"/>
      <c r="QK129" s="26"/>
      <c r="QL129" s="26"/>
      <c r="QM129" s="26"/>
      <c r="QN129" s="26"/>
      <c r="QO129" s="26"/>
      <c r="QP129" s="26"/>
      <c r="QQ129" s="26"/>
      <c r="QR129" s="26"/>
      <c r="QS129" s="26"/>
      <c r="QT129" s="26"/>
      <c r="QU129" s="26"/>
      <c r="QV129" s="26"/>
      <c r="QW129" s="26"/>
      <c r="QX129" s="26"/>
      <c r="QY129" s="26"/>
      <c r="QZ129" s="26"/>
      <c r="RA129" s="26"/>
      <c r="RB129" s="26"/>
      <c r="RC129" s="26"/>
      <c r="RD129" s="26"/>
      <c r="RE129" s="26"/>
      <c r="RF129" s="26"/>
      <c r="RG129" s="26"/>
      <c r="RH129" s="26"/>
      <c r="RI129" s="26"/>
      <c r="RJ129" s="26"/>
      <c r="RK129" s="26"/>
      <c r="RL129" s="26"/>
      <c r="RM129" s="26"/>
      <c r="RN129" s="26"/>
      <c r="RO129" s="26"/>
      <c r="RP129" s="26"/>
      <c r="RQ129" s="26"/>
      <c r="RR129" s="26"/>
      <c r="RS129" s="26"/>
      <c r="RT129" s="26"/>
      <c r="RU129" s="26"/>
      <c r="RV129" s="26"/>
      <c r="RW129" s="26"/>
      <c r="RX129" s="26"/>
      <c r="RY129" s="26"/>
      <c r="RZ129" s="26"/>
      <c r="SA129" s="26"/>
      <c r="SB129" s="26"/>
      <c r="SC129" s="26"/>
      <c r="SD129" s="26"/>
      <c r="SE129" s="26"/>
      <c r="SF129" s="26"/>
      <c r="SG129" s="26"/>
      <c r="SH129" s="26"/>
      <c r="SI129" s="26"/>
      <c r="SJ129" s="26"/>
      <c r="SK129" s="26"/>
      <c r="SL129" s="26"/>
      <c r="SM129" s="26"/>
      <c r="SN129" s="26"/>
      <c r="SO129" s="26"/>
      <c r="SP129" s="26"/>
      <c r="SQ129" s="26"/>
      <c r="SR129" s="26"/>
      <c r="SS129" s="26"/>
      <c r="ST129" s="26"/>
      <c r="SU129" s="26"/>
      <c r="SV129" s="26"/>
      <c r="SW129" s="26"/>
      <c r="SX129" s="26"/>
      <c r="SY129" s="26"/>
      <c r="SZ129" s="26"/>
      <c r="TA129" s="26"/>
      <c r="TB129" s="26"/>
      <c r="TC129" s="26"/>
      <c r="TD129" s="26"/>
      <c r="TE129" s="26"/>
      <c r="TF129" s="26"/>
      <c r="TG129" s="26"/>
      <c r="TH129" s="26"/>
      <c r="TI129" s="26"/>
    </row>
    <row r="130" spans="1:529" s="23" customFormat="1" ht="44.25" customHeight="1" x14ac:dyDescent="0.25">
      <c r="A130" s="43"/>
      <c r="B130" s="45"/>
      <c r="C130" s="45"/>
      <c r="D130" s="143" t="s">
        <v>452</v>
      </c>
      <c r="E130" s="144">
        <f t="shared" si="48"/>
        <v>0</v>
      </c>
      <c r="F130" s="144"/>
      <c r="G130" s="144"/>
      <c r="H130" s="144"/>
      <c r="I130" s="144"/>
      <c r="J130" s="144">
        <f t="shared" si="50"/>
        <v>2376052</v>
      </c>
      <c r="K130" s="144">
        <v>2376052</v>
      </c>
      <c r="L130" s="144"/>
      <c r="M130" s="144"/>
      <c r="N130" s="144"/>
      <c r="O130" s="144">
        <v>2376052</v>
      </c>
      <c r="P130" s="144">
        <f t="shared" si="49"/>
        <v>2376052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  <c r="IW130" s="26"/>
      <c r="IX130" s="26"/>
      <c r="IY130" s="26"/>
      <c r="IZ130" s="26"/>
      <c r="JA130" s="26"/>
      <c r="JB130" s="26"/>
      <c r="JC130" s="26"/>
      <c r="JD130" s="26"/>
      <c r="JE130" s="26"/>
      <c r="JF130" s="26"/>
      <c r="JG130" s="26"/>
      <c r="JH130" s="26"/>
      <c r="JI130" s="26"/>
      <c r="JJ130" s="26"/>
      <c r="JK130" s="26"/>
      <c r="JL130" s="26"/>
      <c r="JM130" s="26"/>
      <c r="JN130" s="26"/>
      <c r="JO130" s="26"/>
      <c r="JP130" s="26"/>
      <c r="JQ130" s="26"/>
      <c r="JR130" s="26"/>
      <c r="JS130" s="26"/>
      <c r="JT130" s="26"/>
      <c r="JU130" s="26"/>
      <c r="JV130" s="26"/>
      <c r="JW130" s="26"/>
      <c r="JX130" s="26"/>
      <c r="JY130" s="26"/>
      <c r="JZ130" s="26"/>
      <c r="KA130" s="26"/>
      <c r="KB130" s="26"/>
      <c r="KC130" s="26"/>
      <c r="KD130" s="26"/>
      <c r="KE130" s="26"/>
      <c r="KF130" s="26"/>
      <c r="KG130" s="26"/>
      <c r="KH130" s="26"/>
      <c r="KI130" s="26"/>
      <c r="KJ130" s="26"/>
      <c r="KK130" s="26"/>
      <c r="KL130" s="26"/>
      <c r="KM130" s="26"/>
      <c r="KN130" s="26"/>
      <c r="KO130" s="26"/>
      <c r="KP130" s="26"/>
      <c r="KQ130" s="26"/>
      <c r="KR130" s="26"/>
      <c r="KS130" s="26"/>
      <c r="KT130" s="26"/>
      <c r="KU130" s="26"/>
      <c r="KV130" s="26"/>
      <c r="KW130" s="26"/>
      <c r="KX130" s="26"/>
      <c r="KY130" s="26"/>
      <c r="KZ130" s="26"/>
      <c r="LA130" s="26"/>
      <c r="LB130" s="26"/>
      <c r="LC130" s="26"/>
      <c r="LD130" s="26"/>
      <c r="LE130" s="26"/>
      <c r="LF130" s="26"/>
      <c r="LG130" s="26"/>
      <c r="LH130" s="26"/>
      <c r="LI130" s="26"/>
      <c r="LJ130" s="26"/>
      <c r="LK130" s="26"/>
      <c r="LL130" s="26"/>
      <c r="LM130" s="26"/>
      <c r="LN130" s="26"/>
      <c r="LO130" s="26"/>
      <c r="LP130" s="26"/>
      <c r="LQ130" s="26"/>
      <c r="LR130" s="26"/>
      <c r="LS130" s="26"/>
      <c r="LT130" s="26"/>
      <c r="LU130" s="26"/>
      <c r="LV130" s="26"/>
      <c r="LW130" s="26"/>
      <c r="LX130" s="26"/>
      <c r="LY130" s="26"/>
      <c r="LZ130" s="26"/>
      <c r="MA130" s="26"/>
      <c r="MB130" s="26"/>
      <c r="MC130" s="26"/>
      <c r="MD130" s="26"/>
      <c r="ME130" s="26"/>
      <c r="MF130" s="26"/>
      <c r="MG130" s="26"/>
      <c r="MH130" s="26"/>
      <c r="MI130" s="26"/>
      <c r="MJ130" s="26"/>
      <c r="MK130" s="26"/>
      <c r="ML130" s="26"/>
      <c r="MM130" s="26"/>
      <c r="MN130" s="26"/>
      <c r="MO130" s="26"/>
      <c r="MP130" s="26"/>
      <c r="MQ130" s="26"/>
      <c r="MR130" s="26"/>
      <c r="MS130" s="26"/>
      <c r="MT130" s="26"/>
      <c r="MU130" s="26"/>
      <c r="MV130" s="26"/>
      <c r="MW130" s="26"/>
      <c r="MX130" s="26"/>
      <c r="MY130" s="26"/>
      <c r="MZ130" s="26"/>
      <c r="NA130" s="26"/>
      <c r="NB130" s="26"/>
      <c r="NC130" s="26"/>
      <c r="ND130" s="26"/>
      <c r="NE130" s="26"/>
      <c r="NF130" s="26"/>
      <c r="NG130" s="26"/>
      <c r="NH130" s="26"/>
      <c r="NI130" s="26"/>
      <c r="NJ130" s="26"/>
      <c r="NK130" s="26"/>
      <c r="NL130" s="26"/>
      <c r="NM130" s="26"/>
      <c r="NN130" s="26"/>
      <c r="NO130" s="26"/>
      <c r="NP130" s="26"/>
      <c r="NQ130" s="26"/>
      <c r="NR130" s="26"/>
      <c r="NS130" s="26"/>
      <c r="NT130" s="26"/>
      <c r="NU130" s="26"/>
      <c r="NV130" s="26"/>
      <c r="NW130" s="26"/>
      <c r="NX130" s="26"/>
      <c r="NY130" s="26"/>
      <c r="NZ130" s="26"/>
      <c r="OA130" s="26"/>
      <c r="OB130" s="26"/>
      <c r="OC130" s="26"/>
      <c r="OD130" s="26"/>
      <c r="OE130" s="26"/>
      <c r="OF130" s="26"/>
      <c r="OG130" s="26"/>
      <c r="OH130" s="26"/>
      <c r="OI130" s="26"/>
      <c r="OJ130" s="26"/>
      <c r="OK130" s="26"/>
      <c r="OL130" s="26"/>
      <c r="OM130" s="26"/>
      <c r="ON130" s="26"/>
      <c r="OO130" s="26"/>
      <c r="OP130" s="26"/>
      <c r="OQ130" s="26"/>
      <c r="OR130" s="26"/>
      <c r="OS130" s="26"/>
      <c r="OT130" s="26"/>
      <c r="OU130" s="26"/>
      <c r="OV130" s="26"/>
      <c r="OW130" s="26"/>
      <c r="OX130" s="26"/>
      <c r="OY130" s="26"/>
      <c r="OZ130" s="26"/>
      <c r="PA130" s="26"/>
      <c r="PB130" s="26"/>
      <c r="PC130" s="26"/>
      <c r="PD130" s="26"/>
      <c r="PE130" s="26"/>
      <c r="PF130" s="26"/>
      <c r="PG130" s="26"/>
      <c r="PH130" s="26"/>
      <c r="PI130" s="26"/>
      <c r="PJ130" s="26"/>
      <c r="PK130" s="26"/>
      <c r="PL130" s="26"/>
      <c r="PM130" s="26"/>
      <c r="PN130" s="26"/>
      <c r="PO130" s="26"/>
      <c r="PP130" s="26"/>
      <c r="PQ130" s="26"/>
      <c r="PR130" s="26"/>
      <c r="PS130" s="26"/>
      <c r="PT130" s="26"/>
      <c r="PU130" s="26"/>
      <c r="PV130" s="26"/>
      <c r="PW130" s="26"/>
      <c r="PX130" s="26"/>
      <c r="PY130" s="26"/>
      <c r="PZ130" s="26"/>
      <c r="QA130" s="26"/>
      <c r="QB130" s="26"/>
      <c r="QC130" s="26"/>
      <c r="QD130" s="26"/>
      <c r="QE130" s="26"/>
      <c r="QF130" s="26"/>
      <c r="QG130" s="26"/>
      <c r="QH130" s="26"/>
      <c r="QI130" s="26"/>
      <c r="QJ130" s="26"/>
      <c r="QK130" s="26"/>
      <c r="QL130" s="26"/>
      <c r="QM130" s="26"/>
      <c r="QN130" s="26"/>
      <c r="QO130" s="26"/>
      <c r="QP130" s="26"/>
      <c r="QQ130" s="26"/>
      <c r="QR130" s="26"/>
      <c r="QS130" s="26"/>
      <c r="QT130" s="26"/>
      <c r="QU130" s="26"/>
      <c r="QV130" s="26"/>
      <c r="QW130" s="26"/>
      <c r="QX130" s="26"/>
      <c r="QY130" s="26"/>
      <c r="QZ130" s="26"/>
      <c r="RA130" s="26"/>
      <c r="RB130" s="26"/>
      <c r="RC130" s="26"/>
      <c r="RD130" s="26"/>
      <c r="RE130" s="26"/>
      <c r="RF130" s="26"/>
      <c r="RG130" s="26"/>
      <c r="RH130" s="26"/>
      <c r="RI130" s="26"/>
      <c r="RJ130" s="26"/>
      <c r="RK130" s="26"/>
      <c r="RL130" s="26"/>
      <c r="RM130" s="26"/>
      <c r="RN130" s="26"/>
      <c r="RO130" s="26"/>
      <c r="RP130" s="26"/>
      <c r="RQ130" s="26"/>
      <c r="RR130" s="26"/>
      <c r="RS130" s="26"/>
      <c r="RT130" s="26"/>
      <c r="RU130" s="26"/>
      <c r="RV130" s="26"/>
      <c r="RW130" s="26"/>
      <c r="RX130" s="26"/>
      <c r="RY130" s="26"/>
      <c r="RZ130" s="26"/>
      <c r="SA130" s="26"/>
      <c r="SB130" s="26"/>
      <c r="SC130" s="26"/>
      <c r="SD130" s="26"/>
      <c r="SE130" s="26"/>
      <c r="SF130" s="26"/>
      <c r="SG130" s="26"/>
      <c r="SH130" s="26"/>
      <c r="SI130" s="26"/>
      <c r="SJ130" s="26"/>
      <c r="SK130" s="26"/>
      <c r="SL130" s="26"/>
      <c r="SM130" s="26"/>
      <c r="SN130" s="26"/>
      <c r="SO130" s="26"/>
      <c r="SP130" s="26"/>
      <c r="SQ130" s="26"/>
      <c r="SR130" s="26"/>
      <c r="SS130" s="26"/>
      <c r="ST130" s="26"/>
      <c r="SU130" s="26"/>
      <c r="SV130" s="26"/>
      <c r="SW130" s="26"/>
      <c r="SX130" s="26"/>
      <c r="SY130" s="26"/>
      <c r="SZ130" s="26"/>
      <c r="TA130" s="26"/>
      <c r="TB130" s="26"/>
      <c r="TC130" s="26"/>
      <c r="TD130" s="26"/>
      <c r="TE130" s="26"/>
      <c r="TF130" s="26"/>
      <c r="TG130" s="26"/>
      <c r="TH130" s="26"/>
      <c r="TI130" s="26"/>
    </row>
    <row r="131" spans="1:529" s="23" customFormat="1" ht="18.75" customHeight="1" x14ac:dyDescent="0.25">
      <c r="A131" s="43" t="s">
        <v>190</v>
      </c>
      <c r="B131" s="44" t="str">
        <f>'дод 4'!A163</f>
        <v>7640</v>
      </c>
      <c r="C131" s="44" t="str">
        <f>'дод 4'!B163</f>
        <v>0470</v>
      </c>
      <c r="D131" s="24" t="s">
        <v>506</v>
      </c>
      <c r="E131" s="66">
        <f t="shared" si="48"/>
        <v>199000</v>
      </c>
      <c r="F131" s="66"/>
      <c r="G131" s="66"/>
      <c r="H131" s="66"/>
      <c r="I131" s="66">
        <v>199000</v>
      </c>
      <c r="J131" s="66">
        <f t="shared" si="50"/>
        <v>21233974</v>
      </c>
      <c r="K131" s="66">
        <f>17559604+14714700-6500000+1200000-1100000+9670-1500000-2400000-750000</f>
        <v>21233974</v>
      </c>
      <c r="L131" s="66"/>
      <c r="M131" s="66"/>
      <c r="N131" s="66"/>
      <c r="O131" s="66">
        <f>17559604+14714700-6500000+1200000-1100000+9670-1500000-2400000-750000</f>
        <v>21233974</v>
      </c>
      <c r="P131" s="66">
        <f t="shared" si="49"/>
        <v>21432974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  <c r="IW131" s="26"/>
      <c r="IX131" s="26"/>
      <c r="IY131" s="26"/>
      <c r="IZ131" s="26"/>
      <c r="JA131" s="26"/>
      <c r="JB131" s="26"/>
      <c r="JC131" s="26"/>
      <c r="JD131" s="26"/>
      <c r="JE131" s="26"/>
      <c r="JF131" s="26"/>
      <c r="JG131" s="26"/>
      <c r="JH131" s="26"/>
      <c r="JI131" s="26"/>
      <c r="JJ131" s="26"/>
      <c r="JK131" s="26"/>
      <c r="JL131" s="26"/>
      <c r="JM131" s="26"/>
      <c r="JN131" s="26"/>
      <c r="JO131" s="26"/>
      <c r="JP131" s="26"/>
      <c r="JQ131" s="26"/>
      <c r="JR131" s="26"/>
      <c r="JS131" s="26"/>
      <c r="JT131" s="26"/>
      <c r="JU131" s="26"/>
      <c r="JV131" s="26"/>
      <c r="JW131" s="26"/>
      <c r="JX131" s="26"/>
      <c r="JY131" s="26"/>
      <c r="JZ131" s="26"/>
      <c r="KA131" s="26"/>
      <c r="KB131" s="26"/>
      <c r="KC131" s="26"/>
      <c r="KD131" s="26"/>
      <c r="KE131" s="26"/>
      <c r="KF131" s="26"/>
      <c r="KG131" s="26"/>
      <c r="KH131" s="26"/>
      <c r="KI131" s="26"/>
      <c r="KJ131" s="26"/>
      <c r="KK131" s="26"/>
      <c r="KL131" s="26"/>
      <c r="KM131" s="26"/>
      <c r="KN131" s="26"/>
      <c r="KO131" s="26"/>
      <c r="KP131" s="26"/>
      <c r="KQ131" s="26"/>
      <c r="KR131" s="26"/>
      <c r="KS131" s="26"/>
      <c r="KT131" s="26"/>
      <c r="KU131" s="26"/>
      <c r="KV131" s="26"/>
      <c r="KW131" s="26"/>
      <c r="KX131" s="26"/>
      <c r="KY131" s="26"/>
      <c r="KZ131" s="26"/>
      <c r="LA131" s="26"/>
      <c r="LB131" s="26"/>
      <c r="LC131" s="26"/>
      <c r="LD131" s="26"/>
      <c r="LE131" s="26"/>
      <c r="LF131" s="26"/>
      <c r="LG131" s="26"/>
      <c r="LH131" s="26"/>
      <c r="LI131" s="26"/>
      <c r="LJ131" s="26"/>
      <c r="LK131" s="26"/>
      <c r="LL131" s="26"/>
      <c r="LM131" s="26"/>
      <c r="LN131" s="26"/>
      <c r="LO131" s="26"/>
      <c r="LP131" s="26"/>
      <c r="LQ131" s="26"/>
      <c r="LR131" s="26"/>
      <c r="LS131" s="26"/>
      <c r="LT131" s="26"/>
      <c r="LU131" s="26"/>
      <c r="LV131" s="26"/>
      <c r="LW131" s="26"/>
      <c r="LX131" s="26"/>
      <c r="LY131" s="26"/>
      <c r="LZ131" s="26"/>
      <c r="MA131" s="26"/>
      <c r="MB131" s="26"/>
      <c r="MC131" s="26"/>
      <c r="MD131" s="26"/>
      <c r="ME131" s="26"/>
      <c r="MF131" s="26"/>
      <c r="MG131" s="26"/>
      <c r="MH131" s="26"/>
      <c r="MI131" s="26"/>
      <c r="MJ131" s="26"/>
      <c r="MK131" s="26"/>
      <c r="ML131" s="26"/>
      <c r="MM131" s="26"/>
      <c r="MN131" s="26"/>
      <c r="MO131" s="26"/>
      <c r="MP131" s="26"/>
      <c r="MQ131" s="26"/>
      <c r="MR131" s="26"/>
      <c r="MS131" s="26"/>
      <c r="MT131" s="26"/>
      <c r="MU131" s="26"/>
      <c r="MV131" s="26"/>
      <c r="MW131" s="26"/>
      <c r="MX131" s="26"/>
      <c r="MY131" s="26"/>
      <c r="MZ131" s="26"/>
      <c r="NA131" s="26"/>
      <c r="NB131" s="26"/>
      <c r="NC131" s="26"/>
      <c r="ND131" s="26"/>
      <c r="NE131" s="26"/>
      <c r="NF131" s="26"/>
      <c r="NG131" s="26"/>
      <c r="NH131" s="26"/>
      <c r="NI131" s="26"/>
      <c r="NJ131" s="26"/>
      <c r="NK131" s="26"/>
      <c r="NL131" s="26"/>
      <c r="NM131" s="26"/>
      <c r="NN131" s="26"/>
      <c r="NO131" s="26"/>
      <c r="NP131" s="26"/>
      <c r="NQ131" s="26"/>
      <c r="NR131" s="26"/>
      <c r="NS131" s="26"/>
      <c r="NT131" s="26"/>
      <c r="NU131" s="26"/>
      <c r="NV131" s="26"/>
      <c r="NW131" s="26"/>
      <c r="NX131" s="26"/>
      <c r="NY131" s="26"/>
      <c r="NZ131" s="26"/>
      <c r="OA131" s="26"/>
      <c r="OB131" s="26"/>
      <c r="OC131" s="26"/>
      <c r="OD131" s="26"/>
      <c r="OE131" s="26"/>
      <c r="OF131" s="26"/>
      <c r="OG131" s="26"/>
      <c r="OH131" s="26"/>
      <c r="OI131" s="26"/>
      <c r="OJ131" s="26"/>
      <c r="OK131" s="26"/>
      <c r="OL131" s="26"/>
      <c r="OM131" s="26"/>
      <c r="ON131" s="26"/>
      <c r="OO131" s="26"/>
      <c r="OP131" s="26"/>
      <c r="OQ131" s="26"/>
      <c r="OR131" s="26"/>
      <c r="OS131" s="26"/>
      <c r="OT131" s="26"/>
      <c r="OU131" s="26"/>
      <c r="OV131" s="26"/>
      <c r="OW131" s="26"/>
      <c r="OX131" s="26"/>
      <c r="OY131" s="26"/>
      <c r="OZ131" s="26"/>
      <c r="PA131" s="26"/>
      <c r="PB131" s="26"/>
      <c r="PC131" s="26"/>
      <c r="PD131" s="26"/>
      <c r="PE131" s="26"/>
      <c r="PF131" s="26"/>
      <c r="PG131" s="26"/>
      <c r="PH131" s="26"/>
      <c r="PI131" s="26"/>
      <c r="PJ131" s="26"/>
      <c r="PK131" s="26"/>
      <c r="PL131" s="26"/>
      <c r="PM131" s="26"/>
      <c r="PN131" s="26"/>
      <c r="PO131" s="26"/>
      <c r="PP131" s="26"/>
      <c r="PQ131" s="26"/>
      <c r="PR131" s="26"/>
      <c r="PS131" s="26"/>
      <c r="PT131" s="26"/>
      <c r="PU131" s="26"/>
      <c r="PV131" s="26"/>
      <c r="PW131" s="26"/>
      <c r="PX131" s="26"/>
      <c r="PY131" s="26"/>
      <c r="PZ131" s="26"/>
      <c r="QA131" s="26"/>
      <c r="QB131" s="26"/>
      <c r="QC131" s="26"/>
      <c r="QD131" s="26"/>
      <c r="QE131" s="26"/>
      <c r="QF131" s="26"/>
      <c r="QG131" s="26"/>
      <c r="QH131" s="26"/>
      <c r="QI131" s="26"/>
      <c r="QJ131" s="26"/>
      <c r="QK131" s="26"/>
      <c r="QL131" s="26"/>
      <c r="QM131" s="26"/>
      <c r="QN131" s="26"/>
      <c r="QO131" s="26"/>
      <c r="QP131" s="26"/>
      <c r="QQ131" s="26"/>
      <c r="QR131" s="26"/>
      <c r="QS131" s="26"/>
      <c r="QT131" s="26"/>
      <c r="QU131" s="26"/>
      <c r="QV131" s="26"/>
      <c r="QW131" s="26"/>
      <c r="QX131" s="26"/>
      <c r="QY131" s="26"/>
      <c r="QZ131" s="26"/>
      <c r="RA131" s="26"/>
      <c r="RB131" s="26"/>
      <c r="RC131" s="26"/>
      <c r="RD131" s="26"/>
      <c r="RE131" s="26"/>
      <c r="RF131" s="26"/>
      <c r="RG131" s="26"/>
      <c r="RH131" s="26"/>
      <c r="RI131" s="26"/>
      <c r="RJ131" s="26"/>
      <c r="RK131" s="26"/>
      <c r="RL131" s="26"/>
      <c r="RM131" s="26"/>
      <c r="RN131" s="26"/>
      <c r="RO131" s="26"/>
      <c r="RP131" s="26"/>
      <c r="RQ131" s="26"/>
      <c r="RR131" s="26"/>
      <c r="RS131" s="26"/>
      <c r="RT131" s="26"/>
      <c r="RU131" s="26"/>
      <c r="RV131" s="26"/>
      <c r="RW131" s="26"/>
      <c r="RX131" s="26"/>
      <c r="RY131" s="26"/>
      <c r="RZ131" s="26"/>
      <c r="SA131" s="26"/>
      <c r="SB131" s="26"/>
      <c r="SC131" s="26"/>
      <c r="SD131" s="26"/>
      <c r="SE131" s="26"/>
      <c r="SF131" s="26"/>
      <c r="SG131" s="26"/>
      <c r="SH131" s="26"/>
      <c r="SI131" s="26"/>
      <c r="SJ131" s="26"/>
      <c r="SK131" s="26"/>
      <c r="SL131" s="26"/>
      <c r="SM131" s="26"/>
      <c r="SN131" s="26"/>
      <c r="SO131" s="26"/>
      <c r="SP131" s="26"/>
      <c r="SQ131" s="26"/>
      <c r="SR131" s="26"/>
      <c r="SS131" s="26"/>
      <c r="ST131" s="26"/>
      <c r="SU131" s="26"/>
      <c r="SV131" s="26"/>
      <c r="SW131" s="26"/>
      <c r="SX131" s="26"/>
      <c r="SY131" s="26"/>
      <c r="SZ131" s="26"/>
      <c r="TA131" s="26"/>
      <c r="TB131" s="26"/>
      <c r="TC131" s="26"/>
      <c r="TD131" s="26"/>
      <c r="TE131" s="26"/>
      <c r="TF131" s="26"/>
      <c r="TG131" s="26"/>
      <c r="TH131" s="26"/>
      <c r="TI131" s="26"/>
    </row>
    <row r="132" spans="1:529" s="27" customFormat="1" x14ac:dyDescent="0.25">
      <c r="A132" s="145"/>
      <c r="B132" s="146"/>
      <c r="C132" s="146"/>
      <c r="D132" s="149" t="s">
        <v>507</v>
      </c>
      <c r="E132" s="144">
        <f t="shared" si="48"/>
        <v>0</v>
      </c>
      <c r="F132" s="144"/>
      <c r="G132" s="144"/>
      <c r="H132" s="144"/>
      <c r="I132" s="144"/>
      <c r="J132" s="144">
        <f t="shared" si="50"/>
        <v>14714700</v>
      </c>
      <c r="K132" s="144">
        <v>14714700</v>
      </c>
      <c r="L132" s="144"/>
      <c r="M132" s="144"/>
      <c r="N132" s="144"/>
      <c r="O132" s="144">
        <v>14714700</v>
      </c>
      <c r="P132" s="144">
        <f t="shared" si="49"/>
        <v>14714700</v>
      </c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  <c r="IM132" s="36"/>
      <c r="IN132" s="36"/>
      <c r="IO132" s="36"/>
      <c r="IP132" s="36"/>
      <c r="IQ132" s="36"/>
      <c r="IR132" s="36"/>
      <c r="IS132" s="36"/>
      <c r="IT132" s="36"/>
      <c r="IU132" s="36"/>
      <c r="IV132" s="36"/>
      <c r="IW132" s="36"/>
      <c r="IX132" s="36"/>
      <c r="IY132" s="36"/>
      <c r="IZ132" s="36"/>
      <c r="JA132" s="36"/>
      <c r="JB132" s="36"/>
      <c r="JC132" s="36"/>
      <c r="JD132" s="36"/>
      <c r="JE132" s="36"/>
      <c r="JF132" s="36"/>
      <c r="JG132" s="36"/>
      <c r="JH132" s="36"/>
      <c r="JI132" s="36"/>
      <c r="JJ132" s="36"/>
      <c r="JK132" s="36"/>
      <c r="JL132" s="36"/>
      <c r="JM132" s="36"/>
      <c r="JN132" s="36"/>
      <c r="JO132" s="36"/>
      <c r="JP132" s="36"/>
      <c r="JQ132" s="36"/>
      <c r="JR132" s="36"/>
      <c r="JS132" s="36"/>
      <c r="JT132" s="36"/>
      <c r="JU132" s="36"/>
      <c r="JV132" s="36"/>
      <c r="JW132" s="36"/>
      <c r="JX132" s="36"/>
      <c r="JY132" s="36"/>
      <c r="JZ132" s="36"/>
      <c r="KA132" s="36"/>
      <c r="KB132" s="36"/>
      <c r="KC132" s="36"/>
      <c r="KD132" s="36"/>
      <c r="KE132" s="36"/>
      <c r="KF132" s="36"/>
      <c r="KG132" s="36"/>
      <c r="KH132" s="36"/>
      <c r="KI132" s="36"/>
      <c r="KJ132" s="36"/>
      <c r="KK132" s="36"/>
      <c r="KL132" s="36"/>
      <c r="KM132" s="36"/>
      <c r="KN132" s="36"/>
      <c r="KO132" s="36"/>
      <c r="KP132" s="36"/>
      <c r="KQ132" s="36"/>
      <c r="KR132" s="36"/>
      <c r="KS132" s="36"/>
      <c r="KT132" s="36"/>
      <c r="KU132" s="36"/>
      <c r="KV132" s="36"/>
      <c r="KW132" s="36"/>
      <c r="KX132" s="36"/>
      <c r="KY132" s="36"/>
      <c r="KZ132" s="36"/>
      <c r="LA132" s="36"/>
      <c r="LB132" s="36"/>
      <c r="LC132" s="36"/>
      <c r="LD132" s="36"/>
      <c r="LE132" s="36"/>
      <c r="LF132" s="36"/>
      <c r="LG132" s="36"/>
      <c r="LH132" s="36"/>
      <c r="LI132" s="36"/>
      <c r="LJ132" s="36"/>
      <c r="LK132" s="36"/>
      <c r="LL132" s="36"/>
      <c r="LM132" s="36"/>
      <c r="LN132" s="36"/>
      <c r="LO132" s="36"/>
      <c r="LP132" s="36"/>
      <c r="LQ132" s="36"/>
      <c r="LR132" s="36"/>
      <c r="LS132" s="36"/>
      <c r="LT132" s="36"/>
      <c r="LU132" s="36"/>
      <c r="LV132" s="36"/>
      <c r="LW132" s="36"/>
      <c r="LX132" s="36"/>
      <c r="LY132" s="36"/>
      <c r="LZ132" s="36"/>
      <c r="MA132" s="36"/>
      <c r="MB132" s="36"/>
      <c r="MC132" s="36"/>
      <c r="MD132" s="36"/>
      <c r="ME132" s="36"/>
      <c r="MF132" s="36"/>
      <c r="MG132" s="36"/>
      <c r="MH132" s="36"/>
      <c r="MI132" s="36"/>
      <c r="MJ132" s="36"/>
      <c r="MK132" s="36"/>
      <c r="ML132" s="36"/>
      <c r="MM132" s="36"/>
      <c r="MN132" s="36"/>
      <c r="MO132" s="36"/>
      <c r="MP132" s="36"/>
      <c r="MQ132" s="36"/>
      <c r="MR132" s="36"/>
      <c r="MS132" s="36"/>
      <c r="MT132" s="36"/>
      <c r="MU132" s="36"/>
      <c r="MV132" s="36"/>
      <c r="MW132" s="36"/>
      <c r="MX132" s="36"/>
      <c r="MY132" s="36"/>
      <c r="MZ132" s="36"/>
      <c r="NA132" s="36"/>
      <c r="NB132" s="36"/>
      <c r="NC132" s="36"/>
      <c r="ND132" s="36"/>
      <c r="NE132" s="36"/>
      <c r="NF132" s="36"/>
      <c r="NG132" s="36"/>
      <c r="NH132" s="36"/>
      <c r="NI132" s="36"/>
      <c r="NJ132" s="36"/>
      <c r="NK132" s="36"/>
      <c r="NL132" s="36"/>
      <c r="NM132" s="36"/>
      <c r="NN132" s="36"/>
      <c r="NO132" s="36"/>
      <c r="NP132" s="36"/>
      <c r="NQ132" s="36"/>
      <c r="NR132" s="36"/>
      <c r="NS132" s="36"/>
      <c r="NT132" s="36"/>
      <c r="NU132" s="36"/>
      <c r="NV132" s="36"/>
      <c r="NW132" s="36"/>
      <c r="NX132" s="36"/>
      <c r="NY132" s="36"/>
      <c r="NZ132" s="36"/>
      <c r="OA132" s="36"/>
      <c r="OB132" s="36"/>
      <c r="OC132" s="36"/>
      <c r="OD132" s="36"/>
      <c r="OE132" s="36"/>
      <c r="OF132" s="36"/>
      <c r="OG132" s="36"/>
      <c r="OH132" s="36"/>
      <c r="OI132" s="36"/>
      <c r="OJ132" s="36"/>
      <c r="OK132" s="36"/>
      <c r="OL132" s="36"/>
      <c r="OM132" s="36"/>
      <c r="ON132" s="36"/>
      <c r="OO132" s="36"/>
      <c r="OP132" s="36"/>
      <c r="OQ132" s="36"/>
      <c r="OR132" s="36"/>
      <c r="OS132" s="36"/>
      <c r="OT132" s="36"/>
      <c r="OU132" s="36"/>
      <c r="OV132" s="36"/>
      <c r="OW132" s="36"/>
      <c r="OX132" s="36"/>
      <c r="OY132" s="36"/>
      <c r="OZ132" s="36"/>
      <c r="PA132" s="36"/>
      <c r="PB132" s="36"/>
      <c r="PC132" s="36"/>
      <c r="PD132" s="36"/>
      <c r="PE132" s="36"/>
      <c r="PF132" s="36"/>
      <c r="PG132" s="36"/>
      <c r="PH132" s="36"/>
      <c r="PI132" s="36"/>
      <c r="PJ132" s="36"/>
      <c r="PK132" s="36"/>
      <c r="PL132" s="36"/>
      <c r="PM132" s="36"/>
      <c r="PN132" s="36"/>
      <c r="PO132" s="36"/>
      <c r="PP132" s="36"/>
      <c r="PQ132" s="36"/>
      <c r="PR132" s="36"/>
      <c r="PS132" s="36"/>
      <c r="PT132" s="36"/>
      <c r="PU132" s="36"/>
      <c r="PV132" s="36"/>
      <c r="PW132" s="36"/>
      <c r="PX132" s="36"/>
      <c r="PY132" s="36"/>
      <c r="PZ132" s="36"/>
      <c r="QA132" s="36"/>
      <c r="QB132" s="36"/>
      <c r="QC132" s="36"/>
      <c r="QD132" s="36"/>
      <c r="QE132" s="36"/>
      <c r="QF132" s="36"/>
      <c r="QG132" s="36"/>
      <c r="QH132" s="36"/>
      <c r="QI132" s="36"/>
      <c r="QJ132" s="36"/>
      <c r="QK132" s="36"/>
      <c r="QL132" s="36"/>
      <c r="QM132" s="36"/>
      <c r="QN132" s="36"/>
      <c r="QO132" s="36"/>
      <c r="QP132" s="36"/>
      <c r="QQ132" s="36"/>
      <c r="QR132" s="36"/>
      <c r="QS132" s="36"/>
      <c r="QT132" s="36"/>
      <c r="QU132" s="36"/>
      <c r="QV132" s="36"/>
      <c r="QW132" s="36"/>
      <c r="QX132" s="36"/>
      <c r="QY132" s="36"/>
      <c r="QZ132" s="36"/>
      <c r="RA132" s="36"/>
      <c r="RB132" s="36"/>
      <c r="RC132" s="36"/>
      <c r="RD132" s="36"/>
      <c r="RE132" s="36"/>
      <c r="RF132" s="36"/>
      <c r="RG132" s="36"/>
      <c r="RH132" s="36"/>
      <c r="RI132" s="36"/>
      <c r="RJ132" s="36"/>
      <c r="RK132" s="36"/>
      <c r="RL132" s="36"/>
      <c r="RM132" s="36"/>
      <c r="RN132" s="36"/>
      <c r="RO132" s="36"/>
      <c r="RP132" s="36"/>
      <c r="RQ132" s="36"/>
      <c r="RR132" s="36"/>
      <c r="RS132" s="36"/>
      <c r="RT132" s="36"/>
      <c r="RU132" s="36"/>
      <c r="RV132" s="36"/>
      <c r="RW132" s="36"/>
      <c r="RX132" s="36"/>
      <c r="RY132" s="36"/>
      <c r="RZ132" s="36"/>
      <c r="SA132" s="36"/>
      <c r="SB132" s="36"/>
      <c r="SC132" s="36"/>
      <c r="SD132" s="36"/>
      <c r="SE132" s="36"/>
      <c r="SF132" s="36"/>
      <c r="SG132" s="36"/>
      <c r="SH132" s="36"/>
      <c r="SI132" s="36"/>
      <c r="SJ132" s="36"/>
      <c r="SK132" s="36"/>
      <c r="SL132" s="36"/>
      <c r="SM132" s="36"/>
      <c r="SN132" s="36"/>
      <c r="SO132" s="36"/>
      <c r="SP132" s="36"/>
      <c r="SQ132" s="36"/>
      <c r="SR132" s="36"/>
      <c r="SS132" s="36"/>
      <c r="ST132" s="36"/>
      <c r="SU132" s="36"/>
      <c r="SV132" s="36"/>
      <c r="SW132" s="36"/>
      <c r="SX132" s="36"/>
      <c r="SY132" s="36"/>
      <c r="SZ132" s="36"/>
      <c r="TA132" s="36"/>
      <c r="TB132" s="36"/>
      <c r="TC132" s="36"/>
      <c r="TD132" s="36"/>
      <c r="TE132" s="36"/>
      <c r="TF132" s="36"/>
      <c r="TG132" s="36"/>
      <c r="TH132" s="36"/>
      <c r="TI132" s="36"/>
    </row>
    <row r="133" spans="1:529" s="23" customFormat="1" ht="45" customHeight="1" x14ac:dyDescent="0.25">
      <c r="A133" s="43" t="s">
        <v>399</v>
      </c>
      <c r="B133" s="44">
        <v>7700</v>
      </c>
      <c r="C133" s="43" t="s">
        <v>100</v>
      </c>
      <c r="D133" s="24" t="s">
        <v>400</v>
      </c>
      <c r="E133" s="66">
        <f t="shared" si="48"/>
        <v>0</v>
      </c>
      <c r="F133" s="66"/>
      <c r="G133" s="66"/>
      <c r="H133" s="66"/>
      <c r="I133" s="66"/>
      <c r="J133" s="66">
        <f t="shared" si="50"/>
        <v>885000</v>
      </c>
      <c r="K133" s="66"/>
      <c r="L133" s="66"/>
      <c r="M133" s="66"/>
      <c r="N133" s="66"/>
      <c r="O133" s="66">
        <v>885000</v>
      </c>
      <c r="P133" s="66">
        <f t="shared" si="49"/>
        <v>885000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  <c r="IW133" s="26"/>
      <c r="IX133" s="26"/>
      <c r="IY133" s="26"/>
      <c r="IZ133" s="26"/>
      <c r="JA133" s="26"/>
      <c r="JB133" s="26"/>
      <c r="JC133" s="26"/>
      <c r="JD133" s="26"/>
      <c r="JE133" s="26"/>
      <c r="JF133" s="26"/>
      <c r="JG133" s="26"/>
      <c r="JH133" s="26"/>
      <c r="JI133" s="26"/>
      <c r="JJ133" s="26"/>
      <c r="JK133" s="26"/>
      <c r="JL133" s="26"/>
      <c r="JM133" s="26"/>
      <c r="JN133" s="26"/>
      <c r="JO133" s="26"/>
      <c r="JP133" s="26"/>
      <c r="JQ133" s="26"/>
      <c r="JR133" s="26"/>
      <c r="JS133" s="26"/>
      <c r="JT133" s="26"/>
      <c r="JU133" s="26"/>
      <c r="JV133" s="26"/>
      <c r="JW133" s="26"/>
      <c r="JX133" s="26"/>
      <c r="JY133" s="26"/>
      <c r="JZ133" s="26"/>
      <c r="KA133" s="26"/>
      <c r="KB133" s="26"/>
      <c r="KC133" s="26"/>
      <c r="KD133" s="26"/>
      <c r="KE133" s="26"/>
      <c r="KF133" s="26"/>
      <c r="KG133" s="26"/>
      <c r="KH133" s="26"/>
      <c r="KI133" s="26"/>
      <c r="KJ133" s="26"/>
      <c r="KK133" s="26"/>
      <c r="KL133" s="26"/>
      <c r="KM133" s="26"/>
      <c r="KN133" s="26"/>
      <c r="KO133" s="26"/>
      <c r="KP133" s="26"/>
      <c r="KQ133" s="26"/>
      <c r="KR133" s="26"/>
      <c r="KS133" s="26"/>
      <c r="KT133" s="26"/>
      <c r="KU133" s="26"/>
      <c r="KV133" s="26"/>
      <c r="KW133" s="26"/>
      <c r="KX133" s="26"/>
      <c r="KY133" s="26"/>
      <c r="KZ133" s="26"/>
      <c r="LA133" s="26"/>
      <c r="LB133" s="26"/>
      <c r="LC133" s="26"/>
      <c r="LD133" s="26"/>
      <c r="LE133" s="26"/>
      <c r="LF133" s="26"/>
      <c r="LG133" s="26"/>
      <c r="LH133" s="26"/>
      <c r="LI133" s="26"/>
      <c r="LJ133" s="26"/>
      <c r="LK133" s="26"/>
      <c r="LL133" s="26"/>
      <c r="LM133" s="26"/>
      <c r="LN133" s="26"/>
      <c r="LO133" s="26"/>
      <c r="LP133" s="26"/>
      <c r="LQ133" s="26"/>
      <c r="LR133" s="26"/>
      <c r="LS133" s="26"/>
      <c r="LT133" s="26"/>
      <c r="LU133" s="26"/>
      <c r="LV133" s="26"/>
      <c r="LW133" s="26"/>
      <c r="LX133" s="26"/>
      <c r="LY133" s="26"/>
      <c r="LZ133" s="26"/>
      <c r="MA133" s="26"/>
      <c r="MB133" s="26"/>
      <c r="MC133" s="26"/>
      <c r="MD133" s="26"/>
      <c r="ME133" s="26"/>
      <c r="MF133" s="26"/>
      <c r="MG133" s="26"/>
      <c r="MH133" s="26"/>
      <c r="MI133" s="26"/>
      <c r="MJ133" s="26"/>
      <c r="MK133" s="26"/>
      <c r="ML133" s="26"/>
      <c r="MM133" s="26"/>
      <c r="MN133" s="26"/>
      <c r="MO133" s="26"/>
      <c r="MP133" s="26"/>
      <c r="MQ133" s="26"/>
      <c r="MR133" s="26"/>
      <c r="MS133" s="26"/>
      <c r="MT133" s="26"/>
      <c r="MU133" s="26"/>
      <c r="MV133" s="26"/>
      <c r="MW133" s="26"/>
      <c r="MX133" s="26"/>
      <c r="MY133" s="26"/>
      <c r="MZ133" s="26"/>
      <c r="NA133" s="26"/>
      <c r="NB133" s="26"/>
      <c r="NC133" s="26"/>
      <c r="ND133" s="26"/>
      <c r="NE133" s="26"/>
      <c r="NF133" s="26"/>
      <c r="NG133" s="26"/>
      <c r="NH133" s="26"/>
      <c r="NI133" s="26"/>
      <c r="NJ133" s="26"/>
      <c r="NK133" s="26"/>
      <c r="NL133" s="26"/>
      <c r="NM133" s="26"/>
      <c r="NN133" s="26"/>
      <c r="NO133" s="26"/>
      <c r="NP133" s="26"/>
      <c r="NQ133" s="26"/>
      <c r="NR133" s="26"/>
      <c r="NS133" s="26"/>
      <c r="NT133" s="26"/>
      <c r="NU133" s="26"/>
      <c r="NV133" s="26"/>
      <c r="NW133" s="26"/>
      <c r="NX133" s="26"/>
      <c r="NY133" s="26"/>
      <c r="NZ133" s="26"/>
      <c r="OA133" s="26"/>
      <c r="OB133" s="26"/>
      <c r="OC133" s="26"/>
      <c r="OD133" s="26"/>
      <c r="OE133" s="26"/>
      <c r="OF133" s="26"/>
      <c r="OG133" s="26"/>
      <c r="OH133" s="26"/>
      <c r="OI133" s="26"/>
      <c r="OJ133" s="26"/>
      <c r="OK133" s="26"/>
      <c r="OL133" s="26"/>
      <c r="OM133" s="26"/>
      <c r="ON133" s="26"/>
      <c r="OO133" s="26"/>
      <c r="OP133" s="26"/>
      <c r="OQ133" s="26"/>
      <c r="OR133" s="26"/>
      <c r="OS133" s="26"/>
      <c r="OT133" s="26"/>
      <c r="OU133" s="26"/>
      <c r="OV133" s="26"/>
      <c r="OW133" s="26"/>
      <c r="OX133" s="26"/>
      <c r="OY133" s="26"/>
      <c r="OZ133" s="26"/>
      <c r="PA133" s="26"/>
      <c r="PB133" s="26"/>
      <c r="PC133" s="26"/>
      <c r="PD133" s="26"/>
      <c r="PE133" s="26"/>
      <c r="PF133" s="26"/>
      <c r="PG133" s="26"/>
      <c r="PH133" s="26"/>
      <c r="PI133" s="26"/>
      <c r="PJ133" s="26"/>
      <c r="PK133" s="26"/>
      <c r="PL133" s="26"/>
      <c r="PM133" s="26"/>
      <c r="PN133" s="26"/>
      <c r="PO133" s="26"/>
      <c r="PP133" s="26"/>
      <c r="PQ133" s="26"/>
      <c r="PR133" s="26"/>
      <c r="PS133" s="26"/>
      <c r="PT133" s="26"/>
      <c r="PU133" s="26"/>
      <c r="PV133" s="26"/>
      <c r="PW133" s="26"/>
      <c r="PX133" s="26"/>
      <c r="PY133" s="26"/>
      <c r="PZ133" s="26"/>
      <c r="QA133" s="26"/>
      <c r="QB133" s="26"/>
      <c r="QC133" s="26"/>
      <c r="QD133" s="26"/>
      <c r="QE133" s="26"/>
      <c r="QF133" s="26"/>
      <c r="QG133" s="26"/>
      <c r="QH133" s="26"/>
      <c r="QI133" s="26"/>
      <c r="QJ133" s="26"/>
      <c r="QK133" s="26"/>
      <c r="QL133" s="26"/>
      <c r="QM133" s="26"/>
      <c r="QN133" s="26"/>
      <c r="QO133" s="26"/>
      <c r="QP133" s="26"/>
      <c r="QQ133" s="26"/>
      <c r="QR133" s="26"/>
      <c r="QS133" s="26"/>
      <c r="QT133" s="26"/>
      <c r="QU133" s="26"/>
      <c r="QV133" s="26"/>
      <c r="QW133" s="26"/>
      <c r="QX133" s="26"/>
      <c r="QY133" s="26"/>
      <c r="QZ133" s="26"/>
      <c r="RA133" s="26"/>
      <c r="RB133" s="26"/>
      <c r="RC133" s="26"/>
      <c r="RD133" s="26"/>
      <c r="RE133" s="26"/>
      <c r="RF133" s="26"/>
      <c r="RG133" s="26"/>
      <c r="RH133" s="26"/>
      <c r="RI133" s="26"/>
      <c r="RJ133" s="26"/>
      <c r="RK133" s="26"/>
      <c r="RL133" s="26"/>
      <c r="RM133" s="26"/>
      <c r="RN133" s="26"/>
      <c r="RO133" s="26"/>
      <c r="RP133" s="26"/>
      <c r="RQ133" s="26"/>
      <c r="RR133" s="26"/>
      <c r="RS133" s="26"/>
      <c r="RT133" s="26"/>
      <c r="RU133" s="26"/>
      <c r="RV133" s="26"/>
      <c r="RW133" s="26"/>
      <c r="RX133" s="26"/>
      <c r="RY133" s="26"/>
      <c r="RZ133" s="26"/>
      <c r="SA133" s="26"/>
      <c r="SB133" s="26"/>
      <c r="SC133" s="26"/>
      <c r="SD133" s="26"/>
      <c r="SE133" s="26"/>
      <c r="SF133" s="26"/>
      <c r="SG133" s="26"/>
      <c r="SH133" s="26"/>
      <c r="SI133" s="26"/>
      <c r="SJ133" s="26"/>
      <c r="SK133" s="26"/>
      <c r="SL133" s="26"/>
      <c r="SM133" s="26"/>
      <c r="SN133" s="26"/>
      <c r="SO133" s="26"/>
      <c r="SP133" s="26"/>
      <c r="SQ133" s="26"/>
      <c r="SR133" s="26"/>
      <c r="SS133" s="26"/>
      <c r="ST133" s="26"/>
      <c r="SU133" s="26"/>
      <c r="SV133" s="26"/>
      <c r="SW133" s="26"/>
      <c r="SX133" s="26"/>
      <c r="SY133" s="26"/>
      <c r="SZ133" s="26"/>
      <c r="TA133" s="26"/>
      <c r="TB133" s="26"/>
      <c r="TC133" s="26"/>
      <c r="TD133" s="26"/>
      <c r="TE133" s="26"/>
      <c r="TF133" s="26"/>
      <c r="TG133" s="26"/>
      <c r="TH133" s="26"/>
      <c r="TI133" s="26"/>
    </row>
    <row r="134" spans="1:529" s="31" customFormat="1" ht="36" customHeight="1" x14ac:dyDescent="0.2">
      <c r="A134" s="178" t="s">
        <v>195</v>
      </c>
      <c r="B134" s="71"/>
      <c r="C134" s="71"/>
      <c r="D134" s="30" t="s">
        <v>42</v>
      </c>
      <c r="E134" s="63">
        <f>E135</f>
        <v>161300485.40000001</v>
      </c>
      <c r="F134" s="63">
        <f t="shared" ref="F134:J134" si="51">F135</f>
        <v>161300485.40000001</v>
      </c>
      <c r="G134" s="63">
        <f t="shared" si="51"/>
        <v>55494025</v>
      </c>
      <c r="H134" s="63">
        <f t="shared" si="51"/>
        <v>1564490</v>
      </c>
      <c r="I134" s="63">
        <f t="shared" si="51"/>
        <v>0</v>
      </c>
      <c r="J134" s="63">
        <f t="shared" si="51"/>
        <v>1274940</v>
      </c>
      <c r="K134" s="63">
        <f t="shared" ref="K134" si="52">K135</f>
        <v>1166840</v>
      </c>
      <c r="L134" s="63">
        <f t="shared" ref="L134" si="53">L135</f>
        <v>108100</v>
      </c>
      <c r="M134" s="63">
        <f t="shared" ref="M134" si="54">M135</f>
        <v>85100</v>
      </c>
      <c r="N134" s="63">
        <f t="shared" ref="N134" si="55">N135</f>
        <v>0</v>
      </c>
      <c r="O134" s="63">
        <f t="shared" ref="O134:P134" si="56">O135</f>
        <v>1166840</v>
      </c>
      <c r="P134" s="63">
        <f t="shared" si="56"/>
        <v>162575425.40000001</v>
      </c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  <c r="IV134" s="38"/>
      <c r="IW134" s="38"/>
      <c r="IX134" s="38"/>
      <c r="IY134" s="38"/>
      <c r="IZ134" s="38"/>
      <c r="JA134" s="38"/>
      <c r="JB134" s="38"/>
      <c r="JC134" s="38"/>
      <c r="JD134" s="38"/>
      <c r="JE134" s="38"/>
      <c r="JF134" s="38"/>
      <c r="JG134" s="38"/>
      <c r="JH134" s="38"/>
      <c r="JI134" s="38"/>
      <c r="JJ134" s="38"/>
      <c r="JK134" s="38"/>
      <c r="JL134" s="38"/>
      <c r="JM134" s="38"/>
      <c r="JN134" s="38"/>
      <c r="JO134" s="38"/>
      <c r="JP134" s="38"/>
      <c r="JQ134" s="38"/>
      <c r="JR134" s="38"/>
      <c r="JS134" s="38"/>
      <c r="JT134" s="38"/>
      <c r="JU134" s="38"/>
      <c r="JV134" s="38"/>
      <c r="JW134" s="38"/>
      <c r="JX134" s="38"/>
      <c r="JY134" s="38"/>
      <c r="JZ134" s="38"/>
      <c r="KA134" s="38"/>
      <c r="KB134" s="38"/>
      <c r="KC134" s="38"/>
      <c r="KD134" s="38"/>
      <c r="KE134" s="38"/>
      <c r="KF134" s="38"/>
      <c r="KG134" s="38"/>
      <c r="KH134" s="38"/>
      <c r="KI134" s="38"/>
      <c r="KJ134" s="38"/>
      <c r="KK134" s="38"/>
      <c r="KL134" s="38"/>
      <c r="KM134" s="38"/>
      <c r="KN134" s="38"/>
      <c r="KO134" s="38"/>
      <c r="KP134" s="38"/>
      <c r="KQ134" s="38"/>
      <c r="KR134" s="38"/>
      <c r="KS134" s="38"/>
      <c r="KT134" s="38"/>
      <c r="KU134" s="38"/>
      <c r="KV134" s="38"/>
      <c r="KW134" s="38"/>
      <c r="KX134" s="38"/>
      <c r="KY134" s="38"/>
      <c r="KZ134" s="38"/>
      <c r="LA134" s="38"/>
      <c r="LB134" s="38"/>
      <c r="LC134" s="38"/>
      <c r="LD134" s="38"/>
      <c r="LE134" s="38"/>
      <c r="LF134" s="38"/>
      <c r="LG134" s="38"/>
      <c r="LH134" s="38"/>
      <c r="LI134" s="38"/>
      <c r="LJ134" s="38"/>
      <c r="LK134" s="38"/>
      <c r="LL134" s="38"/>
      <c r="LM134" s="38"/>
      <c r="LN134" s="38"/>
      <c r="LO134" s="38"/>
      <c r="LP134" s="38"/>
      <c r="LQ134" s="38"/>
      <c r="LR134" s="38"/>
      <c r="LS134" s="38"/>
      <c r="LT134" s="38"/>
      <c r="LU134" s="38"/>
      <c r="LV134" s="38"/>
      <c r="LW134" s="38"/>
      <c r="LX134" s="38"/>
      <c r="LY134" s="38"/>
      <c r="LZ134" s="38"/>
      <c r="MA134" s="38"/>
      <c r="MB134" s="38"/>
      <c r="MC134" s="38"/>
      <c r="MD134" s="38"/>
      <c r="ME134" s="38"/>
      <c r="MF134" s="38"/>
      <c r="MG134" s="38"/>
      <c r="MH134" s="38"/>
      <c r="MI134" s="38"/>
      <c r="MJ134" s="38"/>
      <c r="MK134" s="38"/>
      <c r="ML134" s="38"/>
      <c r="MM134" s="38"/>
      <c r="MN134" s="38"/>
      <c r="MO134" s="38"/>
      <c r="MP134" s="38"/>
      <c r="MQ134" s="38"/>
      <c r="MR134" s="38"/>
      <c r="MS134" s="38"/>
      <c r="MT134" s="38"/>
      <c r="MU134" s="38"/>
      <c r="MV134" s="38"/>
      <c r="MW134" s="38"/>
      <c r="MX134" s="38"/>
      <c r="MY134" s="38"/>
      <c r="MZ134" s="38"/>
      <c r="NA134" s="38"/>
      <c r="NB134" s="38"/>
      <c r="NC134" s="38"/>
      <c r="ND134" s="38"/>
      <c r="NE134" s="38"/>
      <c r="NF134" s="38"/>
      <c r="NG134" s="38"/>
      <c r="NH134" s="38"/>
      <c r="NI134" s="38"/>
      <c r="NJ134" s="38"/>
      <c r="NK134" s="38"/>
      <c r="NL134" s="38"/>
      <c r="NM134" s="38"/>
      <c r="NN134" s="38"/>
      <c r="NO134" s="38"/>
      <c r="NP134" s="38"/>
      <c r="NQ134" s="38"/>
      <c r="NR134" s="38"/>
      <c r="NS134" s="38"/>
      <c r="NT134" s="38"/>
      <c r="NU134" s="38"/>
      <c r="NV134" s="38"/>
      <c r="NW134" s="38"/>
      <c r="NX134" s="38"/>
      <c r="NY134" s="38"/>
      <c r="NZ134" s="38"/>
      <c r="OA134" s="38"/>
      <c r="OB134" s="38"/>
      <c r="OC134" s="38"/>
      <c r="OD134" s="38"/>
      <c r="OE134" s="38"/>
      <c r="OF134" s="38"/>
      <c r="OG134" s="38"/>
      <c r="OH134" s="38"/>
      <c r="OI134" s="38"/>
      <c r="OJ134" s="38"/>
      <c r="OK134" s="38"/>
      <c r="OL134" s="38"/>
      <c r="OM134" s="38"/>
      <c r="ON134" s="38"/>
      <c r="OO134" s="38"/>
      <c r="OP134" s="38"/>
      <c r="OQ134" s="38"/>
      <c r="OR134" s="38"/>
      <c r="OS134" s="38"/>
      <c r="OT134" s="38"/>
      <c r="OU134" s="38"/>
      <c r="OV134" s="38"/>
      <c r="OW134" s="38"/>
      <c r="OX134" s="38"/>
      <c r="OY134" s="38"/>
      <c r="OZ134" s="38"/>
      <c r="PA134" s="38"/>
      <c r="PB134" s="38"/>
      <c r="PC134" s="38"/>
      <c r="PD134" s="38"/>
      <c r="PE134" s="38"/>
      <c r="PF134" s="38"/>
      <c r="PG134" s="38"/>
      <c r="PH134" s="38"/>
      <c r="PI134" s="38"/>
      <c r="PJ134" s="38"/>
      <c r="PK134" s="38"/>
      <c r="PL134" s="38"/>
      <c r="PM134" s="38"/>
      <c r="PN134" s="38"/>
      <c r="PO134" s="38"/>
      <c r="PP134" s="38"/>
      <c r="PQ134" s="38"/>
      <c r="PR134" s="38"/>
      <c r="PS134" s="38"/>
      <c r="PT134" s="38"/>
      <c r="PU134" s="38"/>
      <c r="PV134" s="38"/>
      <c r="PW134" s="38"/>
      <c r="PX134" s="38"/>
      <c r="PY134" s="38"/>
      <c r="PZ134" s="38"/>
      <c r="QA134" s="38"/>
      <c r="QB134" s="38"/>
      <c r="QC134" s="38"/>
      <c r="QD134" s="38"/>
      <c r="QE134" s="38"/>
      <c r="QF134" s="38"/>
      <c r="QG134" s="38"/>
      <c r="QH134" s="38"/>
      <c r="QI134" s="38"/>
      <c r="QJ134" s="38"/>
      <c r="QK134" s="38"/>
      <c r="QL134" s="38"/>
      <c r="QM134" s="38"/>
      <c r="QN134" s="38"/>
      <c r="QO134" s="38"/>
      <c r="QP134" s="38"/>
      <c r="QQ134" s="38"/>
      <c r="QR134" s="38"/>
      <c r="QS134" s="38"/>
      <c r="QT134" s="38"/>
      <c r="QU134" s="38"/>
      <c r="QV134" s="38"/>
      <c r="QW134" s="38"/>
      <c r="QX134" s="38"/>
      <c r="QY134" s="38"/>
      <c r="QZ134" s="38"/>
      <c r="RA134" s="38"/>
      <c r="RB134" s="38"/>
      <c r="RC134" s="38"/>
      <c r="RD134" s="38"/>
      <c r="RE134" s="38"/>
      <c r="RF134" s="38"/>
      <c r="RG134" s="38"/>
      <c r="RH134" s="38"/>
      <c r="RI134" s="38"/>
      <c r="RJ134" s="38"/>
      <c r="RK134" s="38"/>
      <c r="RL134" s="38"/>
      <c r="RM134" s="38"/>
      <c r="RN134" s="38"/>
      <c r="RO134" s="38"/>
      <c r="RP134" s="38"/>
      <c r="RQ134" s="38"/>
      <c r="RR134" s="38"/>
      <c r="RS134" s="38"/>
      <c r="RT134" s="38"/>
      <c r="RU134" s="38"/>
      <c r="RV134" s="38"/>
      <c r="RW134" s="38"/>
      <c r="RX134" s="38"/>
      <c r="RY134" s="38"/>
      <c r="RZ134" s="38"/>
      <c r="SA134" s="38"/>
      <c r="SB134" s="38"/>
      <c r="SC134" s="38"/>
      <c r="SD134" s="38"/>
      <c r="SE134" s="38"/>
      <c r="SF134" s="38"/>
      <c r="SG134" s="38"/>
      <c r="SH134" s="38"/>
      <c r="SI134" s="38"/>
      <c r="SJ134" s="38"/>
      <c r="SK134" s="38"/>
      <c r="SL134" s="38"/>
      <c r="SM134" s="38"/>
      <c r="SN134" s="38"/>
      <c r="SO134" s="38"/>
      <c r="SP134" s="38"/>
      <c r="SQ134" s="38"/>
      <c r="SR134" s="38"/>
      <c r="SS134" s="38"/>
      <c r="ST134" s="38"/>
      <c r="SU134" s="38"/>
      <c r="SV134" s="38"/>
      <c r="SW134" s="38"/>
      <c r="SX134" s="38"/>
      <c r="SY134" s="38"/>
      <c r="SZ134" s="38"/>
      <c r="TA134" s="38"/>
      <c r="TB134" s="38"/>
      <c r="TC134" s="38"/>
      <c r="TD134" s="38"/>
      <c r="TE134" s="38"/>
      <c r="TF134" s="38"/>
      <c r="TG134" s="38"/>
      <c r="TH134" s="38"/>
      <c r="TI134" s="38"/>
    </row>
    <row r="135" spans="1:529" s="40" customFormat="1" ht="32.25" customHeight="1" x14ac:dyDescent="0.25">
      <c r="A135" s="73" t="s">
        <v>196</v>
      </c>
      <c r="B135" s="72"/>
      <c r="C135" s="72"/>
      <c r="D135" s="33" t="s">
        <v>458</v>
      </c>
      <c r="E135" s="65">
        <f>E139+E140+E141+E142+E144+E145+E146+E148+E150+E151+E152+E154+E156+E157+E158+E159+E160+E161+E163+E165+E166+E168+E169</f>
        <v>161300485.40000001</v>
      </c>
      <c r="F135" s="65">
        <f t="shared" ref="F135:P135" si="57">F139+F140+F141+F142+F144+F145+F146+F148+F150+F151+F152+F154+F156+F157+F158+F159+F160+F161+F163+F165+F166+F168+F169</f>
        <v>161300485.40000001</v>
      </c>
      <c r="G135" s="65">
        <f t="shared" si="57"/>
        <v>55494025</v>
      </c>
      <c r="H135" s="65">
        <f t="shared" si="57"/>
        <v>1564490</v>
      </c>
      <c r="I135" s="65">
        <f t="shared" si="57"/>
        <v>0</v>
      </c>
      <c r="J135" s="65">
        <f t="shared" si="57"/>
        <v>1274940</v>
      </c>
      <c r="K135" s="65">
        <f t="shared" si="57"/>
        <v>1166840</v>
      </c>
      <c r="L135" s="65">
        <f t="shared" si="57"/>
        <v>108100</v>
      </c>
      <c r="M135" s="65">
        <f t="shared" si="57"/>
        <v>85100</v>
      </c>
      <c r="N135" s="65">
        <f t="shared" si="57"/>
        <v>0</v>
      </c>
      <c r="O135" s="65">
        <f t="shared" si="57"/>
        <v>1166840</v>
      </c>
      <c r="P135" s="65">
        <f t="shared" si="57"/>
        <v>162575425.40000001</v>
      </c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  <c r="IV135" s="39"/>
      <c r="IW135" s="39"/>
      <c r="IX135" s="39"/>
      <c r="IY135" s="39"/>
      <c r="IZ135" s="39"/>
      <c r="JA135" s="39"/>
      <c r="JB135" s="39"/>
      <c r="JC135" s="39"/>
      <c r="JD135" s="39"/>
      <c r="JE135" s="39"/>
      <c r="JF135" s="39"/>
      <c r="JG135" s="39"/>
      <c r="JH135" s="39"/>
      <c r="JI135" s="39"/>
      <c r="JJ135" s="39"/>
      <c r="JK135" s="39"/>
      <c r="JL135" s="39"/>
      <c r="JM135" s="39"/>
      <c r="JN135" s="39"/>
      <c r="JO135" s="39"/>
      <c r="JP135" s="39"/>
      <c r="JQ135" s="39"/>
      <c r="JR135" s="39"/>
      <c r="JS135" s="39"/>
      <c r="JT135" s="39"/>
      <c r="JU135" s="39"/>
      <c r="JV135" s="39"/>
      <c r="JW135" s="39"/>
      <c r="JX135" s="39"/>
      <c r="JY135" s="39"/>
      <c r="JZ135" s="39"/>
      <c r="KA135" s="39"/>
      <c r="KB135" s="39"/>
      <c r="KC135" s="39"/>
      <c r="KD135" s="39"/>
      <c r="KE135" s="39"/>
      <c r="KF135" s="39"/>
      <c r="KG135" s="39"/>
      <c r="KH135" s="39"/>
      <c r="KI135" s="39"/>
      <c r="KJ135" s="39"/>
      <c r="KK135" s="39"/>
      <c r="KL135" s="39"/>
      <c r="KM135" s="39"/>
      <c r="KN135" s="39"/>
      <c r="KO135" s="39"/>
      <c r="KP135" s="39"/>
      <c r="KQ135" s="39"/>
      <c r="KR135" s="39"/>
      <c r="KS135" s="39"/>
      <c r="KT135" s="39"/>
      <c r="KU135" s="39"/>
      <c r="KV135" s="39"/>
      <c r="KW135" s="39"/>
      <c r="KX135" s="39"/>
      <c r="KY135" s="39"/>
      <c r="KZ135" s="39"/>
      <c r="LA135" s="39"/>
      <c r="LB135" s="39"/>
      <c r="LC135" s="39"/>
      <c r="LD135" s="39"/>
      <c r="LE135" s="39"/>
      <c r="LF135" s="39"/>
      <c r="LG135" s="39"/>
      <c r="LH135" s="39"/>
      <c r="LI135" s="39"/>
      <c r="LJ135" s="39"/>
      <c r="LK135" s="39"/>
      <c r="LL135" s="39"/>
      <c r="LM135" s="39"/>
      <c r="LN135" s="39"/>
      <c r="LO135" s="39"/>
      <c r="LP135" s="39"/>
      <c r="LQ135" s="39"/>
      <c r="LR135" s="39"/>
      <c r="LS135" s="39"/>
      <c r="LT135" s="39"/>
      <c r="LU135" s="39"/>
      <c r="LV135" s="39"/>
      <c r="LW135" s="39"/>
      <c r="LX135" s="39"/>
      <c r="LY135" s="39"/>
      <c r="LZ135" s="39"/>
      <c r="MA135" s="39"/>
      <c r="MB135" s="39"/>
      <c r="MC135" s="39"/>
      <c r="MD135" s="39"/>
      <c r="ME135" s="39"/>
      <c r="MF135" s="39"/>
      <c r="MG135" s="39"/>
      <c r="MH135" s="39"/>
      <c r="MI135" s="39"/>
      <c r="MJ135" s="39"/>
      <c r="MK135" s="39"/>
      <c r="ML135" s="39"/>
      <c r="MM135" s="39"/>
      <c r="MN135" s="39"/>
      <c r="MO135" s="39"/>
      <c r="MP135" s="39"/>
      <c r="MQ135" s="39"/>
      <c r="MR135" s="39"/>
      <c r="MS135" s="39"/>
      <c r="MT135" s="39"/>
      <c r="MU135" s="39"/>
      <c r="MV135" s="39"/>
      <c r="MW135" s="39"/>
      <c r="MX135" s="39"/>
      <c r="MY135" s="39"/>
      <c r="MZ135" s="39"/>
      <c r="NA135" s="39"/>
      <c r="NB135" s="39"/>
      <c r="NC135" s="39"/>
      <c r="ND135" s="39"/>
      <c r="NE135" s="39"/>
      <c r="NF135" s="39"/>
      <c r="NG135" s="39"/>
      <c r="NH135" s="39"/>
      <c r="NI135" s="39"/>
      <c r="NJ135" s="39"/>
      <c r="NK135" s="39"/>
      <c r="NL135" s="39"/>
      <c r="NM135" s="39"/>
      <c r="NN135" s="39"/>
      <c r="NO135" s="39"/>
      <c r="NP135" s="39"/>
      <c r="NQ135" s="39"/>
      <c r="NR135" s="39"/>
      <c r="NS135" s="39"/>
      <c r="NT135" s="39"/>
      <c r="NU135" s="39"/>
      <c r="NV135" s="39"/>
      <c r="NW135" s="39"/>
      <c r="NX135" s="39"/>
      <c r="NY135" s="39"/>
      <c r="NZ135" s="39"/>
      <c r="OA135" s="39"/>
      <c r="OB135" s="39"/>
      <c r="OC135" s="39"/>
      <c r="OD135" s="39"/>
      <c r="OE135" s="39"/>
      <c r="OF135" s="39"/>
      <c r="OG135" s="39"/>
      <c r="OH135" s="39"/>
      <c r="OI135" s="39"/>
      <c r="OJ135" s="39"/>
      <c r="OK135" s="39"/>
      <c r="OL135" s="39"/>
      <c r="OM135" s="39"/>
      <c r="ON135" s="39"/>
      <c r="OO135" s="39"/>
      <c r="OP135" s="39"/>
      <c r="OQ135" s="39"/>
      <c r="OR135" s="39"/>
      <c r="OS135" s="39"/>
      <c r="OT135" s="39"/>
      <c r="OU135" s="39"/>
      <c r="OV135" s="39"/>
      <c r="OW135" s="39"/>
      <c r="OX135" s="39"/>
      <c r="OY135" s="39"/>
      <c r="OZ135" s="39"/>
      <c r="PA135" s="39"/>
      <c r="PB135" s="39"/>
      <c r="PC135" s="39"/>
      <c r="PD135" s="39"/>
      <c r="PE135" s="39"/>
      <c r="PF135" s="39"/>
      <c r="PG135" s="39"/>
      <c r="PH135" s="39"/>
      <c r="PI135" s="39"/>
      <c r="PJ135" s="39"/>
      <c r="PK135" s="39"/>
      <c r="PL135" s="39"/>
      <c r="PM135" s="39"/>
      <c r="PN135" s="39"/>
      <c r="PO135" s="39"/>
      <c r="PP135" s="39"/>
      <c r="PQ135" s="39"/>
      <c r="PR135" s="39"/>
      <c r="PS135" s="39"/>
      <c r="PT135" s="39"/>
      <c r="PU135" s="39"/>
      <c r="PV135" s="39"/>
      <c r="PW135" s="39"/>
      <c r="PX135" s="39"/>
      <c r="PY135" s="39"/>
      <c r="PZ135" s="39"/>
      <c r="QA135" s="39"/>
      <c r="QB135" s="39"/>
      <c r="QC135" s="39"/>
      <c r="QD135" s="39"/>
      <c r="QE135" s="39"/>
      <c r="QF135" s="39"/>
      <c r="QG135" s="39"/>
      <c r="QH135" s="39"/>
      <c r="QI135" s="39"/>
      <c r="QJ135" s="39"/>
      <c r="QK135" s="39"/>
      <c r="QL135" s="39"/>
      <c r="QM135" s="39"/>
      <c r="QN135" s="39"/>
      <c r="QO135" s="39"/>
      <c r="QP135" s="39"/>
      <c r="QQ135" s="39"/>
      <c r="QR135" s="39"/>
      <c r="QS135" s="39"/>
      <c r="QT135" s="39"/>
      <c r="QU135" s="39"/>
      <c r="QV135" s="39"/>
      <c r="QW135" s="39"/>
      <c r="QX135" s="39"/>
      <c r="QY135" s="39"/>
      <c r="QZ135" s="39"/>
      <c r="RA135" s="39"/>
      <c r="RB135" s="39"/>
      <c r="RC135" s="39"/>
      <c r="RD135" s="39"/>
      <c r="RE135" s="39"/>
      <c r="RF135" s="39"/>
      <c r="RG135" s="39"/>
      <c r="RH135" s="39"/>
      <c r="RI135" s="39"/>
      <c r="RJ135" s="39"/>
      <c r="RK135" s="39"/>
      <c r="RL135" s="39"/>
      <c r="RM135" s="39"/>
      <c r="RN135" s="39"/>
      <c r="RO135" s="39"/>
      <c r="RP135" s="39"/>
      <c r="RQ135" s="39"/>
      <c r="RR135" s="39"/>
      <c r="RS135" s="39"/>
      <c r="RT135" s="39"/>
      <c r="RU135" s="39"/>
      <c r="RV135" s="39"/>
      <c r="RW135" s="39"/>
      <c r="RX135" s="39"/>
      <c r="RY135" s="39"/>
      <c r="RZ135" s="39"/>
      <c r="SA135" s="39"/>
      <c r="SB135" s="39"/>
      <c r="SC135" s="39"/>
      <c r="SD135" s="39"/>
      <c r="SE135" s="39"/>
      <c r="SF135" s="39"/>
      <c r="SG135" s="39"/>
      <c r="SH135" s="39"/>
      <c r="SI135" s="39"/>
      <c r="SJ135" s="39"/>
      <c r="SK135" s="39"/>
      <c r="SL135" s="39"/>
      <c r="SM135" s="39"/>
      <c r="SN135" s="39"/>
      <c r="SO135" s="39"/>
      <c r="SP135" s="39"/>
      <c r="SQ135" s="39"/>
      <c r="SR135" s="39"/>
      <c r="SS135" s="39"/>
      <c r="ST135" s="39"/>
      <c r="SU135" s="39"/>
      <c r="SV135" s="39"/>
      <c r="SW135" s="39"/>
      <c r="SX135" s="39"/>
      <c r="SY135" s="39"/>
      <c r="SZ135" s="39"/>
      <c r="TA135" s="39"/>
      <c r="TB135" s="39"/>
      <c r="TC135" s="39"/>
      <c r="TD135" s="39"/>
      <c r="TE135" s="39"/>
      <c r="TF135" s="39"/>
      <c r="TG135" s="39"/>
      <c r="TH135" s="39"/>
      <c r="TI135" s="39"/>
    </row>
    <row r="136" spans="1:529" s="40" customFormat="1" x14ac:dyDescent="0.25">
      <c r="A136" s="73"/>
      <c r="B136" s="72"/>
      <c r="C136" s="72"/>
      <c r="D136" s="33" t="s">
        <v>459</v>
      </c>
      <c r="E136" s="65">
        <f>E143+E147+E149+E153+E155+E167</f>
        <v>4018766.9</v>
      </c>
      <c r="F136" s="65">
        <f t="shared" ref="F136:P136" si="58">F143+F147+F149+F153+F155+F167</f>
        <v>4018766.9</v>
      </c>
      <c r="G136" s="65">
        <f t="shared" si="58"/>
        <v>0</v>
      </c>
      <c r="H136" s="65">
        <f t="shared" si="58"/>
        <v>0</v>
      </c>
      <c r="I136" s="65">
        <f t="shared" si="58"/>
        <v>0</v>
      </c>
      <c r="J136" s="65">
        <f t="shared" si="58"/>
        <v>0</v>
      </c>
      <c r="K136" s="65">
        <f t="shared" si="58"/>
        <v>0</v>
      </c>
      <c r="L136" s="65">
        <f t="shared" si="58"/>
        <v>0</v>
      </c>
      <c r="M136" s="65">
        <f t="shared" si="58"/>
        <v>0</v>
      </c>
      <c r="N136" s="65">
        <f t="shared" si="58"/>
        <v>0</v>
      </c>
      <c r="O136" s="65">
        <f t="shared" si="58"/>
        <v>0</v>
      </c>
      <c r="P136" s="65">
        <f t="shared" si="58"/>
        <v>4018766.9</v>
      </c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  <c r="IV136" s="39"/>
      <c r="IW136" s="39"/>
      <c r="IX136" s="39"/>
      <c r="IY136" s="39"/>
      <c r="IZ136" s="39"/>
      <c r="JA136" s="39"/>
      <c r="JB136" s="39"/>
      <c r="JC136" s="39"/>
      <c r="JD136" s="39"/>
      <c r="JE136" s="39"/>
      <c r="JF136" s="39"/>
      <c r="JG136" s="39"/>
      <c r="JH136" s="39"/>
      <c r="JI136" s="39"/>
      <c r="JJ136" s="39"/>
      <c r="JK136" s="39"/>
      <c r="JL136" s="39"/>
      <c r="JM136" s="39"/>
      <c r="JN136" s="39"/>
      <c r="JO136" s="39"/>
      <c r="JP136" s="39"/>
      <c r="JQ136" s="39"/>
      <c r="JR136" s="39"/>
      <c r="JS136" s="39"/>
      <c r="JT136" s="39"/>
      <c r="JU136" s="39"/>
      <c r="JV136" s="39"/>
      <c r="JW136" s="39"/>
      <c r="JX136" s="39"/>
      <c r="JY136" s="39"/>
      <c r="JZ136" s="39"/>
      <c r="KA136" s="39"/>
      <c r="KB136" s="39"/>
      <c r="KC136" s="39"/>
      <c r="KD136" s="39"/>
      <c r="KE136" s="39"/>
      <c r="KF136" s="39"/>
      <c r="KG136" s="39"/>
      <c r="KH136" s="39"/>
      <c r="KI136" s="39"/>
      <c r="KJ136" s="39"/>
      <c r="KK136" s="39"/>
      <c r="KL136" s="39"/>
      <c r="KM136" s="39"/>
      <c r="KN136" s="39"/>
      <c r="KO136" s="39"/>
      <c r="KP136" s="39"/>
      <c r="KQ136" s="39"/>
      <c r="KR136" s="39"/>
      <c r="KS136" s="39"/>
      <c r="KT136" s="39"/>
      <c r="KU136" s="39"/>
      <c r="KV136" s="39"/>
      <c r="KW136" s="39"/>
      <c r="KX136" s="39"/>
      <c r="KY136" s="39"/>
      <c r="KZ136" s="39"/>
      <c r="LA136" s="39"/>
      <c r="LB136" s="39"/>
      <c r="LC136" s="39"/>
      <c r="LD136" s="39"/>
      <c r="LE136" s="39"/>
      <c r="LF136" s="39"/>
      <c r="LG136" s="39"/>
      <c r="LH136" s="39"/>
      <c r="LI136" s="39"/>
      <c r="LJ136" s="39"/>
      <c r="LK136" s="39"/>
      <c r="LL136" s="39"/>
      <c r="LM136" s="39"/>
      <c r="LN136" s="39"/>
      <c r="LO136" s="39"/>
      <c r="LP136" s="39"/>
      <c r="LQ136" s="39"/>
      <c r="LR136" s="39"/>
      <c r="LS136" s="39"/>
      <c r="LT136" s="39"/>
      <c r="LU136" s="39"/>
      <c r="LV136" s="39"/>
      <c r="LW136" s="39"/>
      <c r="LX136" s="39"/>
      <c r="LY136" s="39"/>
      <c r="LZ136" s="39"/>
      <c r="MA136" s="39"/>
      <c r="MB136" s="39"/>
      <c r="MC136" s="39"/>
      <c r="MD136" s="39"/>
      <c r="ME136" s="39"/>
      <c r="MF136" s="39"/>
      <c r="MG136" s="39"/>
      <c r="MH136" s="39"/>
      <c r="MI136" s="39"/>
      <c r="MJ136" s="39"/>
      <c r="MK136" s="39"/>
      <c r="ML136" s="39"/>
      <c r="MM136" s="39"/>
      <c r="MN136" s="39"/>
      <c r="MO136" s="39"/>
      <c r="MP136" s="39"/>
      <c r="MQ136" s="39"/>
      <c r="MR136" s="39"/>
      <c r="MS136" s="39"/>
      <c r="MT136" s="39"/>
      <c r="MU136" s="39"/>
      <c r="MV136" s="39"/>
      <c r="MW136" s="39"/>
      <c r="MX136" s="39"/>
      <c r="MY136" s="39"/>
      <c r="MZ136" s="39"/>
      <c r="NA136" s="39"/>
      <c r="NB136" s="39"/>
      <c r="NC136" s="39"/>
      <c r="ND136" s="39"/>
      <c r="NE136" s="39"/>
      <c r="NF136" s="39"/>
      <c r="NG136" s="39"/>
      <c r="NH136" s="39"/>
      <c r="NI136" s="39"/>
      <c r="NJ136" s="39"/>
      <c r="NK136" s="39"/>
      <c r="NL136" s="39"/>
      <c r="NM136" s="39"/>
      <c r="NN136" s="39"/>
      <c r="NO136" s="39"/>
      <c r="NP136" s="39"/>
      <c r="NQ136" s="39"/>
      <c r="NR136" s="39"/>
      <c r="NS136" s="39"/>
      <c r="NT136" s="39"/>
      <c r="NU136" s="39"/>
      <c r="NV136" s="39"/>
      <c r="NW136" s="39"/>
      <c r="NX136" s="39"/>
      <c r="NY136" s="39"/>
      <c r="NZ136" s="39"/>
      <c r="OA136" s="39"/>
      <c r="OB136" s="39"/>
      <c r="OC136" s="39"/>
      <c r="OD136" s="39"/>
      <c r="OE136" s="39"/>
      <c r="OF136" s="39"/>
      <c r="OG136" s="39"/>
      <c r="OH136" s="39"/>
      <c r="OI136" s="39"/>
      <c r="OJ136" s="39"/>
      <c r="OK136" s="39"/>
      <c r="OL136" s="39"/>
      <c r="OM136" s="39"/>
      <c r="ON136" s="39"/>
      <c r="OO136" s="39"/>
      <c r="OP136" s="39"/>
      <c r="OQ136" s="39"/>
      <c r="OR136" s="39"/>
      <c r="OS136" s="39"/>
      <c r="OT136" s="39"/>
      <c r="OU136" s="39"/>
      <c r="OV136" s="39"/>
      <c r="OW136" s="39"/>
      <c r="OX136" s="39"/>
      <c r="OY136" s="39"/>
      <c r="OZ136" s="39"/>
      <c r="PA136" s="39"/>
      <c r="PB136" s="39"/>
      <c r="PC136" s="39"/>
      <c r="PD136" s="39"/>
      <c r="PE136" s="39"/>
      <c r="PF136" s="39"/>
      <c r="PG136" s="39"/>
      <c r="PH136" s="39"/>
      <c r="PI136" s="39"/>
      <c r="PJ136" s="39"/>
      <c r="PK136" s="39"/>
      <c r="PL136" s="39"/>
      <c r="PM136" s="39"/>
      <c r="PN136" s="39"/>
      <c r="PO136" s="39"/>
      <c r="PP136" s="39"/>
      <c r="PQ136" s="39"/>
      <c r="PR136" s="39"/>
      <c r="PS136" s="39"/>
      <c r="PT136" s="39"/>
      <c r="PU136" s="39"/>
      <c r="PV136" s="39"/>
      <c r="PW136" s="39"/>
      <c r="PX136" s="39"/>
      <c r="PY136" s="39"/>
      <c r="PZ136" s="39"/>
      <c r="QA136" s="39"/>
      <c r="QB136" s="39"/>
      <c r="QC136" s="39"/>
      <c r="QD136" s="39"/>
      <c r="QE136" s="39"/>
      <c r="QF136" s="39"/>
      <c r="QG136" s="39"/>
      <c r="QH136" s="39"/>
      <c r="QI136" s="39"/>
      <c r="QJ136" s="39"/>
      <c r="QK136" s="39"/>
      <c r="QL136" s="39"/>
      <c r="QM136" s="39"/>
      <c r="QN136" s="39"/>
      <c r="QO136" s="39"/>
      <c r="QP136" s="39"/>
      <c r="QQ136" s="39"/>
      <c r="QR136" s="39"/>
      <c r="QS136" s="39"/>
      <c r="QT136" s="39"/>
      <c r="QU136" s="39"/>
      <c r="QV136" s="39"/>
      <c r="QW136" s="39"/>
      <c r="QX136" s="39"/>
      <c r="QY136" s="39"/>
      <c r="QZ136" s="39"/>
      <c r="RA136" s="39"/>
      <c r="RB136" s="39"/>
      <c r="RC136" s="39"/>
      <c r="RD136" s="39"/>
      <c r="RE136" s="39"/>
      <c r="RF136" s="39"/>
      <c r="RG136" s="39"/>
      <c r="RH136" s="39"/>
      <c r="RI136" s="39"/>
      <c r="RJ136" s="39"/>
      <c r="RK136" s="39"/>
      <c r="RL136" s="39"/>
      <c r="RM136" s="39"/>
      <c r="RN136" s="39"/>
      <c r="RO136" s="39"/>
      <c r="RP136" s="39"/>
      <c r="RQ136" s="39"/>
      <c r="RR136" s="39"/>
      <c r="RS136" s="39"/>
      <c r="RT136" s="39"/>
      <c r="RU136" s="39"/>
      <c r="RV136" s="39"/>
      <c r="RW136" s="39"/>
      <c r="RX136" s="39"/>
      <c r="RY136" s="39"/>
      <c r="RZ136" s="39"/>
      <c r="SA136" s="39"/>
      <c r="SB136" s="39"/>
      <c r="SC136" s="39"/>
      <c r="SD136" s="39"/>
      <c r="SE136" s="39"/>
      <c r="SF136" s="39"/>
      <c r="SG136" s="39"/>
      <c r="SH136" s="39"/>
      <c r="SI136" s="39"/>
      <c r="SJ136" s="39"/>
      <c r="SK136" s="39"/>
      <c r="SL136" s="39"/>
      <c r="SM136" s="39"/>
      <c r="SN136" s="39"/>
      <c r="SO136" s="39"/>
      <c r="SP136" s="39"/>
      <c r="SQ136" s="39"/>
      <c r="SR136" s="39"/>
      <c r="SS136" s="39"/>
      <c r="ST136" s="39"/>
      <c r="SU136" s="39"/>
      <c r="SV136" s="39"/>
      <c r="SW136" s="39"/>
      <c r="SX136" s="39"/>
      <c r="SY136" s="39"/>
      <c r="SZ136" s="39"/>
      <c r="TA136" s="39"/>
      <c r="TB136" s="39"/>
      <c r="TC136" s="39"/>
      <c r="TD136" s="39"/>
      <c r="TE136" s="39"/>
      <c r="TF136" s="39"/>
      <c r="TG136" s="39"/>
      <c r="TH136" s="39"/>
      <c r="TI136" s="39"/>
    </row>
    <row r="137" spans="1:529" s="27" customFormat="1" ht="267" hidden="1" customHeight="1" x14ac:dyDescent="0.25">
      <c r="A137" s="145"/>
      <c r="B137" s="146"/>
      <c r="C137" s="146"/>
      <c r="D137" s="33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  <c r="IN137" s="36"/>
      <c r="IO137" s="36"/>
      <c r="IP137" s="36"/>
      <c r="IQ137" s="36"/>
      <c r="IR137" s="36"/>
      <c r="IS137" s="36"/>
      <c r="IT137" s="36"/>
      <c r="IU137" s="36"/>
      <c r="IV137" s="36"/>
      <c r="IW137" s="36"/>
      <c r="IX137" s="36"/>
      <c r="IY137" s="36"/>
      <c r="IZ137" s="36"/>
      <c r="JA137" s="36"/>
      <c r="JB137" s="36"/>
      <c r="JC137" s="36"/>
      <c r="JD137" s="36"/>
      <c r="JE137" s="36"/>
      <c r="JF137" s="36"/>
      <c r="JG137" s="36"/>
      <c r="JH137" s="36"/>
      <c r="JI137" s="36"/>
      <c r="JJ137" s="36"/>
      <c r="JK137" s="36"/>
      <c r="JL137" s="36"/>
      <c r="JM137" s="36"/>
      <c r="JN137" s="36"/>
      <c r="JO137" s="36"/>
      <c r="JP137" s="36"/>
      <c r="JQ137" s="36"/>
      <c r="JR137" s="36"/>
      <c r="JS137" s="36"/>
      <c r="JT137" s="36"/>
      <c r="JU137" s="36"/>
      <c r="JV137" s="36"/>
      <c r="JW137" s="36"/>
      <c r="JX137" s="36"/>
      <c r="JY137" s="36"/>
      <c r="JZ137" s="36"/>
      <c r="KA137" s="36"/>
      <c r="KB137" s="36"/>
      <c r="KC137" s="36"/>
      <c r="KD137" s="36"/>
      <c r="KE137" s="36"/>
      <c r="KF137" s="36"/>
      <c r="KG137" s="36"/>
      <c r="KH137" s="36"/>
      <c r="KI137" s="36"/>
      <c r="KJ137" s="36"/>
      <c r="KK137" s="36"/>
      <c r="KL137" s="36"/>
      <c r="KM137" s="36"/>
      <c r="KN137" s="36"/>
      <c r="KO137" s="36"/>
      <c r="KP137" s="36"/>
      <c r="KQ137" s="36"/>
      <c r="KR137" s="36"/>
      <c r="KS137" s="36"/>
      <c r="KT137" s="36"/>
      <c r="KU137" s="36"/>
      <c r="KV137" s="36"/>
      <c r="KW137" s="36"/>
      <c r="KX137" s="36"/>
      <c r="KY137" s="36"/>
      <c r="KZ137" s="36"/>
      <c r="LA137" s="36"/>
      <c r="LB137" s="36"/>
      <c r="LC137" s="36"/>
      <c r="LD137" s="36"/>
      <c r="LE137" s="36"/>
      <c r="LF137" s="36"/>
      <c r="LG137" s="36"/>
      <c r="LH137" s="36"/>
      <c r="LI137" s="36"/>
      <c r="LJ137" s="36"/>
      <c r="LK137" s="36"/>
      <c r="LL137" s="36"/>
      <c r="LM137" s="36"/>
      <c r="LN137" s="36"/>
      <c r="LO137" s="36"/>
      <c r="LP137" s="36"/>
      <c r="LQ137" s="36"/>
      <c r="LR137" s="36"/>
      <c r="LS137" s="36"/>
      <c r="LT137" s="36"/>
      <c r="LU137" s="36"/>
      <c r="LV137" s="36"/>
      <c r="LW137" s="36"/>
      <c r="LX137" s="36"/>
      <c r="LY137" s="36"/>
      <c r="LZ137" s="36"/>
      <c r="MA137" s="36"/>
      <c r="MB137" s="36"/>
      <c r="MC137" s="36"/>
      <c r="MD137" s="36"/>
      <c r="ME137" s="36"/>
      <c r="MF137" s="36"/>
      <c r="MG137" s="36"/>
      <c r="MH137" s="36"/>
      <c r="MI137" s="36"/>
      <c r="MJ137" s="36"/>
      <c r="MK137" s="36"/>
      <c r="ML137" s="36"/>
      <c r="MM137" s="36"/>
      <c r="MN137" s="36"/>
      <c r="MO137" s="36"/>
      <c r="MP137" s="36"/>
      <c r="MQ137" s="36"/>
      <c r="MR137" s="36"/>
      <c r="MS137" s="36"/>
      <c r="MT137" s="36"/>
      <c r="MU137" s="36"/>
      <c r="MV137" s="36"/>
      <c r="MW137" s="36"/>
      <c r="MX137" s="36"/>
      <c r="MY137" s="36"/>
      <c r="MZ137" s="36"/>
      <c r="NA137" s="36"/>
      <c r="NB137" s="36"/>
      <c r="NC137" s="36"/>
      <c r="ND137" s="36"/>
      <c r="NE137" s="36"/>
      <c r="NF137" s="36"/>
      <c r="NG137" s="36"/>
      <c r="NH137" s="36"/>
      <c r="NI137" s="36"/>
      <c r="NJ137" s="36"/>
      <c r="NK137" s="36"/>
      <c r="NL137" s="36"/>
      <c r="NM137" s="36"/>
      <c r="NN137" s="36"/>
      <c r="NO137" s="36"/>
      <c r="NP137" s="36"/>
      <c r="NQ137" s="36"/>
      <c r="NR137" s="36"/>
      <c r="NS137" s="36"/>
      <c r="NT137" s="36"/>
      <c r="NU137" s="36"/>
      <c r="NV137" s="36"/>
      <c r="NW137" s="36"/>
      <c r="NX137" s="36"/>
      <c r="NY137" s="36"/>
      <c r="NZ137" s="36"/>
      <c r="OA137" s="36"/>
      <c r="OB137" s="36"/>
      <c r="OC137" s="36"/>
      <c r="OD137" s="36"/>
      <c r="OE137" s="36"/>
      <c r="OF137" s="36"/>
      <c r="OG137" s="36"/>
      <c r="OH137" s="36"/>
      <c r="OI137" s="36"/>
      <c r="OJ137" s="36"/>
      <c r="OK137" s="36"/>
      <c r="OL137" s="36"/>
      <c r="OM137" s="36"/>
      <c r="ON137" s="36"/>
      <c r="OO137" s="36"/>
      <c r="OP137" s="36"/>
      <c r="OQ137" s="36"/>
      <c r="OR137" s="36"/>
      <c r="OS137" s="36"/>
      <c r="OT137" s="36"/>
      <c r="OU137" s="36"/>
      <c r="OV137" s="36"/>
      <c r="OW137" s="36"/>
      <c r="OX137" s="36"/>
      <c r="OY137" s="36"/>
      <c r="OZ137" s="36"/>
      <c r="PA137" s="36"/>
      <c r="PB137" s="36"/>
      <c r="PC137" s="36"/>
      <c r="PD137" s="36"/>
      <c r="PE137" s="36"/>
      <c r="PF137" s="36"/>
      <c r="PG137" s="36"/>
      <c r="PH137" s="36"/>
      <c r="PI137" s="36"/>
      <c r="PJ137" s="36"/>
      <c r="PK137" s="36"/>
      <c r="PL137" s="36"/>
      <c r="PM137" s="36"/>
      <c r="PN137" s="36"/>
      <c r="PO137" s="36"/>
      <c r="PP137" s="36"/>
      <c r="PQ137" s="36"/>
      <c r="PR137" s="36"/>
      <c r="PS137" s="36"/>
      <c r="PT137" s="36"/>
      <c r="PU137" s="36"/>
      <c r="PV137" s="36"/>
      <c r="PW137" s="36"/>
      <c r="PX137" s="36"/>
      <c r="PY137" s="36"/>
      <c r="PZ137" s="36"/>
      <c r="QA137" s="36"/>
      <c r="QB137" s="36"/>
      <c r="QC137" s="36"/>
      <c r="QD137" s="36"/>
      <c r="QE137" s="36"/>
      <c r="QF137" s="36"/>
      <c r="QG137" s="36"/>
      <c r="QH137" s="36"/>
      <c r="QI137" s="36"/>
      <c r="QJ137" s="36"/>
      <c r="QK137" s="36"/>
      <c r="QL137" s="36"/>
      <c r="QM137" s="36"/>
      <c r="QN137" s="36"/>
      <c r="QO137" s="36"/>
      <c r="QP137" s="36"/>
      <c r="QQ137" s="36"/>
      <c r="QR137" s="36"/>
      <c r="QS137" s="36"/>
      <c r="QT137" s="36"/>
      <c r="QU137" s="36"/>
      <c r="QV137" s="36"/>
      <c r="QW137" s="36"/>
      <c r="QX137" s="36"/>
      <c r="QY137" s="36"/>
      <c r="QZ137" s="36"/>
      <c r="RA137" s="36"/>
      <c r="RB137" s="36"/>
      <c r="RC137" s="36"/>
      <c r="RD137" s="36"/>
      <c r="RE137" s="36"/>
      <c r="RF137" s="36"/>
      <c r="RG137" s="36"/>
      <c r="RH137" s="36"/>
      <c r="RI137" s="36"/>
      <c r="RJ137" s="36"/>
      <c r="RK137" s="36"/>
      <c r="RL137" s="36"/>
      <c r="RM137" s="36"/>
      <c r="RN137" s="36"/>
      <c r="RO137" s="36"/>
      <c r="RP137" s="36"/>
      <c r="RQ137" s="36"/>
      <c r="RR137" s="36"/>
      <c r="RS137" s="36"/>
      <c r="RT137" s="36"/>
      <c r="RU137" s="36"/>
      <c r="RV137" s="36"/>
      <c r="RW137" s="36"/>
      <c r="RX137" s="36"/>
      <c r="RY137" s="36"/>
      <c r="RZ137" s="36"/>
      <c r="SA137" s="36"/>
      <c r="SB137" s="36"/>
      <c r="SC137" s="36"/>
      <c r="SD137" s="36"/>
      <c r="SE137" s="36"/>
      <c r="SF137" s="36"/>
      <c r="SG137" s="36"/>
      <c r="SH137" s="36"/>
      <c r="SI137" s="36"/>
      <c r="SJ137" s="36"/>
      <c r="SK137" s="36"/>
      <c r="SL137" s="36"/>
      <c r="SM137" s="36"/>
      <c r="SN137" s="36"/>
      <c r="SO137" s="36"/>
      <c r="SP137" s="36"/>
      <c r="SQ137" s="36"/>
      <c r="SR137" s="36"/>
      <c r="SS137" s="36"/>
      <c r="ST137" s="36"/>
      <c r="SU137" s="36"/>
      <c r="SV137" s="36"/>
      <c r="SW137" s="36"/>
      <c r="SX137" s="36"/>
      <c r="SY137" s="36"/>
      <c r="SZ137" s="36"/>
      <c r="TA137" s="36"/>
      <c r="TB137" s="36"/>
      <c r="TC137" s="36"/>
      <c r="TD137" s="36"/>
      <c r="TE137" s="36"/>
      <c r="TF137" s="36"/>
      <c r="TG137" s="36"/>
      <c r="TH137" s="36"/>
      <c r="TI137" s="36"/>
    </row>
    <row r="138" spans="1:529" s="27" customFormat="1" ht="222.75" hidden="1" customHeight="1" x14ac:dyDescent="0.25">
      <c r="A138" s="145"/>
      <c r="B138" s="146"/>
      <c r="C138" s="146"/>
      <c r="D138" s="33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  <c r="IL138" s="36"/>
      <c r="IM138" s="36"/>
      <c r="IN138" s="36"/>
      <c r="IO138" s="36"/>
      <c r="IP138" s="36"/>
      <c r="IQ138" s="36"/>
      <c r="IR138" s="36"/>
      <c r="IS138" s="36"/>
      <c r="IT138" s="36"/>
      <c r="IU138" s="36"/>
      <c r="IV138" s="36"/>
      <c r="IW138" s="36"/>
      <c r="IX138" s="36"/>
      <c r="IY138" s="36"/>
      <c r="IZ138" s="36"/>
      <c r="JA138" s="36"/>
      <c r="JB138" s="36"/>
      <c r="JC138" s="36"/>
      <c r="JD138" s="36"/>
      <c r="JE138" s="36"/>
      <c r="JF138" s="36"/>
      <c r="JG138" s="36"/>
      <c r="JH138" s="36"/>
      <c r="JI138" s="36"/>
      <c r="JJ138" s="36"/>
      <c r="JK138" s="36"/>
      <c r="JL138" s="36"/>
      <c r="JM138" s="36"/>
      <c r="JN138" s="36"/>
      <c r="JO138" s="36"/>
      <c r="JP138" s="36"/>
      <c r="JQ138" s="36"/>
      <c r="JR138" s="36"/>
      <c r="JS138" s="36"/>
      <c r="JT138" s="36"/>
      <c r="JU138" s="36"/>
      <c r="JV138" s="36"/>
      <c r="JW138" s="36"/>
      <c r="JX138" s="36"/>
      <c r="JY138" s="36"/>
      <c r="JZ138" s="36"/>
      <c r="KA138" s="36"/>
      <c r="KB138" s="36"/>
      <c r="KC138" s="36"/>
      <c r="KD138" s="36"/>
      <c r="KE138" s="36"/>
      <c r="KF138" s="36"/>
      <c r="KG138" s="36"/>
      <c r="KH138" s="36"/>
      <c r="KI138" s="36"/>
      <c r="KJ138" s="36"/>
      <c r="KK138" s="36"/>
      <c r="KL138" s="36"/>
      <c r="KM138" s="36"/>
      <c r="KN138" s="36"/>
      <c r="KO138" s="36"/>
      <c r="KP138" s="36"/>
      <c r="KQ138" s="36"/>
      <c r="KR138" s="36"/>
      <c r="KS138" s="36"/>
      <c r="KT138" s="36"/>
      <c r="KU138" s="36"/>
      <c r="KV138" s="36"/>
      <c r="KW138" s="36"/>
      <c r="KX138" s="36"/>
      <c r="KY138" s="36"/>
      <c r="KZ138" s="36"/>
      <c r="LA138" s="36"/>
      <c r="LB138" s="36"/>
      <c r="LC138" s="36"/>
      <c r="LD138" s="36"/>
      <c r="LE138" s="36"/>
      <c r="LF138" s="36"/>
      <c r="LG138" s="36"/>
      <c r="LH138" s="36"/>
      <c r="LI138" s="36"/>
      <c r="LJ138" s="36"/>
      <c r="LK138" s="36"/>
      <c r="LL138" s="36"/>
      <c r="LM138" s="36"/>
      <c r="LN138" s="36"/>
      <c r="LO138" s="36"/>
      <c r="LP138" s="36"/>
      <c r="LQ138" s="36"/>
      <c r="LR138" s="36"/>
      <c r="LS138" s="36"/>
      <c r="LT138" s="36"/>
      <c r="LU138" s="36"/>
      <c r="LV138" s="36"/>
      <c r="LW138" s="36"/>
      <c r="LX138" s="36"/>
      <c r="LY138" s="36"/>
      <c r="LZ138" s="36"/>
      <c r="MA138" s="36"/>
      <c r="MB138" s="36"/>
      <c r="MC138" s="36"/>
      <c r="MD138" s="36"/>
      <c r="ME138" s="36"/>
      <c r="MF138" s="36"/>
      <c r="MG138" s="36"/>
      <c r="MH138" s="36"/>
      <c r="MI138" s="36"/>
      <c r="MJ138" s="36"/>
      <c r="MK138" s="36"/>
      <c r="ML138" s="36"/>
      <c r="MM138" s="36"/>
      <c r="MN138" s="36"/>
      <c r="MO138" s="36"/>
      <c r="MP138" s="36"/>
      <c r="MQ138" s="36"/>
      <c r="MR138" s="36"/>
      <c r="MS138" s="36"/>
      <c r="MT138" s="36"/>
      <c r="MU138" s="36"/>
      <c r="MV138" s="36"/>
      <c r="MW138" s="36"/>
      <c r="MX138" s="36"/>
      <c r="MY138" s="36"/>
      <c r="MZ138" s="36"/>
      <c r="NA138" s="36"/>
      <c r="NB138" s="36"/>
      <c r="NC138" s="36"/>
      <c r="ND138" s="36"/>
      <c r="NE138" s="36"/>
      <c r="NF138" s="36"/>
      <c r="NG138" s="36"/>
      <c r="NH138" s="36"/>
      <c r="NI138" s="36"/>
      <c r="NJ138" s="36"/>
      <c r="NK138" s="36"/>
      <c r="NL138" s="36"/>
      <c r="NM138" s="36"/>
      <c r="NN138" s="36"/>
      <c r="NO138" s="36"/>
      <c r="NP138" s="36"/>
      <c r="NQ138" s="36"/>
      <c r="NR138" s="36"/>
      <c r="NS138" s="36"/>
      <c r="NT138" s="36"/>
      <c r="NU138" s="36"/>
      <c r="NV138" s="36"/>
      <c r="NW138" s="36"/>
      <c r="NX138" s="36"/>
      <c r="NY138" s="36"/>
      <c r="NZ138" s="36"/>
      <c r="OA138" s="36"/>
      <c r="OB138" s="36"/>
      <c r="OC138" s="36"/>
      <c r="OD138" s="36"/>
      <c r="OE138" s="36"/>
      <c r="OF138" s="36"/>
      <c r="OG138" s="36"/>
      <c r="OH138" s="36"/>
      <c r="OI138" s="36"/>
      <c r="OJ138" s="36"/>
      <c r="OK138" s="36"/>
      <c r="OL138" s="36"/>
      <c r="OM138" s="36"/>
      <c r="ON138" s="36"/>
      <c r="OO138" s="36"/>
      <c r="OP138" s="36"/>
      <c r="OQ138" s="36"/>
      <c r="OR138" s="36"/>
      <c r="OS138" s="36"/>
      <c r="OT138" s="36"/>
      <c r="OU138" s="36"/>
      <c r="OV138" s="36"/>
      <c r="OW138" s="36"/>
      <c r="OX138" s="36"/>
      <c r="OY138" s="36"/>
      <c r="OZ138" s="36"/>
      <c r="PA138" s="36"/>
      <c r="PB138" s="36"/>
      <c r="PC138" s="36"/>
      <c r="PD138" s="36"/>
      <c r="PE138" s="36"/>
      <c r="PF138" s="36"/>
      <c r="PG138" s="36"/>
      <c r="PH138" s="36"/>
      <c r="PI138" s="36"/>
      <c r="PJ138" s="36"/>
      <c r="PK138" s="36"/>
      <c r="PL138" s="36"/>
      <c r="PM138" s="36"/>
      <c r="PN138" s="36"/>
      <c r="PO138" s="36"/>
      <c r="PP138" s="36"/>
      <c r="PQ138" s="36"/>
      <c r="PR138" s="36"/>
      <c r="PS138" s="36"/>
      <c r="PT138" s="36"/>
      <c r="PU138" s="36"/>
      <c r="PV138" s="36"/>
      <c r="PW138" s="36"/>
      <c r="PX138" s="36"/>
      <c r="PY138" s="36"/>
      <c r="PZ138" s="36"/>
      <c r="QA138" s="36"/>
      <c r="QB138" s="36"/>
      <c r="QC138" s="36"/>
      <c r="QD138" s="36"/>
      <c r="QE138" s="36"/>
      <c r="QF138" s="36"/>
      <c r="QG138" s="36"/>
      <c r="QH138" s="36"/>
      <c r="QI138" s="36"/>
      <c r="QJ138" s="36"/>
      <c r="QK138" s="36"/>
      <c r="QL138" s="36"/>
      <c r="QM138" s="36"/>
      <c r="QN138" s="36"/>
      <c r="QO138" s="36"/>
      <c r="QP138" s="36"/>
      <c r="QQ138" s="36"/>
      <c r="QR138" s="36"/>
      <c r="QS138" s="36"/>
      <c r="QT138" s="36"/>
      <c r="QU138" s="36"/>
      <c r="QV138" s="36"/>
      <c r="QW138" s="36"/>
      <c r="QX138" s="36"/>
      <c r="QY138" s="36"/>
      <c r="QZ138" s="36"/>
      <c r="RA138" s="36"/>
      <c r="RB138" s="36"/>
      <c r="RC138" s="36"/>
      <c r="RD138" s="36"/>
      <c r="RE138" s="36"/>
      <c r="RF138" s="36"/>
      <c r="RG138" s="36"/>
      <c r="RH138" s="36"/>
      <c r="RI138" s="36"/>
      <c r="RJ138" s="36"/>
      <c r="RK138" s="36"/>
      <c r="RL138" s="36"/>
      <c r="RM138" s="36"/>
      <c r="RN138" s="36"/>
      <c r="RO138" s="36"/>
      <c r="RP138" s="36"/>
      <c r="RQ138" s="36"/>
      <c r="RR138" s="36"/>
      <c r="RS138" s="36"/>
      <c r="RT138" s="36"/>
      <c r="RU138" s="36"/>
      <c r="RV138" s="36"/>
      <c r="RW138" s="36"/>
      <c r="RX138" s="36"/>
      <c r="RY138" s="36"/>
      <c r="RZ138" s="36"/>
      <c r="SA138" s="36"/>
      <c r="SB138" s="36"/>
      <c r="SC138" s="36"/>
      <c r="SD138" s="36"/>
      <c r="SE138" s="36"/>
      <c r="SF138" s="36"/>
      <c r="SG138" s="36"/>
      <c r="SH138" s="36"/>
      <c r="SI138" s="36"/>
      <c r="SJ138" s="36"/>
      <c r="SK138" s="36"/>
      <c r="SL138" s="36"/>
      <c r="SM138" s="36"/>
      <c r="SN138" s="36"/>
      <c r="SO138" s="36"/>
      <c r="SP138" s="36"/>
      <c r="SQ138" s="36"/>
      <c r="SR138" s="36"/>
      <c r="SS138" s="36"/>
      <c r="ST138" s="36"/>
      <c r="SU138" s="36"/>
      <c r="SV138" s="36"/>
      <c r="SW138" s="36"/>
      <c r="SX138" s="36"/>
      <c r="SY138" s="36"/>
      <c r="SZ138" s="36"/>
      <c r="TA138" s="36"/>
      <c r="TB138" s="36"/>
      <c r="TC138" s="36"/>
      <c r="TD138" s="36"/>
      <c r="TE138" s="36"/>
      <c r="TF138" s="36"/>
      <c r="TG138" s="36"/>
      <c r="TH138" s="36"/>
      <c r="TI138" s="36"/>
    </row>
    <row r="139" spans="1:529" s="23" customFormat="1" ht="45.75" customHeight="1" x14ac:dyDescent="0.25">
      <c r="A139" s="43" t="s">
        <v>197</v>
      </c>
      <c r="B139" s="44" t="str">
        <f>'дод 4'!A20</f>
        <v>0160</v>
      </c>
      <c r="C139" s="44" t="str">
        <f>'дод 4'!B20</f>
        <v>0111</v>
      </c>
      <c r="D139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39" s="66">
        <f t="shared" ref="E139:E169" si="59">F139+I139</f>
        <v>53417040</v>
      </c>
      <c r="F139" s="66">
        <f>55432800+254000-2496600+234900-104000+69540+26400</f>
        <v>53417040</v>
      </c>
      <c r="G139" s="66">
        <f>43728800-2046400-85200</f>
        <v>41597200</v>
      </c>
      <c r="H139" s="66">
        <v>841800</v>
      </c>
      <c r="I139" s="66"/>
      <c r="J139" s="66">
        <f>L139+O139</f>
        <v>0</v>
      </c>
      <c r="K139" s="66"/>
      <c r="L139" s="66"/>
      <c r="M139" s="66"/>
      <c r="N139" s="66"/>
      <c r="O139" s="66"/>
      <c r="P139" s="66">
        <f t="shared" ref="P139:P169" si="60">E139+J139</f>
        <v>53417040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  <c r="IW139" s="26"/>
      <c r="IX139" s="26"/>
      <c r="IY139" s="26"/>
      <c r="IZ139" s="26"/>
      <c r="JA139" s="26"/>
      <c r="JB139" s="26"/>
      <c r="JC139" s="26"/>
      <c r="JD139" s="26"/>
      <c r="JE139" s="26"/>
      <c r="JF139" s="26"/>
      <c r="JG139" s="26"/>
      <c r="JH139" s="26"/>
      <c r="JI139" s="26"/>
      <c r="JJ139" s="26"/>
      <c r="JK139" s="26"/>
      <c r="JL139" s="26"/>
      <c r="JM139" s="26"/>
      <c r="JN139" s="26"/>
      <c r="JO139" s="26"/>
      <c r="JP139" s="26"/>
      <c r="JQ139" s="26"/>
      <c r="JR139" s="26"/>
      <c r="JS139" s="26"/>
      <c r="JT139" s="26"/>
      <c r="JU139" s="26"/>
      <c r="JV139" s="26"/>
      <c r="JW139" s="26"/>
      <c r="JX139" s="26"/>
      <c r="JY139" s="26"/>
      <c r="JZ139" s="26"/>
      <c r="KA139" s="26"/>
      <c r="KB139" s="26"/>
      <c r="KC139" s="26"/>
      <c r="KD139" s="26"/>
      <c r="KE139" s="26"/>
      <c r="KF139" s="26"/>
      <c r="KG139" s="26"/>
      <c r="KH139" s="26"/>
      <c r="KI139" s="26"/>
      <c r="KJ139" s="26"/>
      <c r="KK139" s="26"/>
      <c r="KL139" s="26"/>
      <c r="KM139" s="26"/>
      <c r="KN139" s="26"/>
      <c r="KO139" s="26"/>
      <c r="KP139" s="26"/>
      <c r="KQ139" s="26"/>
      <c r="KR139" s="26"/>
      <c r="KS139" s="26"/>
      <c r="KT139" s="26"/>
      <c r="KU139" s="26"/>
      <c r="KV139" s="26"/>
      <c r="KW139" s="26"/>
      <c r="KX139" s="26"/>
      <c r="KY139" s="26"/>
      <c r="KZ139" s="26"/>
      <c r="LA139" s="26"/>
      <c r="LB139" s="26"/>
      <c r="LC139" s="26"/>
      <c r="LD139" s="26"/>
      <c r="LE139" s="26"/>
      <c r="LF139" s="26"/>
      <c r="LG139" s="26"/>
      <c r="LH139" s="26"/>
      <c r="LI139" s="26"/>
      <c r="LJ139" s="26"/>
      <c r="LK139" s="26"/>
      <c r="LL139" s="26"/>
      <c r="LM139" s="26"/>
      <c r="LN139" s="26"/>
      <c r="LO139" s="26"/>
      <c r="LP139" s="26"/>
      <c r="LQ139" s="26"/>
      <c r="LR139" s="26"/>
      <c r="LS139" s="26"/>
      <c r="LT139" s="26"/>
      <c r="LU139" s="26"/>
      <c r="LV139" s="26"/>
      <c r="LW139" s="26"/>
      <c r="LX139" s="26"/>
      <c r="LY139" s="26"/>
      <c r="LZ139" s="26"/>
      <c r="MA139" s="26"/>
      <c r="MB139" s="26"/>
      <c r="MC139" s="26"/>
      <c r="MD139" s="26"/>
      <c r="ME139" s="26"/>
      <c r="MF139" s="26"/>
      <c r="MG139" s="26"/>
      <c r="MH139" s="26"/>
      <c r="MI139" s="26"/>
      <c r="MJ139" s="26"/>
      <c r="MK139" s="26"/>
      <c r="ML139" s="26"/>
      <c r="MM139" s="26"/>
      <c r="MN139" s="26"/>
      <c r="MO139" s="26"/>
      <c r="MP139" s="26"/>
      <c r="MQ139" s="26"/>
      <c r="MR139" s="26"/>
      <c r="MS139" s="26"/>
      <c r="MT139" s="26"/>
      <c r="MU139" s="26"/>
      <c r="MV139" s="26"/>
      <c r="MW139" s="26"/>
      <c r="MX139" s="26"/>
      <c r="MY139" s="26"/>
      <c r="MZ139" s="26"/>
      <c r="NA139" s="26"/>
      <c r="NB139" s="26"/>
      <c r="NC139" s="26"/>
      <c r="ND139" s="26"/>
      <c r="NE139" s="26"/>
      <c r="NF139" s="26"/>
      <c r="NG139" s="26"/>
      <c r="NH139" s="26"/>
      <c r="NI139" s="26"/>
      <c r="NJ139" s="26"/>
      <c r="NK139" s="26"/>
      <c r="NL139" s="26"/>
      <c r="NM139" s="26"/>
      <c r="NN139" s="26"/>
      <c r="NO139" s="26"/>
      <c r="NP139" s="26"/>
      <c r="NQ139" s="26"/>
      <c r="NR139" s="26"/>
      <c r="NS139" s="26"/>
      <c r="NT139" s="26"/>
      <c r="NU139" s="26"/>
      <c r="NV139" s="26"/>
      <c r="NW139" s="26"/>
      <c r="NX139" s="26"/>
      <c r="NY139" s="26"/>
      <c r="NZ139" s="26"/>
      <c r="OA139" s="26"/>
      <c r="OB139" s="26"/>
      <c r="OC139" s="26"/>
      <c r="OD139" s="26"/>
      <c r="OE139" s="26"/>
      <c r="OF139" s="26"/>
      <c r="OG139" s="26"/>
      <c r="OH139" s="26"/>
      <c r="OI139" s="26"/>
      <c r="OJ139" s="26"/>
      <c r="OK139" s="26"/>
      <c r="OL139" s="26"/>
      <c r="OM139" s="26"/>
      <c r="ON139" s="26"/>
      <c r="OO139" s="26"/>
      <c r="OP139" s="26"/>
      <c r="OQ139" s="26"/>
      <c r="OR139" s="26"/>
      <c r="OS139" s="26"/>
      <c r="OT139" s="26"/>
      <c r="OU139" s="26"/>
      <c r="OV139" s="26"/>
      <c r="OW139" s="26"/>
      <c r="OX139" s="26"/>
      <c r="OY139" s="26"/>
      <c r="OZ139" s="26"/>
      <c r="PA139" s="26"/>
      <c r="PB139" s="26"/>
      <c r="PC139" s="26"/>
      <c r="PD139" s="26"/>
      <c r="PE139" s="26"/>
      <c r="PF139" s="26"/>
      <c r="PG139" s="26"/>
      <c r="PH139" s="26"/>
      <c r="PI139" s="26"/>
      <c r="PJ139" s="26"/>
      <c r="PK139" s="26"/>
      <c r="PL139" s="26"/>
      <c r="PM139" s="26"/>
      <c r="PN139" s="26"/>
      <c r="PO139" s="26"/>
      <c r="PP139" s="26"/>
      <c r="PQ139" s="26"/>
      <c r="PR139" s="26"/>
      <c r="PS139" s="26"/>
      <c r="PT139" s="26"/>
      <c r="PU139" s="26"/>
      <c r="PV139" s="26"/>
      <c r="PW139" s="26"/>
      <c r="PX139" s="26"/>
      <c r="PY139" s="26"/>
      <c r="PZ139" s="26"/>
      <c r="QA139" s="26"/>
      <c r="QB139" s="26"/>
      <c r="QC139" s="26"/>
      <c r="QD139" s="26"/>
      <c r="QE139" s="26"/>
      <c r="QF139" s="26"/>
      <c r="QG139" s="26"/>
      <c r="QH139" s="26"/>
      <c r="QI139" s="26"/>
      <c r="QJ139" s="26"/>
      <c r="QK139" s="26"/>
      <c r="QL139" s="26"/>
      <c r="QM139" s="26"/>
      <c r="QN139" s="26"/>
      <c r="QO139" s="26"/>
      <c r="QP139" s="26"/>
      <c r="QQ139" s="26"/>
      <c r="QR139" s="26"/>
      <c r="QS139" s="26"/>
      <c r="QT139" s="26"/>
      <c r="QU139" s="26"/>
      <c r="QV139" s="26"/>
      <c r="QW139" s="26"/>
      <c r="QX139" s="26"/>
      <c r="QY139" s="26"/>
      <c r="QZ139" s="26"/>
      <c r="RA139" s="26"/>
      <c r="RB139" s="26"/>
      <c r="RC139" s="26"/>
      <c r="RD139" s="26"/>
      <c r="RE139" s="26"/>
      <c r="RF139" s="26"/>
      <c r="RG139" s="26"/>
      <c r="RH139" s="26"/>
      <c r="RI139" s="26"/>
      <c r="RJ139" s="26"/>
      <c r="RK139" s="26"/>
      <c r="RL139" s="26"/>
      <c r="RM139" s="26"/>
      <c r="RN139" s="26"/>
      <c r="RO139" s="26"/>
      <c r="RP139" s="26"/>
      <c r="RQ139" s="26"/>
      <c r="RR139" s="26"/>
      <c r="RS139" s="26"/>
      <c r="RT139" s="26"/>
      <c r="RU139" s="26"/>
      <c r="RV139" s="26"/>
      <c r="RW139" s="26"/>
      <c r="RX139" s="26"/>
      <c r="RY139" s="26"/>
      <c r="RZ139" s="26"/>
      <c r="SA139" s="26"/>
      <c r="SB139" s="26"/>
      <c r="SC139" s="26"/>
      <c r="SD139" s="26"/>
      <c r="SE139" s="26"/>
      <c r="SF139" s="26"/>
      <c r="SG139" s="26"/>
      <c r="SH139" s="26"/>
      <c r="SI139" s="26"/>
      <c r="SJ139" s="26"/>
      <c r="SK139" s="26"/>
      <c r="SL139" s="26"/>
      <c r="SM139" s="26"/>
      <c r="SN139" s="26"/>
      <c r="SO139" s="26"/>
      <c r="SP139" s="26"/>
      <c r="SQ139" s="26"/>
      <c r="SR139" s="26"/>
      <c r="SS139" s="26"/>
      <c r="ST139" s="26"/>
      <c r="SU139" s="26"/>
      <c r="SV139" s="26"/>
      <c r="SW139" s="26"/>
      <c r="SX139" s="26"/>
      <c r="SY139" s="26"/>
      <c r="SZ139" s="26"/>
      <c r="TA139" s="26"/>
      <c r="TB139" s="26"/>
      <c r="TC139" s="26"/>
      <c r="TD139" s="26"/>
      <c r="TE139" s="26"/>
      <c r="TF139" s="26"/>
      <c r="TG139" s="26"/>
      <c r="TH139" s="26"/>
      <c r="TI139" s="26"/>
    </row>
    <row r="140" spans="1:529" s="26" customFormat="1" ht="36" customHeight="1" x14ac:dyDescent="0.25">
      <c r="A140" s="43" t="s">
        <v>198</v>
      </c>
      <c r="B140" s="44" t="str">
        <f>'дод 4'!A78</f>
        <v>3031</v>
      </c>
      <c r="C140" s="44" t="str">
        <f>'дод 4'!B78</f>
        <v>1030</v>
      </c>
      <c r="D140" s="24" t="str">
        <f>'дод 4'!C78</f>
        <v>Надання інших пільг окремим категоріям громадян відповідно до законодавства</v>
      </c>
      <c r="E140" s="66">
        <f t="shared" si="59"/>
        <v>582400</v>
      </c>
      <c r="F140" s="66">
        <v>582400</v>
      </c>
      <c r="G140" s="66"/>
      <c r="H140" s="66"/>
      <c r="I140" s="66"/>
      <c r="J140" s="66">
        <f t="shared" ref="J140:J160" si="61">L140+O140</f>
        <v>0</v>
      </c>
      <c r="K140" s="66">
        <f>232600-190600-42000</f>
        <v>0</v>
      </c>
      <c r="L140" s="66"/>
      <c r="M140" s="66"/>
      <c r="N140" s="66"/>
      <c r="O140" s="66">
        <f>232600-190600-42000</f>
        <v>0</v>
      </c>
      <c r="P140" s="66">
        <f t="shared" si="60"/>
        <v>582400</v>
      </c>
    </row>
    <row r="141" spans="1:529" s="26" customFormat="1" ht="33" customHeight="1" x14ac:dyDescent="0.25">
      <c r="A141" s="43" t="s">
        <v>199</v>
      </c>
      <c r="B141" s="44" t="str">
        <f>'дод 4'!A79</f>
        <v>3032</v>
      </c>
      <c r="C141" s="44" t="str">
        <f>'дод 4'!B79</f>
        <v>1070</v>
      </c>
      <c r="D141" s="24" t="str">
        <f>'дод 4'!C79</f>
        <v>Надання пільг окремим категоріям громадян з оплати послуг зв'язку</v>
      </c>
      <c r="E141" s="66">
        <f t="shared" si="59"/>
        <v>1225635</v>
      </c>
      <c r="F141" s="66">
        <f>1300000-4876-35230-34259</f>
        <v>1225635</v>
      </c>
      <c r="G141" s="66"/>
      <c r="H141" s="66"/>
      <c r="I141" s="66"/>
      <c r="J141" s="66">
        <f t="shared" si="61"/>
        <v>0</v>
      </c>
      <c r="K141" s="66"/>
      <c r="L141" s="66"/>
      <c r="M141" s="66"/>
      <c r="N141" s="66"/>
      <c r="O141" s="66"/>
      <c r="P141" s="66">
        <f t="shared" si="60"/>
        <v>1225635</v>
      </c>
    </row>
    <row r="142" spans="1:529" s="26" customFormat="1" ht="48.75" customHeight="1" x14ac:dyDescent="0.25">
      <c r="A142" s="43" t="s">
        <v>387</v>
      </c>
      <c r="B142" s="44" t="str">
        <f>'дод 4'!A80</f>
        <v>3033</v>
      </c>
      <c r="C142" s="44" t="str">
        <f>'дод 4'!B80</f>
        <v>1070</v>
      </c>
      <c r="D142" s="24" t="str">
        <f>'дод 4'!C80</f>
        <v>Компенсаційні виплати на пільговий проїзд автомобільним транспортом окремим категоріям громадян, у т.ч. за рахунок:</v>
      </c>
      <c r="E142" s="66">
        <f t="shared" si="59"/>
        <v>16158381.899999999</v>
      </c>
      <c r="F142" s="66">
        <f>24500000+97100+2184757.11+39906.02-2800000+38618.77-7902000</f>
        <v>16158381.899999999</v>
      </c>
      <c r="G142" s="66"/>
      <c r="H142" s="66"/>
      <c r="I142" s="66"/>
      <c r="J142" s="66">
        <f t="shared" si="61"/>
        <v>0</v>
      </c>
      <c r="K142" s="66"/>
      <c r="L142" s="66"/>
      <c r="M142" s="66"/>
      <c r="N142" s="66"/>
      <c r="O142" s="66"/>
      <c r="P142" s="66">
        <f t="shared" si="60"/>
        <v>16158381.899999999</v>
      </c>
    </row>
    <row r="143" spans="1:529" s="36" customFormat="1" x14ac:dyDescent="0.25">
      <c r="A143" s="145"/>
      <c r="B143" s="146"/>
      <c r="C143" s="146"/>
      <c r="D143" s="149" t="s">
        <v>457</v>
      </c>
      <c r="E143" s="144">
        <f t="shared" si="59"/>
        <v>2360381.9</v>
      </c>
      <c r="F143" s="144">
        <f>1956075.13+365688+38618.77</f>
        <v>2360381.9</v>
      </c>
      <c r="G143" s="144"/>
      <c r="H143" s="144"/>
      <c r="I143" s="144"/>
      <c r="J143" s="144">
        <f t="shared" si="61"/>
        <v>0</v>
      </c>
      <c r="K143" s="144"/>
      <c r="L143" s="144"/>
      <c r="M143" s="144"/>
      <c r="N143" s="144"/>
      <c r="O143" s="144"/>
      <c r="P143" s="144">
        <f t="shared" si="60"/>
        <v>2360381.9</v>
      </c>
    </row>
    <row r="144" spans="1:529" s="26" customFormat="1" ht="30" x14ac:dyDescent="0.25">
      <c r="A144" s="43" t="s">
        <v>356</v>
      </c>
      <c r="B144" s="44" t="str">
        <f>'дод 4'!A82</f>
        <v>3035</v>
      </c>
      <c r="C144" s="44" t="str">
        <f>'дод 4'!B82</f>
        <v>1070</v>
      </c>
      <c r="D144" s="24" t="str">
        <f>'дод 4'!C82</f>
        <v>Компенсаційні виплати за пільговий проїзд окремих категорій громадян на залізничному транспорті</v>
      </c>
      <c r="E144" s="66">
        <f t="shared" si="59"/>
        <v>1000000</v>
      </c>
      <c r="F144" s="66">
        <v>1000000</v>
      </c>
      <c r="G144" s="66"/>
      <c r="H144" s="66"/>
      <c r="I144" s="66"/>
      <c r="J144" s="66">
        <f t="shared" si="61"/>
        <v>0</v>
      </c>
      <c r="K144" s="66"/>
      <c r="L144" s="66"/>
      <c r="M144" s="66"/>
      <c r="N144" s="66"/>
      <c r="O144" s="66"/>
      <c r="P144" s="66">
        <f t="shared" si="60"/>
        <v>1000000</v>
      </c>
    </row>
    <row r="145" spans="1:529" s="26" customFormat="1" ht="36" customHeight="1" x14ac:dyDescent="0.25">
      <c r="A145" s="43" t="s">
        <v>200</v>
      </c>
      <c r="B145" s="44" t="str">
        <f>'дод 4'!A83</f>
        <v>3036</v>
      </c>
      <c r="C145" s="44" t="str">
        <f>'дод 4'!B83</f>
        <v>1070</v>
      </c>
      <c r="D145" s="24" t="str">
        <f>'дод 4'!C83</f>
        <v>Компенсаційні виплати на пільговий проїзд електротранспортом окремим категоріям громадян</v>
      </c>
      <c r="E145" s="66">
        <f t="shared" si="59"/>
        <v>24016155.5</v>
      </c>
      <c r="F145" s="66">
        <f>39098112+1372388+807455.5-15200000-2061800</f>
        <v>24016155.5</v>
      </c>
      <c r="G145" s="66"/>
      <c r="H145" s="66"/>
      <c r="I145" s="66"/>
      <c r="J145" s="66">
        <f t="shared" si="61"/>
        <v>0</v>
      </c>
      <c r="K145" s="66"/>
      <c r="L145" s="66"/>
      <c r="M145" s="66"/>
      <c r="N145" s="66"/>
      <c r="O145" s="66"/>
      <c r="P145" s="66">
        <f t="shared" si="60"/>
        <v>24016155.5</v>
      </c>
    </row>
    <row r="146" spans="1:529" s="23" customFormat="1" ht="39" customHeight="1" x14ac:dyDescent="0.25">
      <c r="A146" s="43" t="s">
        <v>385</v>
      </c>
      <c r="B146" s="44" t="str">
        <f>'дод 4'!A84</f>
        <v>3050</v>
      </c>
      <c r="C146" s="44" t="str">
        <f>'дод 4'!B84</f>
        <v>1070</v>
      </c>
      <c r="D146" s="24" t="str">
        <f>'дод 4'!C84</f>
        <v>Пільгове медичне обслуговування осіб, які постраждали внаслідок Чорнобильської катастрофи, у т.ч. за рахунок:</v>
      </c>
      <c r="E146" s="66">
        <f t="shared" si="59"/>
        <v>853000</v>
      </c>
      <c r="F146" s="66">
        <v>853000</v>
      </c>
      <c r="G146" s="66"/>
      <c r="H146" s="66"/>
      <c r="I146" s="66"/>
      <c r="J146" s="66">
        <f t="shared" si="61"/>
        <v>0</v>
      </c>
      <c r="K146" s="66"/>
      <c r="L146" s="66"/>
      <c r="M146" s="66"/>
      <c r="N146" s="66"/>
      <c r="O146" s="66"/>
      <c r="P146" s="66">
        <f t="shared" si="60"/>
        <v>853000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  <c r="IW146" s="26"/>
      <c r="IX146" s="26"/>
      <c r="IY146" s="26"/>
      <c r="IZ146" s="26"/>
      <c r="JA146" s="26"/>
      <c r="JB146" s="26"/>
      <c r="JC146" s="26"/>
      <c r="JD146" s="26"/>
      <c r="JE146" s="26"/>
      <c r="JF146" s="26"/>
      <c r="JG146" s="26"/>
      <c r="JH146" s="26"/>
      <c r="JI146" s="26"/>
      <c r="JJ146" s="26"/>
      <c r="JK146" s="26"/>
      <c r="JL146" s="26"/>
      <c r="JM146" s="26"/>
      <c r="JN146" s="26"/>
      <c r="JO146" s="26"/>
      <c r="JP146" s="26"/>
      <c r="JQ146" s="26"/>
      <c r="JR146" s="26"/>
      <c r="JS146" s="26"/>
      <c r="JT146" s="26"/>
      <c r="JU146" s="26"/>
      <c r="JV146" s="26"/>
      <c r="JW146" s="26"/>
      <c r="JX146" s="26"/>
      <c r="JY146" s="26"/>
      <c r="JZ146" s="26"/>
      <c r="KA146" s="26"/>
      <c r="KB146" s="26"/>
      <c r="KC146" s="26"/>
      <c r="KD146" s="26"/>
      <c r="KE146" s="26"/>
      <c r="KF146" s="26"/>
      <c r="KG146" s="26"/>
      <c r="KH146" s="26"/>
      <c r="KI146" s="26"/>
      <c r="KJ146" s="26"/>
      <c r="KK146" s="26"/>
      <c r="KL146" s="26"/>
      <c r="KM146" s="26"/>
      <c r="KN146" s="26"/>
      <c r="KO146" s="26"/>
      <c r="KP146" s="26"/>
      <c r="KQ146" s="26"/>
      <c r="KR146" s="26"/>
      <c r="KS146" s="26"/>
      <c r="KT146" s="26"/>
      <c r="KU146" s="26"/>
      <c r="KV146" s="26"/>
      <c r="KW146" s="26"/>
      <c r="KX146" s="26"/>
      <c r="KY146" s="26"/>
      <c r="KZ146" s="26"/>
      <c r="LA146" s="26"/>
      <c r="LB146" s="26"/>
      <c r="LC146" s="26"/>
      <c r="LD146" s="26"/>
      <c r="LE146" s="26"/>
      <c r="LF146" s="26"/>
      <c r="LG146" s="26"/>
      <c r="LH146" s="26"/>
      <c r="LI146" s="26"/>
      <c r="LJ146" s="26"/>
      <c r="LK146" s="26"/>
      <c r="LL146" s="26"/>
      <c r="LM146" s="26"/>
      <c r="LN146" s="26"/>
      <c r="LO146" s="26"/>
      <c r="LP146" s="26"/>
      <c r="LQ146" s="26"/>
      <c r="LR146" s="26"/>
      <c r="LS146" s="26"/>
      <c r="LT146" s="26"/>
      <c r="LU146" s="26"/>
      <c r="LV146" s="26"/>
      <c r="LW146" s="26"/>
      <c r="LX146" s="26"/>
      <c r="LY146" s="26"/>
      <c r="LZ146" s="26"/>
      <c r="MA146" s="26"/>
      <c r="MB146" s="26"/>
      <c r="MC146" s="26"/>
      <c r="MD146" s="26"/>
      <c r="ME146" s="26"/>
      <c r="MF146" s="26"/>
      <c r="MG146" s="26"/>
      <c r="MH146" s="26"/>
      <c r="MI146" s="26"/>
      <c r="MJ146" s="26"/>
      <c r="MK146" s="26"/>
      <c r="ML146" s="26"/>
      <c r="MM146" s="26"/>
      <c r="MN146" s="26"/>
      <c r="MO146" s="26"/>
      <c r="MP146" s="26"/>
      <c r="MQ146" s="26"/>
      <c r="MR146" s="26"/>
      <c r="MS146" s="26"/>
      <c r="MT146" s="26"/>
      <c r="MU146" s="26"/>
      <c r="MV146" s="26"/>
      <c r="MW146" s="26"/>
      <c r="MX146" s="26"/>
      <c r="MY146" s="26"/>
      <c r="MZ146" s="26"/>
      <c r="NA146" s="26"/>
      <c r="NB146" s="26"/>
      <c r="NC146" s="26"/>
      <c r="ND146" s="26"/>
      <c r="NE146" s="26"/>
      <c r="NF146" s="26"/>
      <c r="NG146" s="26"/>
      <c r="NH146" s="26"/>
      <c r="NI146" s="26"/>
      <c r="NJ146" s="26"/>
      <c r="NK146" s="26"/>
      <c r="NL146" s="26"/>
      <c r="NM146" s="26"/>
      <c r="NN146" s="26"/>
      <c r="NO146" s="26"/>
      <c r="NP146" s="26"/>
      <c r="NQ146" s="26"/>
      <c r="NR146" s="26"/>
      <c r="NS146" s="26"/>
      <c r="NT146" s="26"/>
      <c r="NU146" s="26"/>
      <c r="NV146" s="26"/>
      <c r="NW146" s="26"/>
      <c r="NX146" s="26"/>
      <c r="NY146" s="26"/>
      <c r="NZ146" s="26"/>
      <c r="OA146" s="26"/>
      <c r="OB146" s="26"/>
      <c r="OC146" s="26"/>
      <c r="OD146" s="26"/>
      <c r="OE146" s="26"/>
      <c r="OF146" s="26"/>
      <c r="OG146" s="26"/>
      <c r="OH146" s="26"/>
      <c r="OI146" s="26"/>
      <c r="OJ146" s="26"/>
      <c r="OK146" s="26"/>
      <c r="OL146" s="26"/>
      <c r="OM146" s="26"/>
      <c r="ON146" s="26"/>
      <c r="OO146" s="26"/>
      <c r="OP146" s="26"/>
      <c r="OQ146" s="26"/>
      <c r="OR146" s="26"/>
      <c r="OS146" s="26"/>
      <c r="OT146" s="26"/>
      <c r="OU146" s="26"/>
      <c r="OV146" s="26"/>
      <c r="OW146" s="26"/>
      <c r="OX146" s="26"/>
      <c r="OY146" s="26"/>
      <c r="OZ146" s="26"/>
      <c r="PA146" s="26"/>
      <c r="PB146" s="26"/>
      <c r="PC146" s="26"/>
      <c r="PD146" s="26"/>
      <c r="PE146" s="26"/>
      <c r="PF146" s="26"/>
      <c r="PG146" s="26"/>
      <c r="PH146" s="26"/>
      <c r="PI146" s="26"/>
      <c r="PJ146" s="26"/>
      <c r="PK146" s="26"/>
      <c r="PL146" s="26"/>
      <c r="PM146" s="26"/>
      <c r="PN146" s="26"/>
      <c r="PO146" s="26"/>
      <c r="PP146" s="26"/>
      <c r="PQ146" s="26"/>
      <c r="PR146" s="26"/>
      <c r="PS146" s="26"/>
      <c r="PT146" s="26"/>
      <c r="PU146" s="26"/>
      <c r="PV146" s="26"/>
      <c r="PW146" s="26"/>
      <c r="PX146" s="26"/>
      <c r="PY146" s="26"/>
      <c r="PZ146" s="26"/>
      <c r="QA146" s="26"/>
      <c r="QB146" s="26"/>
      <c r="QC146" s="26"/>
      <c r="QD146" s="26"/>
      <c r="QE146" s="26"/>
      <c r="QF146" s="26"/>
      <c r="QG146" s="26"/>
      <c r="QH146" s="26"/>
      <c r="QI146" s="26"/>
      <c r="QJ146" s="26"/>
      <c r="QK146" s="26"/>
      <c r="QL146" s="26"/>
      <c r="QM146" s="26"/>
      <c r="QN146" s="26"/>
      <c r="QO146" s="26"/>
      <c r="QP146" s="26"/>
      <c r="QQ146" s="26"/>
      <c r="QR146" s="26"/>
      <c r="QS146" s="26"/>
      <c r="QT146" s="26"/>
      <c r="QU146" s="26"/>
      <c r="QV146" s="26"/>
      <c r="QW146" s="26"/>
      <c r="QX146" s="26"/>
      <c r="QY146" s="26"/>
      <c r="QZ146" s="26"/>
      <c r="RA146" s="26"/>
      <c r="RB146" s="26"/>
      <c r="RC146" s="26"/>
      <c r="RD146" s="26"/>
      <c r="RE146" s="26"/>
      <c r="RF146" s="26"/>
      <c r="RG146" s="26"/>
      <c r="RH146" s="26"/>
      <c r="RI146" s="26"/>
      <c r="RJ146" s="26"/>
      <c r="RK146" s="26"/>
      <c r="RL146" s="26"/>
      <c r="RM146" s="26"/>
      <c r="RN146" s="26"/>
      <c r="RO146" s="26"/>
      <c r="RP146" s="26"/>
      <c r="RQ146" s="26"/>
      <c r="RR146" s="26"/>
      <c r="RS146" s="26"/>
      <c r="RT146" s="26"/>
      <c r="RU146" s="26"/>
      <c r="RV146" s="26"/>
      <c r="RW146" s="26"/>
      <c r="RX146" s="26"/>
      <c r="RY146" s="26"/>
      <c r="RZ146" s="26"/>
      <c r="SA146" s="26"/>
      <c r="SB146" s="26"/>
      <c r="SC146" s="26"/>
      <c r="SD146" s="26"/>
      <c r="SE146" s="26"/>
      <c r="SF146" s="26"/>
      <c r="SG146" s="26"/>
      <c r="SH146" s="26"/>
      <c r="SI146" s="26"/>
      <c r="SJ146" s="26"/>
      <c r="SK146" s="26"/>
      <c r="SL146" s="26"/>
      <c r="SM146" s="26"/>
      <c r="SN146" s="26"/>
      <c r="SO146" s="26"/>
      <c r="SP146" s="26"/>
      <c r="SQ146" s="26"/>
      <c r="SR146" s="26"/>
      <c r="SS146" s="26"/>
      <c r="ST146" s="26"/>
      <c r="SU146" s="26"/>
      <c r="SV146" s="26"/>
      <c r="SW146" s="26"/>
      <c r="SX146" s="26"/>
      <c r="SY146" s="26"/>
      <c r="SZ146" s="26"/>
      <c r="TA146" s="26"/>
      <c r="TB146" s="26"/>
      <c r="TC146" s="26"/>
      <c r="TD146" s="26"/>
      <c r="TE146" s="26"/>
      <c r="TF146" s="26"/>
      <c r="TG146" s="26"/>
      <c r="TH146" s="26"/>
      <c r="TI146" s="26"/>
    </row>
    <row r="147" spans="1:529" s="27" customFormat="1" x14ac:dyDescent="0.25">
      <c r="A147" s="145"/>
      <c r="B147" s="146"/>
      <c r="C147" s="146"/>
      <c r="D147" s="149" t="s">
        <v>457</v>
      </c>
      <c r="E147" s="144">
        <f t="shared" si="59"/>
        <v>853000</v>
      </c>
      <c r="F147" s="144">
        <v>853000</v>
      </c>
      <c r="G147" s="144"/>
      <c r="H147" s="144"/>
      <c r="I147" s="144"/>
      <c r="J147" s="144">
        <f t="shared" si="61"/>
        <v>0</v>
      </c>
      <c r="K147" s="144"/>
      <c r="L147" s="144"/>
      <c r="M147" s="144"/>
      <c r="N147" s="144"/>
      <c r="O147" s="144"/>
      <c r="P147" s="144">
        <f t="shared" si="60"/>
        <v>853000</v>
      </c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36"/>
      <c r="IH147" s="36"/>
      <c r="II147" s="36"/>
      <c r="IJ147" s="36"/>
      <c r="IK147" s="36"/>
      <c r="IL147" s="36"/>
      <c r="IM147" s="36"/>
      <c r="IN147" s="36"/>
      <c r="IO147" s="36"/>
      <c r="IP147" s="36"/>
      <c r="IQ147" s="36"/>
      <c r="IR147" s="36"/>
      <c r="IS147" s="36"/>
      <c r="IT147" s="36"/>
      <c r="IU147" s="36"/>
      <c r="IV147" s="36"/>
      <c r="IW147" s="36"/>
      <c r="IX147" s="36"/>
      <c r="IY147" s="36"/>
      <c r="IZ147" s="36"/>
      <c r="JA147" s="36"/>
      <c r="JB147" s="36"/>
      <c r="JC147" s="36"/>
      <c r="JD147" s="36"/>
      <c r="JE147" s="36"/>
      <c r="JF147" s="36"/>
      <c r="JG147" s="36"/>
      <c r="JH147" s="36"/>
      <c r="JI147" s="36"/>
      <c r="JJ147" s="36"/>
      <c r="JK147" s="36"/>
      <c r="JL147" s="36"/>
      <c r="JM147" s="36"/>
      <c r="JN147" s="36"/>
      <c r="JO147" s="36"/>
      <c r="JP147" s="36"/>
      <c r="JQ147" s="36"/>
      <c r="JR147" s="36"/>
      <c r="JS147" s="36"/>
      <c r="JT147" s="36"/>
      <c r="JU147" s="36"/>
      <c r="JV147" s="36"/>
      <c r="JW147" s="36"/>
      <c r="JX147" s="36"/>
      <c r="JY147" s="36"/>
      <c r="JZ147" s="36"/>
      <c r="KA147" s="36"/>
      <c r="KB147" s="36"/>
      <c r="KC147" s="36"/>
      <c r="KD147" s="36"/>
      <c r="KE147" s="36"/>
      <c r="KF147" s="36"/>
      <c r="KG147" s="36"/>
      <c r="KH147" s="36"/>
      <c r="KI147" s="36"/>
      <c r="KJ147" s="36"/>
      <c r="KK147" s="36"/>
      <c r="KL147" s="36"/>
      <c r="KM147" s="36"/>
      <c r="KN147" s="36"/>
      <c r="KO147" s="36"/>
      <c r="KP147" s="36"/>
      <c r="KQ147" s="36"/>
      <c r="KR147" s="36"/>
      <c r="KS147" s="36"/>
      <c r="KT147" s="36"/>
      <c r="KU147" s="36"/>
      <c r="KV147" s="36"/>
      <c r="KW147" s="36"/>
      <c r="KX147" s="36"/>
      <c r="KY147" s="36"/>
      <c r="KZ147" s="36"/>
      <c r="LA147" s="36"/>
      <c r="LB147" s="36"/>
      <c r="LC147" s="36"/>
      <c r="LD147" s="36"/>
      <c r="LE147" s="36"/>
      <c r="LF147" s="36"/>
      <c r="LG147" s="36"/>
      <c r="LH147" s="36"/>
      <c r="LI147" s="36"/>
      <c r="LJ147" s="36"/>
      <c r="LK147" s="36"/>
      <c r="LL147" s="36"/>
      <c r="LM147" s="36"/>
      <c r="LN147" s="36"/>
      <c r="LO147" s="36"/>
      <c r="LP147" s="36"/>
      <c r="LQ147" s="36"/>
      <c r="LR147" s="36"/>
      <c r="LS147" s="36"/>
      <c r="LT147" s="36"/>
      <c r="LU147" s="36"/>
      <c r="LV147" s="36"/>
      <c r="LW147" s="36"/>
      <c r="LX147" s="36"/>
      <c r="LY147" s="36"/>
      <c r="LZ147" s="36"/>
      <c r="MA147" s="36"/>
      <c r="MB147" s="36"/>
      <c r="MC147" s="36"/>
      <c r="MD147" s="36"/>
      <c r="ME147" s="36"/>
      <c r="MF147" s="36"/>
      <c r="MG147" s="36"/>
      <c r="MH147" s="36"/>
      <c r="MI147" s="36"/>
      <c r="MJ147" s="36"/>
      <c r="MK147" s="36"/>
      <c r="ML147" s="36"/>
      <c r="MM147" s="36"/>
      <c r="MN147" s="36"/>
      <c r="MO147" s="36"/>
      <c r="MP147" s="36"/>
      <c r="MQ147" s="36"/>
      <c r="MR147" s="36"/>
      <c r="MS147" s="36"/>
      <c r="MT147" s="36"/>
      <c r="MU147" s="36"/>
      <c r="MV147" s="36"/>
      <c r="MW147" s="36"/>
      <c r="MX147" s="36"/>
      <c r="MY147" s="36"/>
      <c r="MZ147" s="36"/>
      <c r="NA147" s="36"/>
      <c r="NB147" s="36"/>
      <c r="NC147" s="36"/>
      <c r="ND147" s="36"/>
      <c r="NE147" s="36"/>
      <c r="NF147" s="36"/>
      <c r="NG147" s="36"/>
      <c r="NH147" s="36"/>
      <c r="NI147" s="36"/>
      <c r="NJ147" s="36"/>
      <c r="NK147" s="36"/>
      <c r="NL147" s="36"/>
      <c r="NM147" s="36"/>
      <c r="NN147" s="36"/>
      <c r="NO147" s="36"/>
      <c r="NP147" s="36"/>
      <c r="NQ147" s="36"/>
      <c r="NR147" s="36"/>
      <c r="NS147" s="36"/>
      <c r="NT147" s="36"/>
      <c r="NU147" s="36"/>
      <c r="NV147" s="36"/>
      <c r="NW147" s="36"/>
      <c r="NX147" s="36"/>
      <c r="NY147" s="36"/>
      <c r="NZ147" s="36"/>
      <c r="OA147" s="36"/>
      <c r="OB147" s="36"/>
      <c r="OC147" s="36"/>
      <c r="OD147" s="36"/>
      <c r="OE147" s="36"/>
      <c r="OF147" s="36"/>
      <c r="OG147" s="36"/>
      <c r="OH147" s="36"/>
      <c r="OI147" s="36"/>
      <c r="OJ147" s="36"/>
      <c r="OK147" s="36"/>
      <c r="OL147" s="36"/>
      <c r="OM147" s="36"/>
      <c r="ON147" s="36"/>
      <c r="OO147" s="36"/>
      <c r="OP147" s="36"/>
      <c r="OQ147" s="36"/>
      <c r="OR147" s="36"/>
      <c r="OS147" s="36"/>
      <c r="OT147" s="36"/>
      <c r="OU147" s="36"/>
      <c r="OV147" s="36"/>
      <c r="OW147" s="36"/>
      <c r="OX147" s="36"/>
      <c r="OY147" s="36"/>
      <c r="OZ147" s="36"/>
      <c r="PA147" s="36"/>
      <c r="PB147" s="36"/>
      <c r="PC147" s="36"/>
      <c r="PD147" s="36"/>
      <c r="PE147" s="36"/>
      <c r="PF147" s="36"/>
      <c r="PG147" s="36"/>
      <c r="PH147" s="36"/>
      <c r="PI147" s="36"/>
      <c r="PJ147" s="36"/>
      <c r="PK147" s="36"/>
      <c r="PL147" s="36"/>
      <c r="PM147" s="36"/>
      <c r="PN147" s="36"/>
      <c r="PO147" s="36"/>
      <c r="PP147" s="36"/>
      <c r="PQ147" s="36"/>
      <c r="PR147" s="36"/>
      <c r="PS147" s="36"/>
      <c r="PT147" s="36"/>
      <c r="PU147" s="36"/>
      <c r="PV147" s="36"/>
      <c r="PW147" s="36"/>
      <c r="PX147" s="36"/>
      <c r="PY147" s="36"/>
      <c r="PZ147" s="36"/>
      <c r="QA147" s="36"/>
      <c r="QB147" s="36"/>
      <c r="QC147" s="36"/>
      <c r="QD147" s="36"/>
      <c r="QE147" s="36"/>
      <c r="QF147" s="36"/>
      <c r="QG147" s="36"/>
      <c r="QH147" s="36"/>
      <c r="QI147" s="36"/>
      <c r="QJ147" s="36"/>
      <c r="QK147" s="36"/>
      <c r="QL147" s="36"/>
      <c r="QM147" s="36"/>
      <c r="QN147" s="36"/>
      <c r="QO147" s="36"/>
      <c r="QP147" s="36"/>
      <c r="QQ147" s="36"/>
      <c r="QR147" s="36"/>
      <c r="QS147" s="36"/>
      <c r="QT147" s="36"/>
      <c r="QU147" s="36"/>
      <c r="QV147" s="36"/>
      <c r="QW147" s="36"/>
      <c r="QX147" s="36"/>
      <c r="QY147" s="36"/>
      <c r="QZ147" s="36"/>
      <c r="RA147" s="36"/>
      <c r="RB147" s="36"/>
      <c r="RC147" s="36"/>
      <c r="RD147" s="36"/>
      <c r="RE147" s="36"/>
      <c r="RF147" s="36"/>
      <c r="RG147" s="36"/>
      <c r="RH147" s="36"/>
      <c r="RI147" s="36"/>
      <c r="RJ147" s="36"/>
      <c r="RK147" s="36"/>
      <c r="RL147" s="36"/>
      <c r="RM147" s="36"/>
      <c r="RN147" s="36"/>
      <c r="RO147" s="36"/>
      <c r="RP147" s="36"/>
      <c r="RQ147" s="36"/>
      <c r="RR147" s="36"/>
      <c r="RS147" s="36"/>
      <c r="RT147" s="36"/>
      <c r="RU147" s="36"/>
      <c r="RV147" s="36"/>
      <c r="RW147" s="36"/>
      <c r="RX147" s="36"/>
      <c r="RY147" s="36"/>
      <c r="RZ147" s="36"/>
      <c r="SA147" s="36"/>
      <c r="SB147" s="36"/>
      <c r="SC147" s="36"/>
      <c r="SD147" s="36"/>
      <c r="SE147" s="36"/>
      <c r="SF147" s="36"/>
      <c r="SG147" s="36"/>
      <c r="SH147" s="36"/>
      <c r="SI147" s="36"/>
      <c r="SJ147" s="36"/>
      <c r="SK147" s="36"/>
      <c r="SL147" s="36"/>
      <c r="SM147" s="36"/>
      <c r="SN147" s="36"/>
      <c r="SO147" s="36"/>
      <c r="SP147" s="36"/>
      <c r="SQ147" s="36"/>
      <c r="SR147" s="36"/>
      <c r="SS147" s="36"/>
      <c r="ST147" s="36"/>
      <c r="SU147" s="36"/>
      <c r="SV147" s="36"/>
      <c r="SW147" s="36"/>
      <c r="SX147" s="36"/>
      <c r="SY147" s="36"/>
      <c r="SZ147" s="36"/>
      <c r="TA147" s="36"/>
      <c r="TB147" s="36"/>
      <c r="TC147" s="36"/>
      <c r="TD147" s="36"/>
      <c r="TE147" s="36"/>
      <c r="TF147" s="36"/>
      <c r="TG147" s="36"/>
      <c r="TH147" s="36"/>
      <c r="TI147" s="36"/>
    </row>
    <row r="148" spans="1:529" s="23" customFormat="1" ht="38.25" customHeight="1" x14ac:dyDescent="0.25">
      <c r="A148" s="43" t="s">
        <v>386</v>
      </c>
      <c r="B148" s="44" t="str">
        <f>'дод 4'!A86</f>
        <v>3090</v>
      </c>
      <c r="C148" s="44" t="str">
        <f>'дод 4'!B86</f>
        <v>1030</v>
      </c>
      <c r="D148" s="24" t="str">
        <f>'дод 4'!C86</f>
        <v>Видатки на поховання учасників бойових дій та осіб з інвалідністю внаслідок війни, у т.ч. за рахунок:</v>
      </c>
      <c r="E148" s="66">
        <f t="shared" si="59"/>
        <v>228400</v>
      </c>
      <c r="F148" s="66">
        <v>228400</v>
      </c>
      <c r="G148" s="66"/>
      <c r="H148" s="66"/>
      <c r="I148" s="66"/>
      <c r="J148" s="66">
        <f t="shared" si="61"/>
        <v>0</v>
      </c>
      <c r="K148" s="66"/>
      <c r="L148" s="66"/>
      <c r="M148" s="66"/>
      <c r="N148" s="66"/>
      <c r="O148" s="66"/>
      <c r="P148" s="66">
        <f t="shared" si="60"/>
        <v>228400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  <c r="IW148" s="26"/>
      <c r="IX148" s="26"/>
      <c r="IY148" s="26"/>
      <c r="IZ148" s="26"/>
      <c r="JA148" s="26"/>
      <c r="JB148" s="26"/>
      <c r="JC148" s="26"/>
      <c r="JD148" s="26"/>
      <c r="JE148" s="26"/>
      <c r="JF148" s="26"/>
      <c r="JG148" s="26"/>
      <c r="JH148" s="26"/>
      <c r="JI148" s="26"/>
      <c r="JJ148" s="26"/>
      <c r="JK148" s="26"/>
      <c r="JL148" s="26"/>
      <c r="JM148" s="26"/>
      <c r="JN148" s="26"/>
      <c r="JO148" s="26"/>
      <c r="JP148" s="26"/>
      <c r="JQ148" s="26"/>
      <c r="JR148" s="26"/>
      <c r="JS148" s="26"/>
      <c r="JT148" s="26"/>
      <c r="JU148" s="26"/>
      <c r="JV148" s="26"/>
      <c r="JW148" s="26"/>
      <c r="JX148" s="26"/>
      <c r="JY148" s="26"/>
      <c r="JZ148" s="26"/>
      <c r="KA148" s="26"/>
      <c r="KB148" s="26"/>
      <c r="KC148" s="26"/>
      <c r="KD148" s="26"/>
      <c r="KE148" s="26"/>
      <c r="KF148" s="26"/>
      <c r="KG148" s="26"/>
      <c r="KH148" s="26"/>
      <c r="KI148" s="26"/>
      <c r="KJ148" s="26"/>
      <c r="KK148" s="26"/>
      <c r="KL148" s="26"/>
      <c r="KM148" s="26"/>
      <c r="KN148" s="26"/>
      <c r="KO148" s="26"/>
      <c r="KP148" s="26"/>
      <c r="KQ148" s="26"/>
      <c r="KR148" s="26"/>
      <c r="KS148" s="26"/>
      <c r="KT148" s="26"/>
      <c r="KU148" s="26"/>
      <c r="KV148" s="26"/>
      <c r="KW148" s="26"/>
      <c r="KX148" s="26"/>
      <c r="KY148" s="26"/>
      <c r="KZ148" s="26"/>
      <c r="LA148" s="26"/>
      <c r="LB148" s="26"/>
      <c r="LC148" s="26"/>
      <c r="LD148" s="26"/>
      <c r="LE148" s="26"/>
      <c r="LF148" s="26"/>
      <c r="LG148" s="26"/>
      <c r="LH148" s="26"/>
      <c r="LI148" s="26"/>
      <c r="LJ148" s="26"/>
      <c r="LK148" s="26"/>
      <c r="LL148" s="26"/>
      <c r="LM148" s="26"/>
      <c r="LN148" s="26"/>
      <c r="LO148" s="26"/>
      <c r="LP148" s="26"/>
      <c r="LQ148" s="26"/>
      <c r="LR148" s="26"/>
      <c r="LS148" s="26"/>
      <c r="LT148" s="26"/>
      <c r="LU148" s="26"/>
      <c r="LV148" s="26"/>
      <c r="LW148" s="26"/>
      <c r="LX148" s="26"/>
      <c r="LY148" s="26"/>
      <c r="LZ148" s="26"/>
      <c r="MA148" s="26"/>
      <c r="MB148" s="26"/>
      <c r="MC148" s="26"/>
      <c r="MD148" s="26"/>
      <c r="ME148" s="26"/>
      <c r="MF148" s="26"/>
      <c r="MG148" s="26"/>
      <c r="MH148" s="26"/>
      <c r="MI148" s="26"/>
      <c r="MJ148" s="26"/>
      <c r="MK148" s="26"/>
      <c r="ML148" s="26"/>
      <c r="MM148" s="26"/>
      <c r="MN148" s="26"/>
      <c r="MO148" s="26"/>
      <c r="MP148" s="26"/>
      <c r="MQ148" s="26"/>
      <c r="MR148" s="26"/>
      <c r="MS148" s="26"/>
      <c r="MT148" s="26"/>
      <c r="MU148" s="26"/>
      <c r="MV148" s="26"/>
      <c r="MW148" s="26"/>
      <c r="MX148" s="26"/>
      <c r="MY148" s="26"/>
      <c r="MZ148" s="26"/>
      <c r="NA148" s="26"/>
      <c r="NB148" s="26"/>
      <c r="NC148" s="26"/>
      <c r="ND148" s="26"/>
      <c r="NE148" s="26"/>
      <c r="NF148" s="26"/>
      <c r="NG148" s="26"/>
      <c r="NH148" s="26"/>
      <c r="NI148" s="26"/>
      <c r="NJ148" s="26"/>
      <c r="NK148" s="26"/>
      <c r="NL148" s="26"/>
      <c r="NM148" s="26"/>
      <c r="NN148" s="26"/>
      <c r="NO148" s="26"/>
      <c r="NP148" s="26"/>
      <c r="NQ148" s="26"/>
      <c r="NR148" s="26"/>
      <c r="NS148" s="26"/>
      <c r="NT148" s="26"/>
      <c r="NU148" s="26"/>
      <c r="NV148" s="26"/>
      <c r="NW148" s="26"/>
      <c r="NX148" s="26"/>
      <c r="NY148" s="26"/>
      <c r="NZ148" s="26"/>
      <c r="OA148" s="26"/>
      <c r="OB148" s="26"/>
      <c r="OC148" s="26"/>
      <c r="OD148" s="26"/>
      <c r="OE148" s="26"/>
      <c r="OF148" s="26"/>
      <c r="OG148" s="26"/>
      <c r="OH148" s="26"/>
      <c r="OI148" s="26"/>
      <c r="OJ148" s="26"/>
      <c r="OK148" s="26"/>
      <c r="OL148" s="26"/>
      <c r="OM148" s="26"/>
      <c r="ON148" s="26"/>
      <c r="OO148" s="26"/>
      <c r="OP148" s="26"/>
      <c r="OQ148" s="26"/>
      <c r="OR148" s="26"/>
      <c r="OS148" s="26"/>
      <c r="OT148" s="26"/>
      <c r="OU148" s="26"/>
      <c r="OV148" s="26"/>
      <c r="OW148" s="26"/>
      <c r="OX148" s="26"/>
      <c r="OY148" s="26"/>
      <c r="OZ148" s="26"/>
      <c r="PA148" s="26"/>
      <c r="PB148" s="26"/>
      <c r="PC148" s="26"/>
      <c r="PD148" s="26"/>
      <c r="PE148" s="26"/>
      <c r="PF148" s="26"/>
      <c r="PG148" s="26"/>
      <c r="PH148" s="26"/>
      <c r="PI148" s="26"/>
      <c r="PJ148" s="26"/>
      <c r="PK148" s="26"/>
      <c r="PL148" s="26"/>
      <c r="PM148" s="26"/>
      <c r="PN148" s="26"/>
      <c r="PO148" s="26"/>
      <c r="PP148" s="26"/>
      <c r="PQ148" s="26"/>
      <c r="PR148" s="26"/>
      <c r="PS148" s="26"/>
      <c r="PT148" s="26"/>
      <c r="PU148" s="26"/>
      <c r="PV148" s="26"/>
      <c r="PW148" s="26"/>
      <c r="PX148" s="26"/>
      <c r="PY148" s="26"/>
      <c r="PZ148" s="26"/>
      <c r="QA148" s="26"/>
      <c r="QB148" s="26"/>
      <c r="QC148" s="26"/>
      <c r="QD148" s="26"/>
      <c r="QE148" s="26"/>
      <c r="QF148" s="26"/>
      <c r="QG148" s="26"/>
      <c r="QH148" s="26"/>
      <c r="QI148" s="26"/>
      <c r="QJ148" s="26"/>
      <c r="QK148" s="26"/>
      <c r="QL148" s="26"/>
      <c r="QM148" s="26"/>
      <c r="QN148" s="26"/>
      <c r="QO148" s="26"/>
      <c r="QP148" s="26"/>
      <c r="QQ148" s="26"/>
      <c r="QR148" s="26"/>
      <c r="QS148" s="26"/>
      <c r="QT148" s="26"/>
      <c r="QU148" s="26"/>
      <c r="QV148" s="26"/>
      <c r="QW148" s="26"/>
      <c r="QX148" s="26"/>
      <c r="QY148" s="26"/>
      <c r="QZ148" s="26"/>
      <c r="RA148" s="26"/>
      <c r="RB148" s="26"/>
      <c r="RC148" s="26"/>
      <c r="RD148" s="26"/>
      <c r="RE148" s="26"/>
      <c r="RF148" s="26"/>
      <c r="RG148" s="26"/>
      <c r="RH148" s="26"/>
      <c r="RI148" s="26"/>
      <c r="RJ148" s="26"/>
      <c r="RK148" s="26"/>
      <c r="RL148" s="26"/>
      <c r="RM148" s="26"/>
      <c r="RN148" s="26"/>
      <c r="RO148" s="26"/>
      <c r="RP148" s="26"/>
      <c r="RQ148" s="26"/>
      <c r="RR148" s="26"/>
      <c r="RS148" s="26"/>
      <c r="RT148" s="26"/>
      <c r="RU148" s="26"/>
      <c r="RV148" s="26"/>
      <c r="RW148" s="26"/>
      <c r="RX148" s="26"/>
      <c r="RY148" s="26"/>
      <c r="RZ148" s="26"/>
      <c r="SA148" s="26"/>
      <c r="SB148" s="26"/>
      <c r="SC148" s="26"/>
      <c r="SD148" s="26"/>
      <c r="SE148" s="26"/>
      <c r="SF148" s="26"/>
      <c r="SG148" s="26"/>
      <c r="SH148" s="26"/>
      <c r="SI148" s="26"/>
      <c r="SJ148" s="26"/>
      <c r="SK148" s="26"/>
      <c r="SL148" s="26"/>
      <c r="SM148" s="26"/>
      <c r="SN148" s="26"/>
      <c r="SO148" s="26"/>
      <c r="SP148" s="26"/>
      <c r="SQ148" s="26"/>
      <c r="SR148" s="26"/>
      <c r="SS148" s="26"/>
      <c r="ST148" s="26"/>
      <c r="SU148" s="26"/>
      <c r="SV148" s="26"/>
      <c r="SW148" s="26"/>
      <c r="SX148" s="26"/>
      <c r="SY148" s="26"/>
      <c r="SZ148" s="26"/>
      <c r="TA148" s="26"/>
      <c r="TB148" s="26"/>
      <c r="TC148" s="26"/>
      <c r="TD148" s="26"/>
      <c r="TE148" s="26"/>
      <c r="TF148" s="26"/>
      <c r="TG148" s="26"/>
      <c r="TH148" s="26"/>
      <c r="TI148" s="26"/>
    </row>
    <row r="149" spans="1:529" s="27" customFormat="1" x14ac:dyDescent="0.25">
      <c r="A149" s="145"/>
      <c r="B149" s="146"/>
      <c r="C149" s="146"/>
      <c r="D149" s="149" t="s">
        <v>457</v>
      </c>
      <c r="E149" s="144">
        <f t="shared" si="59"/>
        <v>228400</v>
      </c>
      <c r="F149" s="144">
        <v>228400</v>
      </c>
      <c r="G149" s="144"/>
      <c r="H149" s="144"/>
      <c r="I149" s="144"/>
      <c r="J149" s="144">
        <f t="shared" si="61"/>
        <v>0</v>
      </c>
      <c r="K149" s="144"/>
      <c r="L149" s="144"/>
      <c r="M149" s="144"/>
      <c r="N149" s="144"/>
      <c r="O149" s="144"/>
      <c r="P149" s="144">
        <f t="shared" si="60"/>
        <v>228400</v>
      </c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  <c r="IB149" s="36"/>
      <c r="IC149" s="36"/>
      <c r="ID149" s="36"/>
      <c r="IE149" s="36"/>
      <c r="IF149" s="36"/>
      <c r="IG149" s="36"/>
      <c r="IH149" s="36"/>
      <c r="II149" s="36"/>
      <c r="IJ149" s="36"/>
      <c r="IK149" s="36"/>
      <c r="IL149" s="36"/>
      <c r="IM149" s="36"/>
      <c r="IN149" s="36"/>
      <c r="IO149" s="36"/>
      <c r="IP149" s="36"/>
      <c r="IQ149" s="36"/>
      <c r="IR149" s="36"/>
      <c r="IS149" s="36"/>
      <c r="IT149" s="36"/>
      <c r="IU149" s="36"/>
      <c r="IV149" s="36"/>
      <c r="IW149" s="36"/>
      <c r="IX149" s="36"/>
      <c r="IY149" s="36"/>
      <c r="IZ149" s="36"/>
      <c r="JA149" s="36"/>
      <c r="JB149" s="36"/>
      <c r="JC149" s="36"/>
      <c r="JD149" s="36"/>
      <c r="JE149" s="36"/>
      <c r="JF149" s="36"/>
      <c r="JG149" s="36"/>
      <c r="JH149" s="36"/>
      <c r="JI149" s="36"/>
      <c r="JJ149" s="36"/>
      <c r="JK149" s="36"/>
      <c r="JL149" s="36"/>
      <c r="JM149" s="36"/>
      <c r="JN149" s="36"/>
      <c r="JO149" s="36"/>
      <c r="JP149" s="36"/>
      <c r="JQ149" s="36"/>
      <c r="JR149" s="36"/>
      <c r="JS149" s="36"/>
      <c r="JT149" s="36"/>
      <c r="JU149" s="36"/>
      <c r="JV149" s="36"/>
      <c r="JW149" s="36"/>
      <c r="JX149" s="36"/>
      <c r="JY149" s="36"/>
      <c r="JZ149" s="36"/>
      <c r="KA149" s="36"/>
      <c r="KB149" s="36"/>
      <c r="KC149" s="36"/>
      <c r="KD149" s="36"/>
      <c r="KE149" s="36"/>
      <c r="KF149" s="36"/>
      <c r="KG149" s="36"/>
      <c r="KH149" s="36"/>
      <c r="KI149" s="36"/>
      <c r="KJ149" s="36"/>
      <c r="KK149" s="36"/>
      <c r="KL149" s="36"/>
      <c r="KM149" s="36"/>
      <c r="KN149" s="36"/>
      <c r="KO149" s="36"/>
      <c r="KP149" s="36"/>
      <c r="KQ149" s="36"/>
      <c r="KR149" s="36"/>
      <c r="KS149" s="36"/>
      <c r="KT149" s="36"/>
      <c r="KU149" s="36"/>
      <c r="KV149" s="36"/>
      <c r="KW149" s="36"/>
      <c r="KX149" s="36"/>
      <c r="KY149" s="36"/>
      <c r="KZ149" s="36"/>
      <c r="LA149" s="36"/>
      <c r="LB149" s="36"/>
      <c r="LC149" s="36"/>
      <c r="LD149" s="36"/>
      <c r="LE149" s="36"/>
      <c r="LF149" s="36"/>
      <c r="LG149" s="36"/>
      <c r="LH149" s="36"/>
      <c r="LI149" s="36"/>
      <c r="LJ149" s="36"/>
      <c r="LK149" s="36"/>
      <c r="LL149" s="36"/>
      <c r="LM149" s="36"/>
      <c r="LN149" s="36"/>
      <c r="LO149" s="36"/>
      <c r="LP149" s="36"/>
      <c r="LQ149" s="36"/>
      <c r="LR149" s="36"/>
      <c r="LS149" s="36"/>
      <c r="LT149" s="36"/>
      <c r="LU149" s="36"/>
      <c r="LV149" s="36"/>
      <c r="LW149" s="36"/>
      <c r="LX149" s="36"/>
      <c r="LY149" s="36"/>
      <c r="LZ149" s="36"/>
      <c r="MA149" s="36"/>
      <c r="MB149" s="36"/>
      <c r="MC149" s="36"/>
      <c r="MD149" s="36"/>
      <c r="ME149" s="36"/>
      <c r="MF149" s="36"/>
      <c r="MG149" s="36"/>
      <c r="MH149" s="36"/>
      <c r="MI149" s="36"/>
      <c r="MJ149" s="36"/>
      <c r="MK149" s="36"/>
      <c r="ML149" s="36"/>
      <c r="MM149" s="36"/>
      <c r="MN149" s="36"/>
      <c r="MO149" s="36"/>
      <c r="MP149" s="36"/>
      <c r="MQ149" s="36"/>
      <c r="MR149" s="36"/>
      <c r="MS149" s="36"/>
      <c r="MT149" s="36"/>
      <c r="MU149" s="36"/>
      <c r="MV149" s="36"/>
      <c r="MW149" s="36"/>
      <c r="MX149" s="36"/>
      <c r="MY149" s="36"/>
      <c r="MZ149" s="36"/>
      <c r="NA149" s="36"/>
      <c r="NB149" s="36"/>
      <c r="NC149" s="36"/>
      <c r="ND149" s="36"/>
      <c r="NE149" s="36"/>
      <c r="NF149" s="36"/>
      <c r="NG149" s="36"/>
      <c r="NH149" s="36"/>
      <c r="NI149" s="36"/>
      <c r="NJ149" s="36"/>
      <c r="NK149" s="36"/>
      <c r="NL149" s="36"/>
      <c r="NM149" s="36"/>
      <c r="NN149" s="36"/>
      <c r="NO149" s="36"/>
      <c r="NP149" s="36"/>
      <c r="NQ149" s="36"/>
      <c r="NR149" s="36"/>
      <c r="NS149" s="36"/>
      <c r="NT149" s="36"/>
      <c r="NU149" s="36"/>
      <c r="NV149" s="36"/>
      <c r="NW149" s="36"/>
      <c r="NX149" s="36"/>
      <c r="NY149" s="36"/>
      <c r="NZ149" s="36"/>
      <c r="OA149" s="36"/>
      <c r="OB149" s="36"/>
      <c r="OC149" s="36"/>
      <c r="OD149" s="36"/>
      <c r="OE149" s="36"/>
      <c r="OF149" s="36"/>
      <c r="OG149" s="36"/>
      <c r="OH149" s="36"/>
      <c r="OI149" s="36"/>
      <c r="OJ149" s="36"/>
      <c r="OK149" s="36"/>
      <c r="OL149" s="36"/>
      <c r="OM149" s="36"/>
      <c r="ON149" s="36"/>
      <c r="OO149" s="36"/>
      <c r="OP149" s="36"/>
      <c r="OQ149" s="36"/>
      <c r="OR149" s="36"/>
      <c r="OS149" s="36"/>
      <c r="OT149" s="36"/>
      <c r="OU149" s="36"/>
      <c r="OV149" s="36"/>
      <c r="OW149" s="36"/>
      <c r="OX149" s="36"/>
      <c r="OY149" s="36"/>
      <c r="OZ149" s="36"/>
      <c r="PA149" s="36"/>
      <c r="PB149" s="36"/>
      <c r="PC149" s="36"/>
      <c r="PD149" s="36"/>
      <c r="PE149" s="36"/>
      <c r="PF149" s="36"/>
      <c r="PG149" s="36"/>
      <c r="PH149" s="36"/>
      <c r="PI149" s="36"/>
      <c r="PJ149" s="36"/>
      <c r="PK149" s="36"/>
      <c r="PL149" s="36"/>
      <c r="PM149" s="36"/>
      <c r="PN149" s="36"/>
      <c r="PO149" s="36"/>
      <c r="PP149" s="36"/>
      <c r="PQ149" s="36"/>
      <c r="PR149" s="36"/>
      <c r="PS149" s="36"/>
      <c r="PT149" s="36"/>
      <c r="PU149" s="36"/>
      <c r="PV149" s="36"/>
      <c r="PW149" s="36"/>
      <c r="PX149" s="36"/>
      <c r="PY149" s="36"/>
      <c r="PZ149" s="36"/>
      <c r="QA149" s="36"/>
      <c r="QB149" s="36"/>
      <c r="QC149" s="36"/>
      <c r="QD149" s="36"/>
      <c r="QE149" s="36"/>
      <c r="QF149" s="36"/>
      <c r="QG149" s="36"/>
      <c r="QH149" s="36"/>
      <c r="QI149" s="36"/>
      <c r="QJ149" s="36"/>
      <c r="QK149" s="36"/>
      <c r="QL149" s="36"/>
      <c r="QM149" s="36"/>
      <c r="QN149" s="36"/>
      <c r="QO149" s="36"/>
      <c r="QP149" s="36"/>
      <c r="QQ149" s="36"/>
      <c r="QR149" s="36"/>
      <c r="QS149" s="36"/>
      <c r="QT149" s="36"/>
      <c r="QU149" s="36"/>
      <c r="QV149" s="36"/>
      <c r="QW149" s="36"/>
      <c r="QX149" s="36"/>
      <c r="QY149" s="36"/>
      <c r="QZ149" s="36"/>
      <c r="RA149" s="36"/>
      <c r="RB149" s="36"/>
      <c r="RC149" s="36"/>
      <c r="RD149" s="36"/>
      <c r="RE149" s="36"/>
      <c r="RF149" s="36"/>
      <c r="RG149" s="36"/>
      <c r="RH149" s="36"/>
      <c r="RI149" s="36"/>
      <c r="RJ149" s="36"/>
      <c r="RK149" s="36"/>
      <c r="RL149" s="36"/>
      <c r="RM149" s="36"/>
      <c r="RN149" s="36"/>
      <c r="RO149" s="36"/>
      <c r="RP149" s="36"/>
      <c r="RQ149" s="36"/>
      <c r="RR149" s="36"/>
      <c r="RS149" s="36"/>
      <c r="RT149" s="36"/>
      <c r="RU149" s="36"/>
      <c r="RV149" s="36"/>
      <c r="RW149" s="36"/>
      <c r="RX149" s="36"/>
      <c r="RY149" s="36"/>
      <c r="RZ149" s="36"/>
      <c r="SA149" s="36"/>
      <c r="SB149" s="36"/>
      <c r="SC149" s="36"/>
      <c r="SD149" s="36"/>
      <c r="SE149" s="36"/>
      <c r="SF149" s="36"/>
      <c r="SG149" s="36"/>
      <c r="SH149" s="36"/>
      <c r="SI149" s="36"/>
      <c r="SJ149" s="36"/>
      <c r="SK149" s="36"/>
      <c r="SL149" s="36"/>
      <c r="SM149" s="36"/>
      <c r="SN149" s="36"/>
      <c r="SO149" s="36"/>
      <c r="SP149" s="36"/>
      <c r="SQ149" s="36"/>
      <c r="SR149" s="36"/>
      <c r="SS149" s="36"/>
      <c r="ST149" s="36"/>
      <c r="SU149" s="36"/>
      <c r="SV149" s="36"/>
      <c r="SW149" s="36"/>
      <c r="SX149" s="36"/>
      <c r="SY149" s="36"/>
      <c r="SZ149" s="36"/>
      <c r="TA149" s="36"/>
      <c r="TB149" s="36"/>
      <c r="TC149" s="36"/>
      <c r="TD149" s="36"/>
      <c r="TE149" s="36"/>
      <c r="TF149" s="36"/>
      <c r="TG149" s="36"/>
      <c r="TH149" s="36"/>
      <c r="TI149" s="36"/>
    </row>
    <row r="150" spans="1:529" s="23" customFormat="1" ht="47.25" customHeight="1" x14ac:dyDescent="0.25">
      <c r="A150" s="43" t="s">
        <v>201</v>
      </c>
      <c r="B150" s="44" t="str">
        <f>'дод 4'!A88</f>
        <v>3104</v>
      </c>
      <c r="C150" s="44" t="str">
        <f>'дод 4'!B88</f>
        <v>1020</v>
      </c>
      <c r="D150" s="24" t="str">
        <f>'дод 4'!C88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50" s="66">
        <f t="shared" si="59"/>
        <v>13559030</v>
      </c>
      <c r="F150" s="66">
        <f>13527630+2100+29600-300</f>
        <v>13559030</v>
      </c>
      <c r="G150" s="66">
        <v>10389550</v>
      </c>
      <c r="H150" s="66">
        <v>230060</v>
      </c>
      <c r="I150" s="66"/>
      <c r="J150" s="66">
        <f t="shared" si="61"/>
        <v>478300</v>
      </c>
      <c r="K150" s="66">
        <f>342900+20000+7300</f>
        <v>370200</v>
      </c>
      <c r="L150" s="66">
        <v>108100</v>
      </c>
      <c r="M150" s="66">
        <v>85100</v>
      </c>
      <c r="N150" s="66"/>
      <c r="O150" s="66">
        <f>342900+20000+7300</f>
        <v>370200</v>
      </c>
      <c r="P150" s="66">
        <f t="shared" si="60"/>
        <v>14037330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  <c r="IW150" s="26"/>
      <c r="IX150" s="26"/>
      <c r="IY150" s="26"/>
      <c r="IZ150" s="26"/>
      <c r="JA150" s="26"/>
      <c r="JB150" s="26"/>
      <c r="JC150" s="26"/>
      <c r="JD150" s="26"/>
      <c r="JE150" s="26"/>
      <c r="JF150" s="26"/>
      <c r="JG150" s="26"/>
      <c r="JH150" s="26"/>
      <c r="JI150" s="26"/>
      <c r="JJ150" s="26"/>
      <c r="JK150" s="26"/>
      <c r="JL150" s="26"/>
      <c r="JM150" s="26"/>
      <c r="JN150" s="26"/>
      <c r="JO150" s="26"/>
      <c r="JP150" s="26"/>
      <c r="JQ150" s="26"/>
      <c r="JR150" s="26"/>
      <c r="JS150" s="26"/>
      <c r="JT150" s="26"/>
      <c r="JU150" s="26"/>
      <c r="JV150" s="26"/>
      <c r="JW150" s="26"/>
      <c r="JX150" s="26"/>
      <c r="JY150" s="26"/>
      <c r="JZ150" s="26"/>
      <c r="KA150" s="26"/>
      <c r="KB150" s="26"/>
      <c r="KC150" s="26"/>
      <c r="KD150" s="26"/>
      <c r="KE150" s="26"/>
      <c r="KF150" s="26"/>
      <c r="KG150" s="26"/>
      <c r="KH150" s="26"/>
      <c r="KI150" s="26"/>
      <c r="KJ150" s="26"/>
      <c r="KK150" s="26"/>
      <c r="KL150" s="26"/>
      <c r="KM150" s="26"/>
      <c r="KN150" s="26"/>
      <c r="KO150" s="26"/>
      <c r="KP150" s="26"/>
      <c r="KQ150" s="26"/>
      <c r="KR150" s="26"/>
      <c r="KS150" s="26"/>
      <c r="KT150" s="26"/>
      <c r="KU150" s="26"/>
      <c r="KV150" s="26"/>
      <c r="KW150" s="26"/>
      <c r="KX150" s="26"/>
      <c r="KY150" s="26"/>
      <c r="KZ150" s="26"/>
      <c r="LA150" s="26"/>
      <c r="LB150" s="26"/>
      <c r="LC150" s="26"/>
      <c r="LD150" s="26"/>
      <c r="LE150" s="26"/>
      <c r="LF150" s="26"/>
      <c r="LG150" s="26"/>
      <c r="LH150" s="26"/>
      <c r="LI150" s="26"/>
      <c r="LJ150" s="26"/>
      <c r="LK150" s="26"/>
      <c r="LL150" s="26"/>
      <c r="LM150" s="26"/>
      <c r="LN150" s="26"/>
      <c r="LO150" s="26"/>
      <c r="LP150" s="26"/>
      <c r="LQ150" s="26"/>
      <c r="LR150" s="26"/>
      <c r="LS150" s="26"/>
      <c r="LT150" s="26"/>
      <c r="LU150" s="26"/>
      <c r="LV150" s="26"/>
      <c r="LW150" s="26"/>
      <c r="LX150" s="26"/>
      <c r="LY150" s="26"/>
      <c r="LZ150" s="26"/>
      <c r="MA150" s="26"/>
      <c r="MB150" s="26"/>
      <c r="MC150" s="26"/>
      <c r="MD150" s="26"/>
      <c r="ME150" s="26"/>
      <c r="MF150" s="26"/>
      <c r="MG150" s="26"/>
      <c r="MH150" s="26"/>
      <c r="MI150" s="26"/>
      <c r="MJ150" s="26"/>
      <c r="MK150" s="26"/>
      <c r="ML150" s="26"/>
      <c r="MM150" s="26"/>
      <c r="MN150" s="26"/>
      <c r="MO150" s="26"/>
      <c r="MP150" s="26"/>
      <c r="MQ150" s="26"/>
      <c r="MR150" s="26"/>
      <c r="MS150" s="26"/>
      <c r="MT150" s="26"/>
      <c r="MU150" s="26"/>
      <c r="MV150" s="26"/>
      <c r="MW150" s="26"/>
      <c r="MX150" s="26"/>
      <c r="MY150" s="26"/>
      <c r="MZ150" s="26"/>
      <c r="NA150" s="26"/>
      <c r="NB150" s="26"/>
      <c r="NC150" s="26"/>
      <c r="ND150" s="26"/>
      <c r="NE150" s="26"/>
      <c r="NF150" s="26"/>
      <c r="NG150" s="26"/>
      <c r="NH150" s="26"/>
      <c r="NI150" s="26"/>
      <c r="NJ150" s="26"/>
      <c r="NK150" s="26"/>
      <c r="NL150" s="26"/>
      <c r="NM150" s="26"/>
      <c r="NN150" s="26"/>
      <c r="NO150" s="26"/>
      <c r="NP150" s="26"/>
      <c r="NQ150" s="26"/>
      <c r="NR150" s="26"/>
      <c r="NS150" s="26"/>
      <c r="NT150" s="26"/>
      <c r="NU150" s="26"/>
      <c r="NV150" s="26"/>
      <c r="NW150" s="26"/>
      <c r="NX150" s="26"/>
      <c r="NY150" s="26"/>
      <c r="NZ150" s="26"/>
      <c r="OA150" s="26"/>
      <c r="OB150" s="26"/>
      <c r="OC150" s="26"/>
      <c r="OD150" s="26"/>
      <c r="OE150" s="26"/>
      <c r="OF150" s="26"/>
      <c r="OG150" s="26"/>
      <c r="OH150" s="26"/>
      <c r="OI150" s="26"/>
      <c r="OJ150" s="26"/>
      <c r="OK150" s="26"/>
      <c r="OL150" s="26"/>
      <c r="OM150" s="26"/>
      <c r="ON150" s="26"/>
      <c r="OO150" s="26"/>
      <c r="OP150" s="26"/>
      <c r="OQ150" s="26"/>
      <c r="OR150" s="26"/>
      <c r="OS150" s="26"/>
      <c r="OT150" s="26"/>
      <c r="OU150" s="26"/>
      <c r="OV150" s="26"/>
      <c r="OW150" s="26"/>
      <c r="OX150" s="26"/>
      <c r="OY150" s="26"/>
      <c r="OZ150" s="26"/>
      <c r="PA150" s="26"/>
      <c r="PB150" s="26"/>
      <c r="PC150" s="26"/>
      <c r="PD150" s="26"/>
      <c r="PE150" s="26"/>
      <c r="PF150" s="26"/>
      <c r="PG150" s="26"/>
      <c r="PH150" s="26"/>
      <c r="PI150" s="26"/>
      <c r="PJ150" s="26"/>
      <c r="PK150" s="26"/>
      <c r="PL150" s="26"/>
      <c r="PM150" s="26"/>
      <c r="PN150" s="26"/>
      <c r="PO150" s="26"/>
      <c r="PP150" s="26"/>
      <c r="PQ150" s="26"/>
      <c r="PR150" s="26"/>
      <c r="PS150" s="26"/>
      <c r="PT150" s="26"/>
      <c r="PU150" s="26"/>
      <c r="PV150" s="26"/>
      <c r="PW150" s="26"/>
      <c r="PX150" s="26"/>
      <c r="PY150" s="26"/>
      <c r="PZ150" s="26"/>
      <c r="QA150" s="26"/>
      <c r="QB150" s="26"/>
      <c r="QC150" s="26"/>
      <c r="QD150" s="26"/>
      <c r="QE150" s="26"/>
      <c r="QF150" s="26"/>
      <c r="QG150" s="26"/>
      <c r="QH150" s="26"/>
      <c r="QI150" s="26"/>
      <c r="QJ150" s="26"/>
      <c r="QK150" s="26"/>
      <c r="QL150" s="26"/>
      <c r="QM150" s="26"/>
      <c r="QN150" s="26"/>
      <c r="QO150" s="26"/>
      <c r="QP150" s="26"/>
      <c r="QQ150" s="26"/>
      <c r="QR150" s="26"/>
      <c r="QS150" s="26"/>
      <c r="QT150" s="26"/>
      <c r="QU150" s="26"/>
      <c r="QV150" s="26"/>
      <c r="QW150" s="26"/>
      <c r="QX150" s="26"/>
      <c r="QY150" s="26"/>
      <c r="QZ150" s="26"/>
      <c r="RA150" s="26"/>
      <c r="RB150" s="26"/>
      <c r="RC150" s="26"/>
      <c r="RD150" s="26"/>
      <c r="RE150" s="26"/>
      <c r="RF150" s="26"/>
      <c r="RG150" s="26"/>
      <c r="RH150" s="26"/>
      <c r="RI150" s="26"/>
      <c r="RJ150" s="26"/>
      <c r="RK150" s="26"/>
      <c r="RL150" s="26"/>
      <c r="RM150" s="26"/>
      <c r="RN150" s="26"/>
      <c r="RO150" s="26"/>
      <c r="RP150" s="26"/>
      <c r="RQ150" s="26"/>
      <c r="RR150" s="26"/>
      <c r="RS150" s="26"/>
      <c r="RT150" s="26"/>
      <c r="RU150" s="26"/>
      <c r="RV150" s="26"/>
      <c r="RW150" s="26"/>
      <c r="RX150" s="26"/>
      <c r="RY150" s="26"/>
      <c r="RZ150" s="26"/>
      <c r="SA150" s="26"/>
      <c r="SB150" s="26"/>
      <c r="SC150" s="26"/>
      <c r="SD150" s="26"/>
      <c r="SE150" s="26"/>
      <c r="SF150" s="26"/>
      <c r="SG150" s="26"/>
      <c r="SH150" s="26"/>
      <c r="SI150" s="26"/>
      <c r="SJ150" s="26"/>
      <c r="SK150" s="26"/>
      <c r="SL150" s="26"/>
      <c r="SM150" s="26"/>
      <c r="SN150" s="26"/>
      <c r="SO150" s="26"/>
      <c r="SP150" s="26"/>
      <c r="SQ150" s="26"/>
      <c r="SR150" s="26"/>
      <c r="SS150" s="26"/>
      <c r="ST150" s="26"/>
      <c r="SU150" s="26"/>
      <c r="SV150" s="26"/>
      <c r="SW150" s="26"/>
      <c r="SX150" s="26"/>
      <c r="SY150" s="26"/>
      <c r="SZ150" s="26"/>
      <c r="TA150" s="26"/>
      <c r="TB150" s="26"/>
      <c r="TC150" s="26"/>
      <c r="TD150" s="26"/>
      <c r="TE150" s="26"/>
      <c r="TF150" s="26"/>
      <c r="TG150" s="26"/>
      <c r="TH150" s="26"/>
      <c r="TI150" s="26"/>
    </row>
    <row r="151" spans="1:529" s="23" customFormat="1" ht="68.25" customHeight="1" x14ac:dyDescent="0.25">
      <c r="A151" s="43" t="s">
        <v>202</v>
      </c>
      <c r="B151" s="44" t="str">
        <f>'дод 4'!A94</f>
        <v>3160</v>
      </c>
      <c r="C151" s="44">
        <f>'дод 4'!B94</f>
        <v>1010</v>
      </c>
      <c r="D151" s="24" t="str">
        <f>'дод 4'!C94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51" s="66">
        <f t="shared" si="59"/>
        <v>1884220</v>
      </c>
      <c r="F151" s="66">
        <f>1911000-16000-10780</f>
        <v>1884220</v>
      </c>
      <c r="G151" s="66"/>
      <c r="H151" s="66"/>
      <c r="I151" s="66"/>
      <c r="J151" s="66">
        <f t="shared" si="61"/>
        <v>0</v>
      </c>
      <c r="K151" s="66"/>
      <c r="L151" s="66"/>
      <c r="M151" s="66"/>
      <c r="N151" s="66"/>
      <c r="O151" s="66"/>
      <c r="P151" s="66">
        <f t="shared" si="60"/>
        <v>1884220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  <c r="IW151" s="26"/>
      <c r="IX151" s="26"/>
      <c r="IY151" s="26"/>
      <c r="IZ151" s="26"/>
      <c r="JA151" s="26"/>
      <c r="JB151" s="26"/>
      <c r="JC151" s="26"/>
      <c r="JD151" s="26"/>
      <c r="JE151" s="26"/>
      <c r="JF151" s="26"/>
      <c r="JG151" s="26"/>
      <c r="JH151" s="26"/>
      <c r="JI151" s="26"/>
      <c r="JJ151" s="26"/>
      <c r="JK151" s="26"/>
      <c r="JL151" s="26"/>
      <c r="JM151" s="26"/>
      <c r="JN151" s="26"/>
      <c r="JO151" s="26"/>
      <c r="JP151" s="26"/>
      <c r="JQ151" s="26"/>
      <c r="JR151" s="26"/>
      <c r="JS151" s="26"/>
      <c r="JT151" s="26"/>
      <c r="JU151" s="26"/>
      <c r="JV151" s="26"/>
      <c r="JW151" s="26"/>
      <c r="JX151" s="26"/>
      <c r="JY151" s="26"/>
      <c r="JZ151" s="26"/>
      <c r="KA151" s="26"/>
      <c r="KB151" s="26"/>
      <c r="KC151" s="26"/>
      <c r="KD151" s="26"/>
      <c r="KE151" s="26"/>
      <c r="KF151" s="26"/>
      <c r="KG151" s="26"/>
      <c r="KH151" s="26"/>
      <c r="KI151" s="26"/>
      <c r="KJ151" s="26"/>
      <c r="KK151" s="26"/>
      <c r="KL151" s="26"/>
      <c r="KM151" s="26"/>
      <c r="KN151" s="26"/>
      <c r="KO151" s="26"/>
      <c r="KP151" s="26"/>
      <c r="KQ151" s="26"/>
      <c r="KR151" s="26"/>
      <c r="KS151" s="26"/>
      <c r="KT151" s="26"/>
      <c r="KU151" s="26"/>
      <c r="KV151" s="26"/>
      <c r="KW151" s="26"/>
      <c r="KX151" s="26"/>
      <c r="KY151" s="26"/>
      <c r="KZ151" s="26"/>
      <c r="LA151" s="26"/>
      <c r="LB151" s="26"/>
      <c r="LC151" s="26"/>
      <c r="LD151" s="26"/>
      <c r="LE151" s="26"/>
      <c r="LF151" s="26"/>
      <c r="LG151" s="26"/>
      <c r="LH151" s="26"/>
      <c r="LI151" s="26"/>
      <c r="LJ151" s="26"/>
      <c r="LK151" s="26"/>
      <c r="LL151" s="26"/>
      <c r="LM151" s="26"/>
      <c r="LN151" s="26"/>
      <c r="LO151" s="26"/>
      <c r="LP151" s="26"/>
      <c r="LQ151" s="26"/>
      <c r="LR151" s="26"/>
      <c r="LS151" s="26"/>
      <c r="LT151" s="26"/>
      <c r="LU151" s="26"/>
      <c r="LV151" s="26"/>
      <c r="LW151" s="26"/>
      <c r="LX151" s="26"/>
      <c r="LY151" s="26"/>
      <c r="LZ151" s="26"/>
      <c r="MA151" s="26"/>
      <c r="MB151" s="26"/>
      <c r="MC151" s="26"/>
      <c r="MD151" s="26"/>
      <c r="ME151" s="26"/>
      <c r="MF151" s="26"/>
      <c r="MG151" s="26"/>
      <c r="MH151" s="26"/>
      <c r="MI151" s="26"/>
      <c r="MJ151" s="26"/>
      <c r="MK151" s="26"/>
      <c r="ML151" s="26"/>
      <c r="MM151" s="26"/>
      <c r="MN151" s="26"/>
      <c r="MO151" s="26"/>
      <c r="MP151" s="26"/>
      <c r="MQ151" s="26"/>
      <c r="MR151" s="26"/>
      <c r="MS151" s="26"/>
      <c r="MT151" s="26"/>
      <c r="MU151" s="26"/>
      <c r="MV151" s="26"/>
      <c r="MW151" s="26"/>
      <c r="MX151" s="26"/>
      <c r="MY151" s="26"/>
      <c r="MZ151" s="26"/>
      <c r="NA151" s="26"/>
      <c r="NB151" s="26"/>
      <c r="NC151" s="26"/>
      <c r="ND151" s="26"/>
      <c r="NE151" s="26"/>
      <c r="NF151" s="26"/>
      <c r="NG151" s="26"/>
      <c r="NH151" s="26"/>
      <c r="NI151" s="26"/>
      <c r="NJ151" s="26"/>
      <c r="NK151" s="26"/>
      <c r="NL151" s="26"/>
      <c r="NM151" s="26"/>
      <c r="NN151" s="26"/>
      <c r="NO151" s="26"/>
      <c r="NP151" s="26"/>
      <c r="NQ151" s="26"/>
      <c r="NR151" s="26"/>
      <c r="NS151" s="26"/>
      <c r="NT151" s="26"/>
      <c r="NU151" s="26"/>
      <c r="NV151" s="26"/>
      <c r="NW151" s="26"/>
      <c r="NX151" s="26"/>
      <c r="NY151" s="26"/>
      <c r="NZ151" s="26"/>
      <c r="OA151" s="26"/>
      <c r="OB151" s="26"/>
      <c r="OC151" s="26"/>
      <c r="OD151" s="26"/>
      <c r="OE151" s="26"/>
      <c r="OF151" s="26"/>
      <c r="OG151" s="26"/>
      <c r="OH151" s="26"/>
      <c r="OI151" s="26"/>
      <c r="OJ151" s="26"/>
      <c r="OK151" s="26"/>
      <c r="OL151" s="26"/>
      <c r="OM151" s="26"/>
      <c r="ON151" s="26"/>
      <c r="OO151" s="26"/>
      <c r="OP151" s="26"/>
      <c r="OQ151" s="26"/>
      <c r="OR151" s="26"/>
      <c r="OS151" s="26"/>
      <c r="OT151" s="26"/>
      <c r="OU151" s="26"/>
      <c r="OV151" s="26"/>
      <c r="OW151" s="26"/>
      <c r="OX151" s="26"/>
      <c r="OY151" s="26"/>
      <c r="OZ151" s="26"/>
      <c r="PA151" s="26"/>
      <c r="PB151" s="26"/>
      <c r="PC151" s="26"/>
      <c r="PD151" s="26"/>
      <c r="PE151" s="26"/>
      <c r="PF151" s="26"/>
      <c r="PG151" s="26"/>
      <c r="PH151" s="26"/>
      <c r="PI151" s="26"/>
      <c r="PJ151" s="26"/>
      <c r="PK151" s="26"/>
      <c r="PL151" s="26"/>
      <c r="PM151" s="26"/>
      <c r="PN151" s="26"/>
      <c r="PO151" s="26"/>
      <c r="PP151" s="26"/>
      <c r="PQ151" s="26"/>
      <c r="PR151" s="26"/>
      <c r="PS151" s="26"/>
      <c r="PT151" s="26"/>
      <c r="PU151" s="26"/>
      <c r="PV151" s="26"/>
      <c r="PW151" s="26"/>
      <c r="PX151" s="26"/>
      <c r="PY151" s="26"/>
      <c r="PZ151" s="26"/>
      <c r="QA151" s="26"/>
      <c r="QB151" s="26"/>
      <c r="QC151" s="26"/>
      <c r="QD151" s="26"/>
      <c r="QE151" s="26"/>
      <c r="QF151" s="26"/>
      <c r="QG151" s="26"/>
      <c r="QH151" s="26"/>
      <c r="QI151" s="26"/>
      <c r="QJ151" s="26"/>
      <c r="QK151" s="26"/>
      <c r="QL151" s="26"/>
      <c r="QM151" s="26"/>
      <c r="QN151" s="26"/>
      <c r="QO151" s="26"/>
      <c r="QP151" s="26"/>
      <c r="QQ151" s="26"/>
      <c r="QR151" s="26"/>
      <c r="QS151" s="26"/>
      <c r="QT151" s="26"/>
      <c r="QU151" s="26"/>
      <c r="QV151" s="26"/>
      <c r="QW151" s="26"/>
      <c r="QX151" s="26"/>
      <c r="QY151" s="26"/>
      <c r="QZ151" s="26"/>
      <c r="RA151" s="26"/>
      <c r="RB151" s="26"/>
      <c r="RC151" s="26"/>
      <c r="RD151" s="26"/>
      <c r="RE151" s="26"/>
      <c r="RF151" s="26"/>
      <c r="RG151" s="26"/>
      <c r="RH151" s="26"/>
      <c r="RI151" s="26"/>
      <c r="RJ151" s="26"/>
      <c r="RK151" s="26"/>
      <c r="RL151" s="26"/>
      <c r="RM151" s="26"/>
      <c r="RN151" s="26"/>
      <c r="RO151" s="26"/>
      <c r="RP151" s="26"/>
      <c r="RQ151" s="26"/>
      <c r="RR151" s="26"/>
      <c r="RS151" s="26"/>
      <c r="RT151" s="26"/>
      <c r="RU151" s="26"/>
      <c r="RV151" s="26"/>
      <c r="RW151" s="26"/>
      <c r="RX151" s="26"/>
      <c r="RY151" s="26"/>
      <c r="RZ151" s="26"/>
      <c r="SA151" s="26"/>
      <c r="SB151" s="26"/>
      <c r="SC151" s="26"/>
      <c r="SD151" s="26"/>
      <c r="SE151" s="26"/>
      <c r="SF151" s="26"/>
      <c r="SG151" s="26"/>
      <c r="SH151" s="26"/>
      <c r="SI151" s="26"/>
      <c r="SJ151" s="26"/>
      <c r="SK151" s="26"/>
      <c r="SL151" s="26"/>
      <c r="SM151" s="26"/>
      <c r="SN151" s="26"/>
      <c r="SO151" s="26"/>
      <c r="SP151" s="26"/>
      <c r="SQ151" s="26"/>
      <c r="SR151" s="26"/>
      <c r="SS151" s="26"/>
      <c r="ST151" s="26"/>
      <c r="SU151" s="26"/>
      <c r="SV151" s="26"/>
      <c r="SW151" s="26"/>
      <c r="SX151" s="26"/>
      <c r="SY151" s="26"/>
      <c r="SZ151" s="26"/>
      <c r="TA151" s="26"/>
      <c r="TB151" s="26"/>
      <c r="TC151" s="26"/>
      <c r="TD151" s="26"/>
      <c r="TE151" s="26"/>
      <c r="TF151" s="26"/>
      <c r="TG151" s="26"/>
      <c r="TH151" s="26"/>
      <c r="TI151" s="26"/>
    </row>
    <row r="152" spans="1:529" s="23" customFormat="1" ht="48" customHeight="1" x14ac:dyDescent="0.25">
      <c r="A152" s="43" t="s">
        <v>388</v>
      </c>
      <c r="B152" s="44" t="str">
        <f>'дод 4'!A95</f>
        <v>3171</v>
      </c>
      <c r="C152" s="44">
        <f>'дод 4'!B95</f>
        <v>1010</v>
      </c>
      <c r="D152" s="24" t="str">
        <f>'дод 4'!C95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52" s="66">
        <f t="shared" si="59"/>
        <v>228095</v>
      </c>
      <c r="F152" s="66">
        <v>228095</v>
      </c>
      <c r="G152" s="66"/>
      <c r="H152" s="66"/>
      <c r="I152" s="66"/>
      <c r="J152" s="66">
        <f t="shared" si="61"/>
        <v>0</v>
      </c>
      <c r="K152" s="66"/>
      <c r="L152" s="66"/>
      <c r="M152" s="66"/>
      <c r="N152" s="66"/>
      <c r="O152" s="66"/>
      <c r="P152" s="66">
        <f t="shared" si="60"/>
        <v>228095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  <c r="IW152" s="26"/>
      <c r="IX152" s="26"/>
      <c r="IY152" s="26"/>
      <c r="IZ152" s="26"/>
      <c r="JA152" s="26"/>
      <c r="JB152" s="26"/>
      <c r="JC152" s="26"/>
      <c r="JD152" s="26"/>
      <c r="JE152" s="26"/>
      <c r="JF152" s="26"/>
      <c r="JG152" s="26"/>
      <c r="JH152" s="26"/>
      <c r="JI152" s="26"/>
      <c r="JJ152" s="26"/>
      <c r="JK152" s="26"/>
      <c r="JL152" s="26"/>
      <c r="JM152" s="26"/>
      <c r="JN152" s="26"/>
      <c r="JO152" s="26"/>
      <c r="JP152" s="26"/>
      <c r="JQ152" s="26"/>
      <c r="JR152" s="26"/>
      <c r="JS152" s="26"/>
      <c r="JT152" s="26"/>
      <c r="JU152" s="26"/>
      <c r="JV152" s="26"/>
      <c r="JW152" s="26"/>
      <c r="JX152" s="26"/>
      <c r="JY152" s="26"/>
      <c r="JZ152" s="26"/>
      <c r="KA152" s="26"/>
      <c r="KB152" s="26"/>
      <c r="KC152" s="26"/>
      <c r="KD152" s="26"/>
      <c r="KE152" s="26"/>
      <c r="KF152" s="26"/>
      <c r="KG152" s="26"/>
      <c r="KH152" s="26"/>
      <c r="KI152" s="26"/>
      <c r="KJ152" s="26"/>
      <c r="KK152" s="26"/>
      <c r="KL152" s="26"/>
      <c r="KM152" s="26"/>
      <c r="KN152" s="26"/>
      <c r="KO152" s="26"/>
      <c r="KP152" s="26"/>
      <c r="KQ152" s="26"/>
      <c r="KR152" s="26"/>
      <c r="KS152" s="26"/>
      <c r="KT152" s="26"/>
      <c r="KU152" s="26"/>
      <c r="KV152" s="26"/>
      <c r="KW152" s="26"/>
      <c r="KX152" s="26"/>
      <c r="KY152" s="26"/>
      <c r="KZ152" s="26"/>
      <c r="LA152" s="26"/>
      <c r="LB152" s="26"/>
      <c r="LC152" s="26"/>
      <c r="LD152" s="26"/>
      <c r="LE152" s="26"/>
      <c r="LF152" s="26"/>
      <c r="LG152" s="26"/>
      <c r="LH152" s="26"/>
      <c r="LI152" s="26"/>
      <c r="LJ152" s="26"/>
      <c r="LK152" s="26"/>
      <c r="LL152" s="26"/>
      <c r="LM152" s="26"/>
      <c r="LN152" s="26"/>
      <c r="LO152" s="26"/>
      <c r="LP152" s="26"/>
      <c r="LQ152" s="26"/>
      <c r="LR152" s="26"/>
      <c r="LS152" s="26"/>
      <c r="LT152" s="26"/>
      <c r="LU152" s="26"/>
      <c r="LV152" s="26"/>
      <c r="LW152" s="26"/>
      <c r="LX152" s="26"/>
      <c r="LY152" s="26"/>
      <c r="LZ152" s="26"/>
      <c r="MA152" s="26"/>
      <c r="MB152" s="26"/>
      <c r="MC152" s="26"/>
      <c r="MD152" s="26"/>
      <c r="ME152" s="26"/>
      <c r="MF152" s="26"/>
      <c r="MG152" s="26"/>
      <c r="MH152" s="26"/>
      <c r="MI152" s="26"/>
      <c r="MJ152" s="26"/>
      <c r="MK152" s="26"/>
      <c r="ML152" s="26"/>
      <c r="MM152" s="26"/>
      <c r="MN152" s="26"/>
      <c r="MO152" s="26"/>
      <c r="MP152" s="26"/>
      <c r="MQ152" s="26"/>
      <c r="MR152" s="26"/>
      <c r="MS152" s="26"/>
      <c r="MT152" s="26"/>
      <c r="MU152" s="26"/>
      <c r="MV152" s="26"/>
      <c r="MW152" s="26"/>
      <c r="MX152" s="26"/>
      <c r="MY152" s="26"/>
      <c r="MZ152" s="26"/>
      <c r="NA152" s="26"/>
      <c r="NB152" s="26"/>
      <c r="NC152" s="26"/>
      <c r="ND152" s="26"/>
      <c r="NE152" s="26"/>
      <c r="NF152" s="26"/>
      <c r="NG152" s="26"/>
      <c r="NH152" s="26"/>
      <c r="NI152" s="26"/>
      <c r="NJ152" s="26"/>
      <c r="NK152" s="26"/>
      <c r="NL152" s="26"/>
      <c r="NM152" s="26"/>
      <c r="NN152" s="26"/>
      <c r="NO152" s="26"/>
      <c r="NP152" s="26"/>
      <c r="NQ152" s="26"/>
      <c r="NR152" s="26"/>
      <c r="NS152" s="26"/>
      <c r="NT152" s="26"/>
      <c r="NU152" s="26"/>
      <c r="NV152" s="26"/>
      <c r="NW152" s="26"/>
      <c r="NX152" s="26"/>
      <c r="NY152" s="26"/>
      <c r="NZ152" s="26"/>
      <c r="OA152" s="26"/>
      <c r="OB152" s="26"/>
      <c r="OC152" s="26"/>
      <c r="OD152" s="26"/>
      <c r="OE152" s="26"/>
      <c r="OF152" s="26"/>
      <c r="OG152" s="26"/>
      <c r="OH152" s="26"/>
      <c r="OI152" s="26"/>
      <c r="OJ152" s="26"/>
      <c r="OK152" s="26"/>
      <c r="OL152" s="26"/>
      <c r="OM152" s="26"/>
      <c r="ON152" s="26"/>
      <c r="OO152" s="26"/>
      <c r="OP152" s="26"/>
      <c r="OQ152" s="26"/>
      <c r="OR152" s="26"/>
      <c r="OS152" s="26"/>
      <c r="OT152" s="26"/>
      <c r="OU152" s="26"/>
      <c r="OV152" s="26"/>
      <c r="OW152" s="26"/>
      <c r="OX152" s="26"/>
      <c r="OY152" s="26"/>
      <c r="OZ152" s="26"/>
      <c r="PA152" s="26"/>
      <c r="PB152" s="26"/>
      <c r="PC152" s="26"/>
      <c r="PD152" s="26"/>
      <c r="PE152" s="26"/>
      <c r="PF152" s="26"/>
      <c r="PG152" s="26"/>
      <c r="PH152" s="26"/>
      <c r="PI152" s="26"/>
      <c r="PJ152" s="26"/>
      <c r="PK152" s="26"/>
      <c r="PL152" s="26"/>
      <c r="PM152" s="26"/>
      <c r="PN152" s="26"/>
      <c r="PO152" s="26"/>
      <c r="PP152" s="26"/>
      <c r="PQ152" s="26"/>
      <c r="PR152" s="26"/>
      <c r="PS152" s="26"/>
      <c r="PT152" s="26"/>
      <c r="PU152" s="26"/>
      <c r="PV152" s="26"/>
      <c r="PW152" s="26"/>
      <c r="PX152" s="26"/>
      <c r="PY152" s="26"/>
      <c r="PZ152" s="26"/>
      <c r="QA152" s="26"/>
      <c r="QB152" s="26"/>
      <c r="QC152" s="26"/>
      <c r="QD152" s="26"/>
      <c r="QE152" s="26"/>
      <c r="QF152" s="26"/>
      <c r="QG152" s="26"/>
      <c r="QH152" s="26"/>
      <c r="QI152" s="26"/>
      <c r="QJ152" s="26"/>
      <c r="QK152" s="26"/>
      <c r="QL152" s="26"/>
      <c r="QM152" s="26"/>
      <c r="QN152" s="26"/>
      <c r="QO152" s="26"/>
      <c r="QP152" s="26"/>
      <c r="QQ152" s="26"/>
      <c r="QR152" s="26"/>
      <c r="QS152" s="26"/>
      <c r="QT152" s="26"/>
      <c r="QU152" s="26"/>
      <c r="QV152" s="26"/>
      <c r="QW152" s="26"/>
      <c r="QX152" s="26"/>
      <c r="QY152" s="26"/>
      <c r="QZ152" s="26"/>
      <c r="RA152" s="26"/>
      <c r="RB152" s="26"/>
      <c r="RC152" s="26"/>
      <c r="RD152" s="26"/>
      <c r="RE152" s="26"/>
      <c r="RF152" s="26"/>
      <c r="RG152" s="26"/>
      <c r="RH152" s="26"/>
      <c r="RI152" s="26"/>
      <c r="RJ152" s="26"/>
      <c r="RK152" s="26"/>
      <c r="RL152" s="26"/>
      <c r="RM152" s="26"/>
      <c r="RN152" s="26"/>
      <c r="RO152" s="26"/>
      <c r="RP152" s="26"/>
      <c r="RQ152" s="26"/>
      <c r="RR152" s="26"/>
      <c r="RS152" s="26"/>
      <c r="RT152" s="26"/>
      <c r="RU152" s="26"/>
      <c r="RV152" s="26"/>
      <c r="RW152" s="26"/>
      <c r="RX152" s="26"/>
      <c r="RY152" s="26"/>
      <c r="RZ152" s="26"/>
      <c r="SA152" s="26"/>
      <c r="SB152" s="26"/>
      <c r="SC152" s="26"/>
      <c r="SD152" s="26"/>
      <c r="SE152" s="26"/>
      <c r="SF152" s="26"/>
      <c r="SG152" s="26"/>
      <c r="SH152" s="26"/>
      <c r="SI152" s="26"/>
      <c r="SJ152" s="26"/>
      <c r="SK152" s="26"/>
      <c r="SL152" s="26"/>
      <c r="SM152" s="26"/>
      <c r="SN152" s="26"/>
      <c r="SO152" s="26"/>
      <c r="SP152" s="26"/>
      <c r="SQ152" s="26"/>
      <c r="SR152" s="26"/>
      <c r="SS152" s="26"/>
      <c r="ST152" s="26"/>
      <c r="SU152" s="26"/>
      <c r="SV152" s="26"/>
      <c r="SW152" s="26"/>
      <c r="SX152" s="26"/>
      <c r="SY152" s="26"/>
      <c r="SZ152" s="26"/>
      <c r="TA152" s="26"/>
      <c r="TB152" s="26"/>
      <c r="TC152" s="26"/>
      <c r="TD152" s="26"/>
      <c r="TE152" s="26"/>
      <c r="TF152" s="26"/>
      <c r="TG152" s="26"/>
      <c r="TH152" s="26"/>
      <c r="TI152" s="26"/>
    </row>
    <row r="153" spans="1:529" s="27" customFormat="1" x14ac:dyDescent="0.25">
      <c r="A153" s="145"/>
      <c r="B153" s="146"/>
      <c r="C153" s="146"/>
      <c r="D153" s="149" t="s">
        <v>457</v>
      </c>
      <c r="E153" s="144">
        <f t="shared" si="59"/>
        <v>228095</v>
      </c>
      <c r="F153" s="144">
        <v>228095</v>
      </c>
      <c r="G153" s="144"/>
      <c r="H153" s="144"/>
      <c r="I153" s="144"/>
      <c r="J153" s="144">
        <f t="shared" si="61"/>
        <v>0</v>
      </c>
      <c r="K153" s="144"/>
      <c r="L153" s="144"/>
      <c r="M153" s="144"/>
      <c r="N153" s="144"/>
      <c r="O153" s="144"/>
      <c r="P153" s="144">
        <f t="shared" si="60"/>
        <v>228095</v>
      </c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36"/>
      <c r="IE153" s="36"/>
      <c r="IF153" s="36"/>
      <c r="IG153" s="36"/>
      <c r="IH153" s="36"/>
      <c r="II153" s="36"/>
      <c r="IJ153" s="36"/>
      <c r="IK153" s="36"/>
      <c r="IL153" s="36"/>
      <c r="IM153" s="36"/>
      <c r="IN153" s="36"/>
      <c r="IO153" s="36"/>
      <c r="IP153" s="36"/>
      <c r="IQ153" s="36"/>
      <c r="IR153" s="36"/>
      <c r="IS153" s="36"/>
      <c r="IT153" s="36"/>
      <c r="IU153" s="36"/>
      <c r="IV153" s="36"/>
      <c r="IW153" s="36"/>
      <c r="IX153" s="36"/>
      <c r="IY153" s="36"/>
      <c r="IZ153" s="36"/>
      <c r="JA153" s="36"/>
      <c r="JB153" s="36"/>
      <c r="JC153" s="36"/>
      <c r="JD153" s="36"/>
      <c r="JE153" s="36"/>
      <c r="JF153" s="36"/>
      <c r="JG153" s="36"/>
      <c r="JH153" s="36"/>
      <c r="JI153" s="36"/>
      <c r="JJ153" s="36"/>
      <c r="JK153" s="36"/>
      <c r="JL153" s="36"/>
      <c r="JM153" s="36"/>
      <c r="JN153" s="36"/>
      <c r="JO153" s="36"/>
      <c r="JP153" s="36"/>
      <c r="JQ153" s="36"/>
      <c r="JR153" s="36"/>
      <c r="JS153" s="36"/>
      <c r="JT153" s="36"/>
      <c r="JU153" s="36"/>
      <c r="JV153" s="36"/>
      <c r="JW153" s="36"/>
      <c r="JX153" s="36"/>
      <c r="JY153" s="36"/>
      <c r="JZ153" s="36"/>
      <c r="KA153" s="36"/>
      <c r="KB153" s="36"/>
      <c r="KC153" s="36"/>
      <c r="KD153" s="36"/>
      <c r="KE153" s="36"/>
      <c r="KF153" s="36"/>
      <c r="KG153" s="36"/>
      <c r="KH153" s="36"/>
      <c r="KI153" s="36"/>
      <c r="KJ153" s="36"/>
      <c r="KK153" s="36"/>
      <c r="KL153" s="36"/>
      <c r="KM153" s="36"/>
      <c r="KN153" s="36"/>
      <c r="KO153" s="36"/>
      <c r="KP153" s="36"/>
      <c r="KQ153" s="36"/>
      <c r="KR153" s="36"/>
      <c r="KS153" s="36"/>
      <c r="KT153" s="36"/>
      <c r="KU153" s="36"/>
      <c r="KV153" s="36"/>
      <c r="KW153" s="36"/>
      <c r="KX153" s="36"/>
      <c r="KY153" s="36"/>
      <c r="KZ153" s="36"/>
      <c r="LA153" s="36"/>
      <c r="LB153" s="36"/>
      <c r="LC153" s="36"/>
      <c r="LD153" s="36"/>
      <c r="LE153" s="36"/>
      <c r="LF153" s="36"/>
      <c r="LG153" s="36"/>
      <c r="LH153" s="36"/>
      <c r="LI153" s="36"/>
      <c r="LJ153" s="36"/>
      <c r="LK153" s="36"/>
      <c r="LL153" s="36"/>
      <c r="LM153" s="36"/>
      <c r="LN153" s="36"/>
      <c r="LO153" s="36"/>
      <c r="LP153" s="36"/>
      <c r="LQ153" s="36"/>
      <c r="LR153" s="36"/>
      <c r="LS153" s="36"/>
      <c r="LT153" s="36"/>
      <c r="LU153" s="36"/>
      <c r="LV153" s="36"/>
      <c r="LW153" s="36"/>
      <c r="LX153" s="36"/>
      <c r="LY153" s="36"/>
      <c r="LZ153" s="36"/>
      <c r="MA153" s="36"/>
      <c r="MB153" s="36"/>
      <c r="MC153" s="36"/>
      <c r="MD153" s="36"/>
      <c r="ME153" s="36"/>
      <c r="MF153" s="36"/>
      <c r="MG153" s="36"/>
      <c r="MH153" s="36"/>
      <c r="MI153" s="36"/>
      <c r="MJ153" s="36"/>
      <c r="MK153" s="36"/>
      <c r="ML153" s="36"/>
      <c r="MM153" s="36"/>
      <c r="MN153" s="36"/>
      <c r="MO153" s="36"/>
      <c r="MP153" s="36"/>
      <c r="MQ153" s="36"/>
      <c r="MR153" s="36"/>
      <c r="MS153" s="36"/>
      <c r="MT153" s="36"/>
      <c r="MU153" s="36"/>
      <c r="MV153" s="36"/>
      <c r="MW153" s="36"/>
      <c r="MX153" s="36"/>
      <c r="MY153" s="36"/>
      <c r="MZ153" s="36"/>
      <c r="NA153" s="36"/>
      <c r="NB153" s="36"/>
      <c r="NC153" s="36"/>
      <c r="ND153" s="36"/>
      <c r="NE153" s="36"/>
      <c r="NF153" s="36"/>
      <c r="NG153" s="36"/>
      <c r="NH153" s="36"/>
      <c r="NI153" s="36"/>
      <c r="NJ153" s="36"/>
      <c r="NK153" s="36"/>
      <c r="NL153" s="36"/>
      <c r="NM153" s="36"/>
      <c r="NN153" s="36"/>
      <c r="NO153" s="36"/>
      <c r="NP153" s="36"/>
      <c r="NQ153" s="36"/>
      <c r="NR153" s="36"/>
      <c r="NS153" s="36"/>
      <c r="NT153" s="36"/>
      <c r="NU153" s="36"/>
      <c r="NV153" s="36"/>
      <c r="NW153" s="36"/>
      <c r="NX153" s="36"/>
      <c r="NY153" s="36"/>
      <c r="NZ153" s="36"/>
      <c r="OA153" s="36"/>
      <c r="OB153" s="36"/>
      <c r="OC153" s="36"/>
      <c r="OD153" s="36"/>
      <c r="OE153" s="36"/>
      <c r="OF153" s="36"/>
      <c r="OG153" s="36"/>
      <c r="OH153" s="36"/>
      <c r="OI153" s="36"/>
      <c r="OJ153" s="36"/>
      <c r="OK153" s="36"/>
      <c r="OL153" s="36"/>
      <c r="OM153" s="36"/>
      <c r="ON153" s="36"/>
      <c r="OO153" s="36"/>
      <c r="OP153" s="36"/>
      <c r="OQ153" s="36"/>
      <c r="OR153" s="36"/>
      <c r="OS153" s="36"/>
      <c r="OT153" s="36"/>
      <c r="OU153" s="36"/>
      <c r="OV153" s="36"/>
      <c r="OW153" s="36"/>
      <c r="OX153" s="36"/>
      <c r="OY153" s="36"/>
      <c r="OZ153" s="36"/>
      <c r="PA153" s="36"/>
      <c r="PB153" s="36"/>
      <c r="PC153" s="36"/>
      <c r="PD153" s="36"/>
      <c r="PE153" s="36"/>
      <c r="PF153" s="36"/>
      <c r="PG153" s="36"/>
      <c r="PH153" s="36"/>
      <c r="PI153" s="36"/>
      <c r="PJ153" s="36"/>
      <c r="PK153" s="36"/>
      <c r="PL153" s="36"/>
      <c r="PM153" s="36"/>
      <c r="PN153" s="36"/>
      <c r="PO153" s="36"/>
      <c r="PP153" s="36"/>
      <c r="PQ153" s="36"/>
      <c r="PR153" s="36"/>
      <c r="PS153" s="36"/>
      <c r="PT153" s="36"/>
      <c r="PU153" s="36"/>
      <c r="PV153" s="36"/>
      <c r="PW153" s="36"/>
      <c r="PX153" s="36"/>
      <c r="PY153" s="36"/>
      <c r="PZ153" s="36"/>
      <c r="QA153" s="36"/>
      <c r="QB153" s="36"/>
      <c r="QC153" s="36"/>
      <c r="QD153" s="36"/>
      <c r="QE153" s="36"/>
      <c r="QF153" s="36"/>
      <c r="QG153" s="36"/>
      <c r="QH153" s="36"/>
      <c r="QI153" s="36"/>
      <c r="QJ153" s="36"/>
      <c r="QK153" s="36"/>
      <c r="QL153" s="36"/>
      <c r="QM153" s="36"/>
      <c r="QN153" s="36"/>
      <c r="QO153" s="36"/>
      <c r="QP153" s="36"/>
      <c r="QQ153" s="36"/>
      <c r="QR153" s="36"/>
      <c r="QS153" s="36"/>
      <c r="QT153" s="36"/>
      <c r="QU153" s="36"/>
      <c r="QV153" s="36"/>
      <c r="QW153" s="36"/>
      <c r="QX153" s="36"/>
      <c r="QY153" s="36"/>
      <c r="QZ153" s="36"/>
      <c r="RA153" s="36"/>
      <c r="RB153" s="36"/>
      <c r="RC153" s="36"/>
      <c r="RD153" s="36"/>
      <c r="RE153" s="36"/>
      <c r="RF153" s="36"/>
      <c r="RG153" s="36"/>
      <c r="RH153" s="36"/>
      <c r="RI153" s="36"/>
      <c r="RJ153" s="36"/>
      <c r="RK153" s="36"/>
      <c r="RL153" s="36"/>
      <c r="RM153" s="36"/>
      <c r="RN153" s="36"/>
      <c r="RO153" s="36"/>
      <c r="RP153" s="36"/>
      <c r="RQ153" s="36"/>
      <c r="RR153" s="36"/>
      <c r="RS153" s="36"/>
      <c r="RT153" s="36"/>
      <c r="RU153" s="36"/>
      <c r="RV153" s="36"/>
      <c r="RW153" s="36"/>
      <c r="RX153" s="36"/>
      <c r="RY153" s="36"/>
      <c r="RZ153" s="36"/>
      <c r="SA153" s="36"/>
      <c r="SB153" s="36"/>
      <c r="SC153" s="36"/>
      <c r="SD153" s="36"/>
      <c r="SE153" s="36"/>
      <c r="SF153" s="36"/>
      <c r="SG153" s="36"/>
      <c r="SH153" s="36"/>
      <c r="SI153" s="36"/>
      <c r="SJ153" s="36"/>
      <c r="SK153" s="36"/>
      <c r="SL153" s="36"/>
      <c r="SM153" s="36"/>
      <c r="SN153" s="36"/>
      <c r="SO153" s="36"/>
      <c r="SP153" s="36"/>
      <c r="SQ153" s="36"/>
      <c r="SR153" s="36"/>
      <c r="SS153" s="36"/>
      <c r="ST153" s="36"/>
      <c r="SU153" s="36"/>
      <c r="SV153" s="36"/>
      <c r="SW153" s="36"/>
      <c r="SX153" s="36"/>
      <c r="SY153" s="36"/>
      <c r="SZ153" s="36"/>
      <c r="TA153" s="36"/>
      <c r="TB153" s="36"/>
      <c r="TC153" s="36"/>
      <c r="TD153" s="36"/>
      <c r="TE153" s="36"/>
      <c r="TF153" s="36"/>
      <c r="TG153" s="36"/>
      <c r="TH153" s="36"/>
      <c r="TI153" s="36"/>
    </row>
    <row r="154" spans="1:529" s="23" customFormat="1" ht="28.5" customHeight="1" x14ac:dyDescent="0.25">
      <c r="A154" s="43" t="s">
        <v>389</v>
      </c>
      <c r="B154" s="44" t="str">
        <f>'дод 4'!A97</f>
        <v>3172</v>
      </c>
      <c r="C154" s="44">
        <f>'дод 4'!B97</f>
        <v>1010</v>
      </c>
      <c r="D154" s="24" t="str">
        <f>'дод 4'!C97</f>
        <v>Встановлення телефонів особам з інвалідністю I і II груп, у т.ч. за рахунок:</v>
      </c>
      <c r="E154" s="66">
        <f t="shared" si="59"/>
        <v>90</v>
      </c>
      <c r="F154" s="66">
        <v>90</v>
      </c>
      <c r="G154" s="66"/>
      <c r="H154" s="66"/>
      <c r="I154" s="66"/>
      <c r="J154" s="66">
        <f t="shared" si="61"/>
        <v>0</v>
      </c>
      <c r="K154" s="66"/>
      <c r="L154" s="66"/>
      <c r="M154" s="66"/>
      <c r="N154" s="66"/>
      <c r="O154" s="66"/>
      <c r="P154" s="66">
        <f t="shared" si="60"/>
        <v>90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  <c r="MV154" s="26"/>
      <c r="MW154" s="26"/>
      <c r="MX154" s="26"/>
      <c r="MY154" s="26"/>
      <c r="MZ154" s="26"/>
      <c r="NA154" s="26"/>
      <c r="NB154" s="26"/>
      <c r="NC154" s="26"/>
      <c r="ND154" s="26"/>
      <c r="NE154" s="26"/>
      <c r="NF154" s="26"/>
      <c r="NG154" s="26"/>
      <c r="NH154" s="26"/>
      <c r="NI154" s="26"/>
      <c r="NJ154" s="26"/>
      <c r="NK154" s="26"/>
      <c r="NL154" s="26"/>
      <c r="NM154" s="26"/>
      <c r="NN154" s="26"/>
      <c r="NO154" s="26"/>
      <c r="NP154" s="26"/>
      <c r="NQ154" s="26"/>
      <c r="NR154" s="26"/>
      <c r="NS154" s="26"/>
      <c r="NT154" s="26"/>
      <c r="NU154" s="26"/>
      <c r="NV154" s="26"/>
      <c r="NW154" s="26"/>
      <c r="NX154" s="26"/>
      <c r="NY154" s="26"/>
      <c r="NZ154" s="26"/>
      <c r="OA154" s="26"/>
      <c r="OB154" s="26"/>
      <c r="OC154" s="26"/>
      <c r="OD154" s="26"/>
      <c r="OE154" s="26"/>
      <c r="OF154" s="26"/>
      <c r="OG154" s="26"/>
      <c r="OH154" s="26"/>
      <c r="OI154" s="26"/>
      <c r="OJ154" s="26"/>
      <c r="OK154" s="26"/>
      <c r="OL154" s="26"/>
      <c r="OM154" s="26"/>
      <c r="ON154" s="26"/>
      <c r="OO154" s="26"/>
      <c r="OP154" s="26"/>
      <c r="OQ154" s="26"/>
      <c r="OR154" s="26"/>
      <c r="OS154" s="26"/>
      <c r="OT154" s="26"/>
      <c r="OU154" s="26"/>
      <c r="OV154" s="26"/>
      <c r="OW154" s="26"/>
      <c r="OX154" s="26"/>
      <c r="OY154" s="26"/>
      <c r="OZ154" s="26"/>
      <c r="PA154" s="26"/>
      <c r="PB154" s="26"/>
      <c r="PC154" s="26"/>
      <c r="PD154" s="26"/>
      <c r="PE154" s="26"/>
      <c r="PF154" s="26"/>
      <c r="PG154" s="26"/>
      <c r="PH154" s="26"/>
      <c r="PI154" s="26"/>
      <c r="PJ154" s="26"/>
      <c r="PK154" s="26"/>
      <c r="PL154" s="26"/>
      <c r="PM154" s="26"/>
      <c r="PN154" s="26"/>
      <c r="PO154" s="26"/>
      <c r="PP154" s="26"/>
      <c r="PQ154" s="26"/>
      <c r="PR154" s="26"/>
      <c r="PS154" s="26"/>
      <c r="PT154" s="26"/>
      <c r="PU154" s="26"/>
      <c r="PV154" s="26"/>
      <c r="PW154" s="26"/>
      <c r="PX154" s="26"/>
      <c r="PY154" s="26"/>
      <c r="PZ154" s="26"/>
      <c r="QA154" s="26"/>
      <c r="QB154" s="26"/>
      <c r="QC154" s="26"/>
      <c r="QD154" s="26"/>
      <c r="QE154" s="26"/>
      <c r="QF154" s="26"/>
      <c r="QG154" s="26"/>
      <c r="QH154" s="26"/>
      <c r="QI154" s="26"/>
      <c r="QJ154" s="26"/>
      <c r="QK154" s="26"/>
      <c r="QL154" s="26"/>
      <c r="QM154" s="26"/>
      <c r="QN154" s="26"/>
      <c r="QO154" s="26"/>
      <c r="QP154" s="26"/>
      <c r="QQ154" s="26"/>
      <c r="QR154" s="26"/>
      <c r="QS154" s="26"/>
      <c r="QT154" s="26"/>
      <c r="QU154" s="26"/>
      <c r="QV154" s="26"/>
      <c r="QW154" s="26"/>
      <c r="QX154" s="26"/>
      <c r="QY154" s="26"/>
      <c r="QZ154" s="26"/>
      <c r="RA154" s="26"/>
      <c r="RB154" s="26"/>
      <c r="RC154" s="26"/>
      <c r="RD154" s="26"/>
      <c r="RE154" s="26"/>
      <c r="RF154" s="26"/>
      <c r="RG154" s="26"/>
      <c r="RH154" s="26"/>
      <c r="RI154" s="26"/>
      <c r="RJ154" s="26"/>
      <c r="RK154" s="26"/>
      <c r="RL154" s="26"/>
      <c r="RM154" s="26"/>
      <c r="RN154" s="26"/>
      <c r="RO154" s="26"/>
      <c r="RP154" s="26"/>
      <c r="RQ154" s="26"/>
      <c r="RR154" s="26"/>
      <c r="RS154" s="26"/>
      <c r="RT154" s="26"/>
      <c r="RU154" s="26"/>
      <c r="RV154" s="26"/>
      <c r="RW154" s="26"/>
      <c r="RX154" s="26"/>
      <c r="RY154" s="26"/>
      <c r="RZ154" s="26"/>
      <c r="SA154" s="26"/>
      <c r="SB154" s="26"/>
      <c r="SC154" s="26"/>
      <c r="SD154" s="26"/>
      <c r="SE154" s="26"/>
      <c r="SF154" s="26"/>
      <c r="SG154" s="26"/>
      <c r="SH154" s="26"/>
      <c r="SI154" s="26"/>
      <c r="SJ154" s="26"/>
      <c r="SK154" s="26"/>
      <c r="SL154" s="26"/>
      <c r="SM154" s="26"/>
      <c r="SN154" s="26"/>
      <c r="SO154" s="26"/>
      <c r="SP154" s="26"/>
      <c r="SQ154" s="26"/>
      <c r="SR154" s="26"/>
      <c r="SS154" s="26"/>
      <c r="ST154" s="26"/>
      <c r="SU154" s="26"/>
      <c r="SV154" s="26"/>
      <c r="SW154" s="26"/>
      <c r="SX154" s="26"/>
      <c r="SY154" s="26"/>
      <c r="SZ154" s="26"/>
      <c r="TA154" s="26"/>
      <c r="TB154" s="26"/>
      <c r="TC154" s="26"/>
      <c r="TD154" s="26"/>
      <c r="TE154" s="26"/>
      <c r="TF154" s="26"/>
      <c r="TG154" s="26"/>
      <c r="TH154" s="26"/>
      <c r="TI154" s="26"/>
    </row>
    <row r="155" spans="1:529" s="27" customFormat="1" x14ac:dyDescent="0.25">
      <c r="A155" s="145"/>
      <c r="B155" s="146"/>
      <c r="C155" s="146"/>
      <c r="D155" s="149" t="s">
        <v>457</v>
      </c>
      <c r="E155" s="144">
        <f t="shared" si="59"/>
        <v>90</v>
      </c>
      <c r="F155" s="144">
        <v>90</v>
      </c>
      <c r="G155" s="144"/>
      <c r="H155" s="144"/>
      <c r="I155" s="144"/>
      <c r="J155" s="144">
        <f t="shared" si="61"/>
        <v>0</v>
      </c>
      <c r="K155" s="144"/>
      <c r="L155" s="144"/>
      <c r="M155" s="144"/>
      <c r="N155" s="144"/>
      <c r="O155" s="144"/>
      <c r="P155" s="144">
        <f t="shared" si="60"/>
        <v>90</v>
      </c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3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36"/>
      <c r="IR155" s="36"/>
      <c r="IS155" s="36"/>
      <c r="IT155" s="36"/>
      <c r="IU155" s="36"/>
      <c r="IV155" s="36"/>
      <c r="IW155" s="36"/>
      <c r="IX155" s="36"/>
      <c r="IY155" s="36"/>
      <c r="IZ155" s="36"/>
      <c r="JA155" s="36"/>
      <c r="JB155" s="36"/>
      <c r="JC155" s="36"/>
      <c r="JD155" s="36"/>
      <c r="JE155" s="36"/>
      <c r="JF155" s="36"/>
      <c r="JG155" s="36"/>
      <c r="JH155" s="36"/>
      <c r="JI155" s="36"/>
      <c r="JJ155" s="36"/>
      <c r="JK155" s="36"/>
      <c r="JL155" s="36"/>
      <c r="JM155" s="36"/>
      <c r="JN155" s="36"/>
      <c r="JO155" s="36"/>
      <c r="JP155" s="36"/>
      <c r="JQ155" s="36"/>
      <c r="JR155" s="36"/>
      <c r="JS155" s="36"/>
      <c r="JT155" s="36"/>
      <c r="JU155" s="36"/>
      <c r="JV155" s="36"/>
      <c r="JW155" s="36"/>
      <c r="JX155" s="36"/>
      <c r="JY155" s="36"/>
      <c r="JZ155" s="36"/>
      <c r="KA155" s="36"/>
      <c r="KB155" s="36"/>
      <c r="KC155" s="36"/>
      <c r="KD155" s="36"/>
      <c r="KE155" s="36"/>
      <c r="KF155" s="36"/>
      <c r="KG155" s="36"/>
      <c r="KH155" s="36"/>
      <c r="KI155" s="36"/>
      <c r="KJ155" s="36"/>
      <c r="KK155" s="36"/>
      <c r="KL155" s="36"/>
      <c r="KM155" s="36"/>
      <c r="KN155" s="36"/>
      <c r="KO155" s="36"/>
      <c r="KP155" s="36"/>
      <c r="KQ155" s="36"/>
      <c r="KR155" s="36"/>
      <c r="KS155" s="36"/>
      <c r="KT155" s="36"/>
      <c r="KU155" s="36"/>
      <c r="KV155" s="36"/>
      <c r="KW155" s="36"/>
      <c r="KX155" s="36"/>
      <c r="KY155" s="36"/>
      <c r="KZ155" s="36"/>
      <c r="LA155" s="36"/>
      <c r="LB155" s="36"/>
      <c r="LC155" s="36"/>
      <c r="LD155" s="36"/>
      <c r="LE155" s="36"/>
      <c r="LF155" s="36"/>
      <c r="LG155" s="36"/>
      <c r="LH155" s="36"/>
      <c r="LI155" s="36"/>
      <c r="LJ155" s="36"/>
      <c r="LK155" s="36"/>
      <c r="LL155" s="36"/>
      <c r="LM155" s="36"/>
      <c r="LN155" s="36"/>
      <c r="LO155" s="36"/>
      <c r="LP155" s="36"/>
      <c r="LQ155" s="36"/>
      <c r="LR155" s="36"/>
      <c r="LS155" s="36"/>
      <c r="LT155" s="36"/>
      <c r="LU155" s="36"/>
      <c r="LV155" s="36"/>
      <c r="LW155" s="36"/>
      <c r="LX155" s="36"/>
      <c r="LY155" s="36"/>
      <c r="LZ155" s="36"/>
      <c r="MA155" s="36"/>
      <c r="MB155" s="36"/>
      <c r="MC155" s="36"/>
      <c r="MD155" s="36"/>
      <c r="ME155" s="36"/>
      <c r="MF155" s="36"/>
      <c r="MG155" s="36"/>
      <c r="MH155" s="36"/>
      <c r="MI155" s="36"/>
      <c r="MJ155" s="36"/>
      <c r="MK155" s="36"/>
      <c r="ML155" s="36"/>
      <c r="MM155" s="36"/>
      <c r="MN155" s="36"/>
      <c r="MO155" s="36"/>
      <c r="MP155" s="36"/>
      <c r="MQ155" s="36"/>
      <c r="MR155" s="36"/>
      <c r="MS155" s="36"/>
      <c r="MT155" s="36"/>
      <c r="MU155" s="36"/>
      <c r="MV155" s="36"/>
      <c r="MW155" s="36"/>
      <c r="MX155" s="36"/>
      <c r="MY155" s="36"/>
      <c r="MZ155" s="36"/>
      <c r="NA155" s="36"/>
      <c r="NB155" s="36"/>
      <c r="NC155" s="36"/>
      <c r="ND155" s="36"/>
      <c r="NE155" s="36"/>
      <c r="NF155" s="36"/>
      <c r="NG155" s="36"/>
      <c r="NH155" s="36"/>
      <c r="NI155" s="36"/>
      <c r="NJ155" s="36"/>
      <c r="NK155" s="36"/>
      <c r="NL155" s="36"/>
      <c r="NM155" s="36"/>
      <c r="NN155" s="36"/>
      <c r="NO155" s="36"/>
      <c r="NP155" s="36"/>
      <c r="NQ155" s="36"/>
      <c r="NR155" s="36"/>
      <c r="NS155" s="36"/>
      <c r="NT155" s="36"/>
      <c r="NU155" s="36"/>
      <c r="NV155" s="36"/>
      <c r="NW155" s="36"/>
      <c r="NX155" s="36"/>
      <c r="NY155" s="36"/>
      <c r="NZ155" s="36"/>
      <c r="OA155" s="36"/>
      <c r="OB155" s="36"/>
      <c r="OC155" s="36"/>
      <c r="OD155" s="36"/>
      <c r="OE155" s="36"/>
      <c r="OF155" s="36"/>
      <c r="OG155" s="36"/>
      <c r="OH155" s="36"/>
      <c r="OI155" s="36"/>
      <c r="OJ155" s="36"/>
      <c r="OK155" s="36"/>
      <c r="OL155" s="36"/>
      <c r="OM155" s="36"/>
      <c r="ON155" s="36"/>
      <c r="OO155" s="36"/>
      <c r="OP155" s="36"/>
      <c r="OQ155" s="36"/>
      <c r="OR155" s="36"/>
      <c r="OS155" s="36"/>
      <c r="OT155" s="36"/>
      <c r="OU155" s="36"/>
      <c r="OV155" s="36"/>
      <c r="OW155" s="36"/>
      <c r="OX155" s="36"/>
      <c r="OY155" s="36"/>
      <c r="OZ155" s="36"/>
      <c r="PA155" s="36"/>
      <c r="PB155" s="36"/>
      <c r="PC155" s="36"/>
      <c r="PD155" s="36"/>
      <c r="PE155" s="36"/>
      <c r="PF155" s="36"/>
      <c r="PG155" s="36"/>
      <c r="PH155" s="36"/>
      <c r="PI155" s="36"/>
      <c r="PJ155" s="36"/>
      <c r="PK155" s="36"/>
      <c r="PL155" s="36"/>
      <c r="PM155" s="36"/>
      <c r="PN155" s="36"/>
      <c r="PO155" s="36"/>
      <c r="PP155" s="36"/>
      <c r="PQ155" s="36"/>
      <c r="PR155" s="36"/>
      <c r="PS155" s="36"/>
      <c r="PT155" s="36"/>
      <c r="PU155" s="36"/>
      <c r="PV155" s="36"/>
      <c r="PW155" s="36"/>
      <c r="PX155" s="36"/>
      <c r="PY155" s="36"/>
      <c r="PZ155" s="36"/>
      <c r="QA155" s="36"/>
      <c r="QB155" s="36"/>
      <c r="QC155" s="36"/>
      <c r="QD155" s="36"/>
      <c r="QE155" s="36"/>
      <c r="QF155" s="36"/>
      <c r="QG155" s="36"/>
      <c r="QH155" s="36"/>
      <c r="QI155" s="36"/>
      <c r="QJ155" s="36"/>
      <c r="QK155" s="36"/>
      <c r="QL155" s="36"/>
      <c r="QM155" s="36"/>
      <c r="QN155" s="36"/>
      <c r="QO155" s="36"/>
      <c r="QP155" s="36"/>
      <c r="QQ155" s="36"/>
      <c r="QR155" s="36"/>
      <c r="QS155" s="36"/>
      <c r="QT155" s="36"/>
      <c r="QU155" s="36"/>
      <c r="QV155" s="36"/>
      <c r="QW155" s="36"/>
      <c r="QX155" s="36"/>
      <c r="QY155" s="36"/>
      <c r="QZ155" s="36"/>
      <c r="RA155" s="36"/>
      <c r="RB155" s="36"/>
      <c r="RC155" s="36"/>
      <c r="RD155" s="36"/>
      <c r="RE155" s="36"/>
      <c r="RF155" s="36"/>
      <c r="RG155" s="36"/>
      <c r="RH155" s="36"/>
      <c r="RI155" s="36"/>
      <c r="RJ155" s="36"/>
      <c r="RK155" s="36"/>
      <c r="RL155" s="36"/>
      <c r="RM155" s="36"/>
      <c r="RN155" s="36"/>
      <c r="RO155" s="36"/>
      <c r="RP155" s="36"/>
      <c r="RQ155" s="36"/>
      <c r="RR155" s="36"/>
      <c r="RS155" s="36"/>
      <c r="RT155" s="36"/>
      <c r="RU155" s="36"/>
      <c r="RV155" s="36"/>
      <c r="RW155" s="36"/>
      <c r="RX155" s="36"/>
      <c r="RY155" s="36"/>
      <c r="RZ155" s="36"/>
      <c r="SA155" s="36"/>
      <c r="SB155" s="36"/>
      <c r="SC155" s="36"/>
      <c r="SD155" s="36"/>
      <c r="SE155" s="36"/>
      <c r="SF155" s="36"/>
      <c r="SG155" s="36"/>
      <c r="SH155" s="36"/>
      <c r="SI155" s="36"/>
      <c r="SJ155" s="36"/>
      <c r="SK155" s="36"/>
      <c r="SL155" s="36"/>
      <c r="SM155" s="36"/>
      <c r="SN155" s="36"/>
      <c r="SO155" s="36"/>
      <c r="SP155" s="36"/>
      <c r="SQ155" s="36"/>
      <c r="SR155" s="36"/>
      <c r="SS155" s="36"/>
      <c r="ST155" s="36"/>
      <c r="SU155" s="36"/>
      <c r="SV155" s="36"/>
      <c r="SW155" s="36"/>
      <c r="SX155" s="36"/>
      <c r="SY155" s="36"/>
      <c r="SZ155" s="36"/>
      <c r="TA155" s="36"/>
      <c r="TB155" s="36"/>
      <c r="TC155" s="36"/>
      <c r="TD155" s="36"/>
      <c r="TE155" s="36"/>
      <c r="TF155" s="36"/>
      <c r="TG155" s="36"/>
      <c r="TH155" s="36"/>
      <c r="TI155" s="36"/>
    </row>
    <row r="156" spans="1:529" s="23" customFormat="1" ht="65.25" customHeight="1" x14ac:dyDescent="0.25">
      <c r="A156" s="43" t="s">
        <v>203</v>
      </c>
      <c r="B156" s="44" t="str">
        <f>'дод 4'!A99</f>
        <v>3180</v>
      </c>
      <c r="C156" s="44" t="str">
        <f>'дод 4'!B99</f>
        <v>1060</v>
      </c>
      <c r="D156" s="24" t="str">
        <f>'дод 4'!C99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56" s="66">
        <f t="shared" si="59"/>
        <v>2028000</v>
      </c>
      <c r="F156" s="66">
        <f>1876300+198700-47000</f>
        <v>2028000</v>
      </c>
      <c r="G156" s="66"/>
      <c r="H156" s="66"/>
      <c r="I156" s="66"/>
      <c r="J156" s="66">
        <f t="shared" si="61"/>
        <v>0</v>
      </c>
      <c r="K156" s="66"/>
      <c r="L156" s="66"/>
      <c r="M156" s="66"/>
      <c r="N156" s="66"/>
      <c r="O156" s="66"/>
      <c r="P156" s="66">
        <f t="shared" si="60"/>
        <v>2028000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  <c r="IW156" s="26"/>
      <c r="IX156" s="26"/>
      <c r="IY156" s="26"/>
      <c r="IZ156" s="26"/>
      <c r="JA156" s="26"/>
      <c r="JB156" s="26"/>
      <c r="JC156" s="26"/>
      <c r="JD156" s="26"/>
      <c r="JE156" s="26"/>
      <c r="JF156" s="26"/>
      <c r="JG156" s="26"/>
      <c r="JH156" s="26"/>
      <c r="JI156" s="26"/>
      <c r="JJ156" s="26"/>
      <c r="JK156" s="26"/>
      <c r="JL156" s="26"/>
      <c r="JM156" s="26"/>
      <c r="JN156" s="26"/>
      <c r="JO156" s="26"/>
      <c r="JP156" s="26"/>
      <c r="JQ156" s="26"/>
      <c r="JR156" s="26"/>
      <c r="JS156" s="26"/>
      <c r="JT156" s="26"/>
      <c r="JU156" s="26"/>
      <c r="JV156" s="26"/>
      <c r="JW156" s="26"/>
      <c r="JX156" s="26"/>
      <c r="JY156" s="26"/>
      <c r="JZ156" s="26"/>
      <c r="KA156" s="26"/>
      <c r="KB156" s="26"/>
      <c r="KC156" s="26"/>
      <c r="KD156" s="26"/>
      <c r="KE156" s="26"/>
      <c r="KF156" s="26"/>
      <c r="KG156" s="26"/>
      <c r="KH156" s="26"/>
      <c r="KI156" s="26"/>
      <c r="KJ156" s="26"/>
      <c r="KK156" s="26"/>
      <c r="KL156" s="26"/>
      <c r="KM156" s="26"/>
      <c r="KN156" s="26"/>
      <c r="KO156" s="26"/>
      <c r="KP156" s="26"/>
      <c r="KQ156" s="26"/>
      <c r="KR156" s="26"/>
      <c r="KS156" s="26"/>
      <c r="KT156" s="26"/>
      <c r="KU156" s="26"/>
      <c r="KV156" s="26"/>
      <c r="KW156" s="26"/>
      <c r="KX156" s="26"/>
      <c r="KY156" s="26"/>
      <c r="KZ156" s="26"/>
      <c r="LA156" s="26"/>
      <c r="LB156" s="26"/>
      <c r="LC156" s="26"/>
      <c r="LD156" s="26"/>
      <c r="LE156" s="26"/>
      <c r="LF156" s="26"/>
      <c r="LG156" s="26"/>
      <c r="LH156" s="26"/>
      <c r="LI156" s="26"/>
      <c r="LJ156" s="26"/>
      <c r="LK156" s="26"/>
      <c r="LL156" s="26"/>
      <c r="LM156" s="26"/>
      <c r="LN156" s="26"/>
      <c r="LO156" s="26"/>
      <c r="LP156" s="26"/>
      <c r="LQ156" s="26"/>
      <c r="LR156" s="26"/>
      <c r="LS156" s="26"/>
      <c r="LT156" s="26"/>
      <c r="LU156" s="26"/>
      <c r="LV156" s="26"/>
      <c r="LW156" s="26"/>
      <c r="LX156" s="26"/>
      <c r="LY156" s="26"/>
      <c r="LZ156" s="26"/>
      <c r="MA156" s="26"/>
      <c r="MB156" s="26"/>
      <c r="MC156" s="26"/>
      <c r="MD156" s="26"/>
      <c r="ME156" s="26"/>
      <c r="MF156" s="26"/>
      <c r="MG156" s="26"/>
      <c r="MH156" s="26"/>
      <c r="MI156" s="26"/>
      <c r="MJ156" s="26"/>
      <c r="MK156" s="26"/>
      <c r="ML156" s="26"/>
      <c r="MM156" s="26"/>
      <c r="MN156" s="26"/>
      <c r="MO156" s="26"/>
      <c r="MP156" s="26"/>
      <c r="MQ156" s="26"/>
      <c r="MR156" s="26"/>
      <c r="MS156" s="26"/>
      <c r="MT156" s="26"/>
      <c r="MU156" s="26"/>
      <c r="MV156" s="26"/>
      <c r="MW156" s="26"/>
      <c r="MX156" s="26"/>
      <c r="MY156" s="26"/>
      <c r="MZ156" s="26"/>
      <c r="NA156" s="26"/>
      <c r="NB156" s="26"/>
      <c r="NC156" s="26"/>
      <c r="ND156" s="26"/>
      <c r="NE156" s="26"/>
      <c r="NF156" s="26"/>
      <c r="NG156" s="26"/>
      <c r="NH156" s="26"/>
      <c r="NI156" s="26"/>
      <c r="NJ156" s="26"/>
      <c r="NK156" s="26"/>
      <c r="NL156" s="26"/>
      <c r="NM156" s="26"/>
      <c r="NN156" s="26"/>
      <c r="NO156" s="26"/>
      <c r="NP156" s="26"/>
      <c r="NQ156" s="26"/>
      <c r="NR156" s="26"/>
      <c r="NS156" s="26"/>
      <c r="NT156" s="26"/>
      <c r="NU156" s="26"/>
      <c r="NV156" s="26"/>
      <c r="NW156" s="26"/>
      <c r="NX156" s="26"/>
      <c r="NY156" s="26"/>
      <c r="NZ156" s="26"/>
      <c r="OA156" s="26"/>
      <c r="OB156" s="26"/>
      <c r="OC156" s="26"/>
      <c r="OD156" s="26"/>
      <c r="OE156" s="26"/>
      <c r="OF156" s="26"/>
      <c r="OG156" s="26"/>
      <c r="OH156" s="26"/>
      <c r="OI156" s="26"/>
      <c r="OJ156" s="26"/>
      <c r="OK156" s="26"/>
      <c r="OL156" s="26"/>
      <c r="OM156" s="26"/>
      <c r="ON156" s="26"/>
      <c r="OO156" s="26"/>
      <c r="OP156" s="26"/>
      <c r="OQ156" s="26"/>
      <c r="OR156" s="26"/>
      <c r="OS156" s="26"/>
      <c r="OT156" s="26"/>
      <c r="OU156" s="26"/>
      <c r="OV156" s="26"/>
      <c r="OW156" s="26"/>
      <c r="OX156" s="26"/>
      <c r="OY156" s="26"/>
      <c r="OZ156" s="26"/>
      <c r="PA156" s="26"/>
      <c r="PB156" s="26"/>
      <c r="PC156" s="26"/>
      <c r="PD156" s="26"/>
      <c r="PE156" s="26"/>
      <c r="PF156" s="26"/>
      <c r="PG156" s="26"/>
      <c r="PH156" s="26"/>
      <c r="PI156" s="26"/>
      <c r="PJ156" s="26"/>
      <c r="PK156" s="26"/>
      <c r="PL156" s="26"/>
      <c r="PM156" s="26"/>
      <c r="PN156" s="26"/>
      <c r="PO156" s="26"/>
      <c r="PP156" s="26"/>
      <c r="PQ156" s="26"/>
      <c r="PR156" s="26"/>
      <c r="PS156" s="26"/>
      <c r="PT156" s="26"/>
      <c r="PU156" s="26"/>
      <c r="PV156" s="26"/>
      <c r="PW156" s="26"/>
      <c r="PX156" s="26"/>
      <c r="PY156" s="26"/>
      <c r="PZ156" s="26"/>
      <c r="QA156" s="26"/>
      <c r="QB156" s="26"/>
      <c r="QC156" s="26"/>
      <c r="QD156" s="26"/>
      <c r="QE156" s="26"/>
      <c r="QF156" s="26"/>
      <c r="QG156" s="26"/>
      <c r="QH156" s="26"/>
      <c r="QI156" s="26"/>
      <c r="QJ156" s="26"/>
      <c r="QK156" s="26"/>
      <c r="QL156" s="26"/>
      <c r="QM156" s="26"/>
      <c r="QN156" s="26"/>
      <c r="QO156" s="26"/>
      <c r="QP156" s="26"/>
      <c r="QQ156" s="26"/>
      <c r="QR156" s="26"/>
      <c r="QS156" s="26"/>
      <c r="QT156" s="26"/>
      <c r="QU156" s="26"/>
      <c r="QV156" s="26"/>
      <c r="QW156" s="26"/>
      <c r="QX156" s="26"/>
      <c r="QY156" s="26"/>
      <c r="QZ156" s="26"/>
      <c r="RA156" s="26"/>
      <c r="RB156" s="26"/>
      <c r="RC156" s="26"/>
      <c r="RD156" s="26"/>
      <c r="RE156" s="26"/>
      <c r="RF156" s="26"/>
      <c r="RG156" s="26"/>
      <c r="RH156" s="26"/>
      <c r="RI156" s="26"/>
      <c r="RJ156" s="26"/>
      <c r="RK156" s="26"/>
      <c r="RL156" s="26"/>
      <c r="RM156" s="26"/>
      <c r="RN156" s="26"/>
      <c r="RO156" s="26"/>
      <c r="RP156" s="26"/>
      <c r="RQ156" s="26"/>
      <c r="RR156" s="26"/>
      <c r="RS156" s="26"/>
      <c r="RT156" s="26"/>
      <c r="RU156" s="26"/>
      <c r="RV156" s="26"/>
      <c r="RW156" s="26"/>
      <c r="RX156" s="26"/>
      <c r="RY156" s="26"/>
      <c r="RZ156" s="26"/>
      <c r="SA156" s="26"/>
      <c r="SB156" s="26"/>
      <c r="SC156" s="26"/>
      <c r="SD156" s="26"/>
      <c r="SE156" s="26"/>
      <c r="SF156" s="26"/>
      <c r="SG156" s="26"/>
      <c r="SH156" s="26"/>
      <c r="SI156" s="26"/>
      <c r="SJ156" s="26"/>
      <c r="SK156" s="26"/>
      <c r="SL156" s="26"/>
      <c r="SM156" s="26"/>
      <c r="SN156" s="26"/>
      <c r="SO156" s="26"/>
      <c r="SP156" s="26"/>
      <c r="SQ156" s="26"/>
      <c r="SR156" s="26"/>
      <c r="SS156" s="26"/>
      <c r="ST156" s="26"/>
      <c r="SU156" s="26"/>
      <c r="SV156" s="26"/>
      <c r="SW156" s="26"/>
      <c r="SX156" s="26"/>
      <c r="SY156" s="26"/>
      <c r="SZ156" s="26"/>
      <c r="TA156" s="26"/>
      <c r="TB156" s="26"/>
      <c r="TC156" s="26"/>
      <c r="TD156" s="26"/>
      <c r="TE156" s="26"/>
      <c r="TF156" s="26"/>
      <c r="TG156" s="26"/>
      <c r="TH156" s="26"/>
      <c r="TI156" s="26"/>
    </row>
    <row r="157" spans="1:529" s="23" customFormat="1" ht="27" customHeight="1" x14ac:dyDescent="0.25">
      <c r="A157" s="43" t="s">
        <v>338</v>
      </c>
      <c r="B157" s="44" t="str">
        <f>'дод 4'!A100</f>
        <v>3191</v>
      </c>
      <c r="C157" s="44" t="str">
        <f>'дод 4'!B100</f>
        <v>1030</v>
      </c>
      <c r="D157" s="24" t="str">
        <f>'дод 4'!C100</f>
        <v>Інші видатки на соціальний захист ветеранів війни та праці</v>
      </c>
      <c r="E157" s="66">
        <f t="shared" si="59"/>
        <v>2199344</v>
      </c>
      <c r="F157" s="66">
        <f>2178000-7032+28376</f>
        <v>2199344</v>
      </c>
      <c r="G157" s="66"/>
      <c r="H157" s="66"/>
      <c r="I157" s="66"/>
      <c r="J157" s="66">
        <f t="shared" si="61"/>
        <v>0</v>
      </c>
      <c r="K157" s="66"/>
      <c r="L157" s="66"/>
      <c r="M157" s="66"/>
      <c r="N157" s="66"/>
      <c r="O157" s="66"/>
      <c r="P157" s="66">
        <f t="shared" si="60"/>
        <v>2199344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  <c r="IW157" s="26"/>
      <c r="IX157" s="26"/>
      <c r="IY157" s="26"/>
      <c r="IZ157" s="26"/>
      <c r="JA157" s="26"/>
      <c r="JB157" s="26"/>
      <c r="JC157" s="26"/>
      <c r="JD157" s="26"/>
      <c r="JE157" s="26"/>
      <c r="JF157" s="26"/>
      <c r="JG157" s="26"/>
      <c r="JH157" s="26"/>
      <c r="JI157" s="26"/>
      <c r="JJ157" s="26"/>
      <c r="JK157" s="26"/>
      <c r="JL157" s="26"/>
      <c r="JM157" s="26"/>
      <c r="JN157" s="26"/>
      <c r="JO157" s="26"/>
      <c r="JP157" s="26"/>
      <c r="JQ157" s="26"/>
      <c r="JR157" s="26"/>
      <c r="JS157" s="26"/>
      <c r="JT157" s="26"/>
      <c r="JU157" s="26"/>
      <c r="JV157" s="26"/>
      <c r="JW157" s="26"/>
      <c r="JX157" s="26"/>
      <c r="JY157" s="26"/>
      <c r="JZ157" s="26"/>
      <c r="KA157" s="26"/>
      <c r="KB157" s="26"/>
      <c r="KC157" s="26"/>
      <c r="KD157" s="26"/>
      <c r="KE157" s="26"/>
      <c r="KF157" s="26"/>
      <c r="KG157" s="26"/>
      <c r="KH157" s="26"/>
      <c r="KI157" s="26"/>
      <c r="KJ157" s="26"/>
      <c r="KK157" s="26"/>
      <c r="KL157" s="26"/>
      <c r="KM157" s="26"/>
      <c r="KN157" s="26"/>
      <c r="KO157" s="26"/>
      <c r="KP157" s="26"/>
      <c r="KQ157" s="26"/>
      <c r="KR157" s="26"/>
      <c r="KS157" s="26"/>
      <c r="KT157" s="26"/>
      <c r="KU157" s="26"/>
      <c r="KV157" s="26"/>
      <c r="KW157" s="26"/>
      <c r="KX157" s="26"/>
      <c r="KY157" s="26"/>
      <c r="KZ157" s="26"/>
      <c r="LA157" s="26"/>
      <c r="LB157" s="26"/>
      <c r="LC157" s="26"/>
      <c r="LD157" s="26"/>
      <c r="LE157" s="26"/>
      <c r="LF157" s="26"/>
      <c r="LG157" s="26"/>
      <c r="LH157" s="26"/>
      <c r="LI157" s="26"/>
      <c r="LJ157" s="26"/>
      <c r="LK157" s="26"/>
      <c r="LL157" s="26"/>
      <c r="LM157" s="26"/>
      <c r="LN157" s="26"/>
      <c r="LO157" s="26"/>
      <c r="LP157" s="26"/>
      <c r="LQ157" s="26"/>
      <c r="LR157" s="26"/>
      <c r="LS157" s="26"/>
      <c r="LT157" s="26"/>
      <c r="LU157" s="26"/>
      <c r="LV157" s="26"/>
      <c r="LW157" s="26"/>
      <c r="LX157" s="26"/>
      <c r="LY157" s="26"/>
      <c r="LZ157" s="26"/>
      <c r="MA157" s="26"/>
      <c r="MB157" s="26"/>
      <c r="MC157" s="26"/>
      <c r="MD157" s="26"/>
      <c r="ME157" s="26"/>
      <c r="MF157" s="26"/>
      <c r="MG157" s="26"/>
      <c r="MH157" s="26"/>
      <c r="MI157" s="26"/>
      <c r="MJ157" s="26"/>
      <c r="MK157" s="26"/>
      <c r="ML157" s="26"/>
      <c r="MM157" s="26"/>
      <c r="MN157" s="26"/>
      <c r="MO157" s="26"/>
      <c r="MP157" s="26"/>
      <c r="MQ157" s="26"/>
      <c r="MR157" s="26"/>
      <c r="MS157" s="26"/>
      <c r="MT157" s="26"/>
      <c r="MU157" s="26"/>
      <c r="MV157" s="26"/>
      <c r="MW157" s="26"/>
      <c r="MX157" s="26"/>
      <c r="MY157" s="26"/>
      <c r="MZ157" s="26"/>
      <c r="NA157" s="26"/>
      <c r="NB157" s="26"/>
      <c r="NC157" s="26"/>
      <c r="ND157" s="26"/>
      <c r="NE157" s="26"/>
      <c r="NF157" s="26"/>
      <c r="NG157" s="26"/>
      <c r="NH157" s="26"/>
      <c r="NI157" s="26"/>
      <c r="NJ157" s="26"/>
      <c r="NK157" s="26"/>
      <c r="NL157" s="26"/>
      <c r="NM157" s="26"/>
      <c r="NN157" s="26"/>
      <c r="NO157" s="26"/>
      <c r="NP157" s="26"/>
      <c r="NQ157" s="26"/>
      <c r="NR157" s="26"/>
      <c r="NS157" s="26"/>
      <c r="NT157" s="26"/>
      <c r="NU157" s="26"/>
      <c r="NV157" s="26"/>
      <c r="NW157" s="26"/>
      <c r="NX157" s="26"/>
      <c r="NY157" s="26"/>
      <c r="NZ157" s="26"/>
      <c r="OA157" s="26"/>
      <c r="OB157" s="26"/>
      <c r="OC157" s="26"/>
      <c r="OD157" s="26"/>
      <c r="OE157" s="26"/>
      <c r="OF157" s="26"/>
      <c r="OG157" s="26"/>
      <c r="OH157" s="26"/>
      <c r="OI157" s="26"/>
      <c r="OJ157" s="26"/>
      <c r="OK157" s="26"/>
      <c r="OL157" s="26"/>
      <c r="OM157" s="26"/>
      <c r="ON157" s="26"/>
      <c r="OO157" s="26"/>
      <c r="OP157" s="26"/>
      <c r="OQ157" s="26"/>
      <c r="OR157" s="26"/>
      <c r="OS157" s="26"/>
      <c r="OT157" s="26"/>
      <c r="OU157" s="26"/>
      <c r="OV157" s="26"/>
      <c r="OW157" s="26"/>
      <c r="OX157" s="26"/>
      <c r="OY157" s="26"/>
      <c r="OZ157" s="26"/>
      <c r="PA157" s="26"/>
      <c r="PB157" s="26"/>
      <c r="PC157" s="26"/>
      <c r="PD157" s="26"/>
      <c r="PE157" s="26"/>
      <c r="PF157" s="26"/>
      <c r="PG157" s="26"/>
      <c r="PH157" s="26"/>
      <c r="PI157" s="26"/>
      <c r="PJ157" s="26"/>
      <c r="PK157" s="26"/>
      <c r="PL157" s="26"/>
      <c r="PM157" s="26"/>
      <c r="PN157" s="26"/>
      <c r="PO157" s="26"/>
      <c r="PP157" s="26"/>
      <c r="PQ157" s="26"/>
      <c r="PR157" s="26"/>
      <c r="PS157" s="26"/>
      <c r="PT157" s="26"/>
      <c r="PU157" s="26"/>
      <c r="PV157" s="26"/>
      <c r="PW157" s="26"/>
      <c r="PX157" s="26"/>
      <c r="PY157" s="26"/>
      <c r="PZ157" s="26"/>
      <c r="QA157" s="26"/>
      <c r="QB157" s="26"/>
      <c r="QC157" s="26"/>
      <c r="QD157" s="26"/>
      <c r="QE157" s="26"/>
      <c r="QF157" s="26"/>
      <c r="QG157" s="26"/>
      <c r="QH157" s="26"/>
      <c r="QI157" s="26"/>
      <c r="QJ157" s="26"/>
      <c r="QK157" s="26"/>
      <c r="QL157" s="26"/>
      <c r="QM157" s="26"/>
      <c r="QN157" s="26"/>
      <c r="QO157" s="26"/>
      <c r="QP157" s="26"/>
      <c r="QQ157" s="26"/>
      <c r="QR157" s="26"/>
      <c r="QS157" s="26"/>
      <c r="QT157" s="26"/>
      <c r="QU157" s="26"/>
      <c r="QV157" s="26"/>
      <c r="QW157" s="26"/>
      <c r="QX157" s="26"/>
      <c r="QY157" s="26"/>
      <c r="QZ157" s="26"/>
      <c r="RA157" s="26"/>
      <c r="RB157" s="26"/>
      <c r="RC157" s="26"/>
      <c r="RD157" s="26"/>
      <c r="RE157" s="26"/>
      <c r="RF157" s="26"/>
      <c r="RG157" s="26"/>
      <c r="RH157" s="26"/>
      <c r="RI157" s="26"/>
      <c r="RJ157" s="26"/>
      <c r="RK157" s="26"/>
      <c r="RL157" s="26"/>
      <c r="RM157" s="26"/>
      <c r="RN157" s="26"/>
      <c r="RO157" s="26"/>
      <c r="RP157" s="26"/>
      <c r="RQ157" s="26"/>
      <c r="RR157" s="26"/>
      <c r="RS157" s="26"/>
      <c r="RT157" s="26"/>
      <c r="RU157" s="26"/>
      <c r="RV157" s="26"/>
      <c r="RW157" s="26"/>
      <c r="RX157" s="26"/>
      <c r="RY157" s="26"/>
      <c r="RZ157" s="26"/>
      <c r="SA157" s="26"/>
      <c r="SB157" s="26"/>
      <c r="SC157" s="26"/>
      <c r="SD157" s="26"/>
      <c r="SE157" s="26"/>
      <c r="SF157" s="26"/>
      <c r="SG157" s="26"/>
      <c r="SH157" s="26"/>
      <c r="SI157" s="26"/>
      <c r="SJ157" s="26"/>
      <c r="SK157" s="26"/>
      <c r="SL157" s="26"/>
      <c r="SM157" s="26"/>
      <c r="SN157" s="26"/>
      <c r="SO157" s="26"/>
      <c r="SP157" s="26"/>
      <c r="SQ157" s="26"/>
      <c r="SR157" s="26"/>
      <c r="SS157" s="26"/>
      <c r="ST157" s="26"/>
      <c r="SU157" s="26"/>
      <c r="SV157" s="26"/>
      <c r="SW157" s="26"/>
      <c r="SX157" s="26"/>
      <c r="SY157" s="26"/>
      <c r="SZ157" s="26"/>
      <c r="TA157" s="26"/>
      <c r="TB157" s="26"/>
      <c r="TC157" s="26"/>
      <c r="TD157" s="26"/>
      <c r="TE157" s="26"/>
      <c r="TF157" s="26"/>
      <c r="TG157" s="26"/>
      <c r="TH157" s="26"/>
      <c r="TI157" s="26"/>
    </row>
    <row r="158" spans="1:529" s="23" customFormat="1" ht="45" x14ac:dyDescent="0.25">
      <c r="A158" s="43" t="s">
        <v>339</v>
      </c>
      <c r="B158" s="44" t="str">
        <f>'дод 4'!A101</f>
        <v>3192</v>
      </c>
      <c r="C158" s="44" t="str">
        <f>'дод 4'!B101</f>
        <v>1030</v>
      </c>
      <c r="D158" s="24" t="str">
        <f>'дод 4'!C101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58" s="66">
        <f t="shared" si="59"/>
        <v>1892237</v>
      </c>
      <c r="F158" s="66">
        <f>1478776+413461</f>
        <v>1892237</v>
      </c>
      <c r="G158" s="66"/>
      <c r="H158" s="66"/>
      <c r="I158" s="66"/>
      <c r="J158" s="66">
        <f t="shared" si="61"/>
        <v>0</v>
      </c>
      <c r="K158" s="66"/>
      <c r="L158" s="66"/>
      <c r="M158" s="66"/>
      <c r="N158" s="66"/>
      <c r="O158" s="66"/>
      <c r="P158" s="66">
        <f t="shared" si="60"/>
        <v>1892237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  <c r="IW158" s="26"/>
      <c r="IX158" s="26"/>
      <c r="IY158" s="26"/>
      <c r="IZ158" s="26"/>
      <c r="JA158" s="26"/>
      <c r="JB158" s="26"/>
      <c r="JC158" s="26"/>
      <c r="JD158" s="26"/>
      <c r="JE158" s="26"/>
      <c r="JF158" s="26"/>
      <c r="JG158" s="26"/>
      <c r="JH158" s="26"/>
      <c r="JI158" s="26"/>
      <c r="JJ158" s="26"/>
      <c r="JK158" s="26"/>
      <c r="JL158" s="26"/>
      <c r="JM158" s="26"/>
      <c r="JN158" s="26"/>
      <c r="JO158" s="26"/>
      <c r="JP158" s="26"/>
      <c r="JQ158" s="26"/>
      <c r="JR158" s="26"/>
      <c r="JS158" s="26"/>
      <c r="JT158" s="26"/>
      <c r="JU158" s="26"/>
      <c r="JV158" s="26"/>
      <c r="JW158" s="26"/>
      <c r="JX158" s="26"/>
      <c r="JY158" s="26"/>
      <c r="JZ158" s="26"/>
      <c r="KA158" s="26"/>
      <c r="KB158" s="26"/>
      <c r="KC158" s="26"/>
      <c r="KD158" s="26"/>
      <c r="KE158" s="26"/>
      <c r="KF158" s="26"/>
      <c r="KG158" s="26"/>
      <c r="KH158" s="26"/>
      <c r="KI158" s="26"/>
      <c r="KJ158" s="26"/>
      <c r="KK158" s="26"/>
      <c r="KL158" s="26"/>
      <c r="KM158" s="26"/>
      <c r="KN158" s="26"/>
      <c r="KO158" s="26"/>
      <c r="KP158" s="26"/>
      <c r="KQ158" s="26"/>
      <c r="KR158" s="26"/>
      <c r="KS158" s="26"/>
      <c r="KT158" s="26"/>
      <c r="KU158" s="26"/>
      <c r="KV158" s="26"/>
      <c r="KW158" s="26"/>
      <c r="KX158" s="26"/>
      <c r="KY158" s="26"/>
      <c r="KZ158" s="26"/>
      <c r="LA158" s="26"/>
      <c r="LB158" s="26"/>
      <c r="LC158" s="26"/>
      <c r="LD158" s="26"/>
      <c r="LE158" s="26"/>
      <c r="LF158" s="26"/>
      <c r="LG158" s="26"/>
      <c r="LH158" s="26"/>
      <c r="LI158" s="26"/>
      <c r="LJ158" s="26"/>
      <c r="LK158" s="26"/>
      <c r="LL158" s="26"/>
      <c r="LM158" s="26"/>
      <c r="LN158" s="26"/>
      <c r="LO158" s="26"/>
      <c r="LP158" s="26"/>
      <c r="LQ158" s="26"/>
      <c r="LR158" s="26"/>
      <c r="LS158" s="26"/>
      <c r="LT158" s="26"/>
      <c r="LU158" s="26"/>
      <c r="LV158" s="26"/>
      <c r="LW158" s="26"/>
      <c r="LX158" s="26"/>
      <c r="LY158" s="26"/>
      <c r="LZ158" s="26"/>
      <c r="MA158" s="26"/>
      <c r="MB158" s="26"/>
      <c r="MC158" s="26"/>
      <c r="MD158" s="26"/>
      <c r="ME158" s="26"/>
      <c r="MF158" s="26"/>
      <c r="MG158" s="26"/>
      <c r="MH158" s="26"/>
      <c r="MI158" s="26"/>
      <c r="MJ158" s="26"/>
      <c r="MK158" s="26"/>
      <c r="ML158" s="26"/>
      <c r="MM158" s="26"/>
      <c r="MN158" s="26"/>
      <c r="MO158" s="26"/>
      <c r="MP158" s="26"/>
      <c r="MQ158" s="26"/>
      <c r="MR158" s="26"/>
      <c r="MS158" s="26"/>
      <c r="MT158" s="26"/>
      <c r="MU158" s="26"/>
      <c r="MV158" s="26"/>
      <c r="MW158" s="26"/>
      <c r="MX158" s="26"/>
      <c r="MY158" s="26"/>
      <c r="MZ158" s="26"/>
      <c r="NA158" s="26"/>
      <c r="NB158" s="26"/>
      <c r="NC158" s="26"/>
      <c r="ND158" s="26"/>
      <c r="NE158" s="26"/>
      <c r="NF158" s="26"/>
      <c r="NG158" s="26"/>
      <c r="NH158" s="26"/>
      <c r="NI158" s="26"/>
      <c r="NJ158" s="26"/>
      <c r="NK158" s="26"/>
      <c r="NL158" s="26"/>
      <c r="NM158" s="26"/>
      <c r="NN158" s="26"/>
      <c r="NO158" s="26"/>
      <c r="NP158" s="26"/>
      <c r="NQ158" s="26"/>
      <c r="NR158" s="26"/>
      <c r="NS158" s="26"/>
      <c r="NT158" s="26"/>
      <c r="NU158" s="26"/>
      <c r="NV158" s="26"/>
      <c r="NW158" s="26"/>
      <c r="NX158" s="26"/>
      <c r="NY158" s="26"/>
      <c r="NZ158" s="26"/>
      <c r="OA158" s="26"/>
      <c r="OB158" s="26"/>
      <c r="OC158" s="26"/>
      <c r="OD158" s="26"/>
      <c r="OE158" s="26"/>
      <c r="OF158" s="26"/>
      <c r="OG158" s="26"/>
      <c r="OH158" s="26"/>
      <c r="OI158" s="26"/>
      <c r="OJ158" s="26"/>
      <c r="OK158" s="26"/>
      <c r="OL158" s="26"/>
      <c r="OM158" s="26"/>
      <c r="ON158" s="26"/>
      <c r="OO158" s="26"/>
      <c r="OP158" s="26"/>
      <c r="OQ158" s="26"/>
      <c r="OR158" s="26"/>
      <c r="OS158" s="26"/>
      <c r="OT158" s="26"/>
      <c r="OU158" s="26"/>
      <c r="OV158" s="26"/>
      <c r="OW158" s="26"/>
      <c r="OX158" s="26"/>
      <c r="OY158" s="26"/>
      <c r="OZ158" s="26"/>
      <c r="PA158" s="26"/>
      <c r="PB158" s="26"/>
      <c r="PC158" s="26"/>
      <c r="PD158" s="26"/>
      <c r="PE158" s="26"/>
      <c r="PF158" s="26"/>
      <c r="PG158" s="26"/>
      <c r="PH158" s="26"/>
      <c r="PI158" s="26"/>
      <c r="PJ158" s="26"/>
      <c r="PK158" s="26"/>
      <c r="PL158" s="26"/>
      <c r="PM158" s="26"/>
      <c r="PN158" s="26"/>
      <c r="PO158" s="26"/>
      <c r="PP158" s="26"/>
      <c r="PQ158" s="26"/>
      <c r="PR158" s="26"/>
      <c r="PS158" s="26"/>
      <c r="PT158" s="26"/>
      <c r="PU158" s="26"/>
      <c r="PV158" s="26"/>
      <c r="PW158" s="26"/>
      <c r="PX158" s="26"/>
      <c r="PY158" s="26"/>
      <c r="PZ158" s="26"/>
      <c r="QA158" s="26"/>
      <c r="QB158" s="26"/>
      <c r="QC158" s="26"/>
      <c r="QD158" s="26"/>
      <c r="QE158" s="26"/>
      <c r="QF158" s="26"/>
      <c r="QG158" s="26"/>
      <c r="QH158" s="26"/>
      <c r="QI158" s="26"/>
      <c r="QJ158" s="26"/>
      <c r="QK158" s="26"/>
      <c r="QL158" s="26"/>
      <c r="QM158" s="26"/>
      <c r="QN158" s="26"/>
      <c r="QO158" s="26"/>
      <c r="QP158" s="26"/>
      <c r="QQ158" s="26"/>
      <c r="QR158" s="26"/>
      <c r="QS158" s="26"/>
      <c r="QT158" s="26"/>
      <c r="QU158" s="26"/>
      <c r="QV158" s="26"/>
      <c r="QW158" s="26"/>
      <c r="QX158" s="26"/>
      <c r="QY158" s="26"/>
      <c r="QZ158" s="26"/>
      <c r="RA158" s="26"/>
      <c r="RB158" s="26"/>
      <c r="RC158" s="26"/>
      <c r="RD158" s="26"/>
      <c r="RE158" s="26"/>
      <c r="RF158" s="26"/>
      <c r="RG158" s="26"/>
      <c r="RH158" s="26"/>
      <c r="RI158" s="26"/>
      <c r="RJ158" s="26"/>
      <c r="RK158" s="26"/>
      <c r="RL158" s="26"/>
      <c r="RM158" s="26"/>
      <c r="RN158" s="26"/>
      <c r="RO158" s="26"/>
      <c r="RP158" s="26"/>
      <c r="RQ158" s="26"/>
      <c r="RR158" s="26"/>
      <c r="RS158" s="26"/>
      <c r="RT158" s="26"/>
      <c r="RU158" s="26"/>
      <c r="RV158" s="26"/>
      <c r="RW158" s="26"/>
      <c r="RX158" s="26"/>
      <c r="RY158" s="26"/>
      <c r="RZ158" s="26"/>
      <c r="SA158" s="26"/>
      <c r="SB158" s="26"/>
      <c r="SC158" s="26"/>
      <c r="SD158" s="26"/>
      <c r="SE158" s="26"/>
      <c r="SF158" s="26"/>
      <c r="SG158" s="26"/>
      <c r="SH158" s="26"/>
      <c r="SI158" s="26"/>
      <c r="SJ158" s="26"/>
      <c r="SK158" s="26"/>
      <c r="SL158" s="26"/>
      <c r="SM158" s="26"/>
      <c r="SN158" s="26"/>
      <c r="SO158" s="26"/>
      <c r="SP158" s="26"/>
      <c r="SQ158" s="26"/>
      <c r="SR158" s="26"/>
      <c r="SS158" s="26"/>
      <c r="ST158" s="26"/>
      <c r="SU158" s="26"/>
      <c r="SV158" s="26"/>
      <c r="SW158" s="26"/>
      <c r="SX158" s="26"/>
      <c r="SY158" s="26"/>
      <c r="SZ158" s="26"/>
      <c r="TA158" s="26"/>
      <c r="TB158" s="26"/>
      <c r="TC158" s="26"/>
      <c r="TD158" s="26"/>
      <c r="TE158" s="26"/>
      <c r="TF158" s="26"/>
      <c r="TG158" s="26"/>
      <c r="TH158" s="26"/>
      <c r="TI158" s="26"/>
    </row>
    <row r="159" spans="1:529" s="23" customFormat="1" ht="34.5" customHeight="1" x14ac:dyDescent="0.25">
      <c r="A159" s="43" t="s">
        <v>204</v>
      </c>
      <c r="B159" s="44" t="str">
        <f>'дод 4'!A102</f>
        <v>3200</v>
      </c>
      <c r="C159" s="44" t="str">
        <f>'дод 4'!B102</f>
        <v>1090</v>
      </c>
      <c r="D159" s="24" t="str">
        <f>'дод 4'!C102</f>
        <v>Забезпечення обробки інформації з нарахування та виплати допомог і компенсацій</v>
      </c>
      <c r="E159" s="66">
        <f t="shared" si="59"/>
        <v>86500</v>
      </c>
      <c r="F159" s="66">
        <v>86500</v>
      </c>
      <c r="G159" s="66"/>
      <c r="H159" s="66"/>
      <c r="I159" s="66"/>
      <c r="J159" s="66">
        <f t="shared" si="61"/>
        <v>0</v>
      </c>
      <c r="K159" s="66"/>
      <c r="L159" s="66"/>
      <c r="M159" s="66"/>
      <c r="N159" s="66"/>
      <c r="O159" s="66"/>
      <c r="P159" s="66">
        <f t="shared" si="60"/>
        <v>86500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  <c r="IW159" s="26"/>
      <c r="IX159" s="26"/>
      <c r="IY159" s="26"/>
      <c r="IZ159" s="26"/>
      <c r="JA159" s="26"/>
      <c r="JB159" s="26"/>
      <c r="JC159" s="26"/>
      <c r="JD159" s="26"/>
      <c r="JE159" s="26"/>
      <c r="JF159" s="26"/>
      <c r="JG159" s="26"/>
      <c r="JH159" s="26"/>
      <c r="JI159" s="26"/>
      <c r="JJ159" s="26"/>
      <c r="JK159" s="26"/>
      <c r="JL159" s="26"/>
      <c r="JM159" s="26"/>
      <c r="JN159" s="26"/>
      <c r="JO159" s="26"/>
      <c r="JP159" s="26"/>
      <c r="JQ159" s="26"/>
      <c r="JR159" s="26"/>
      <c r="JS159" s="26"/>
      <c r="JT159" s="26"/>
      <c r="JU159" s="26"/>
      <c r="JV159" s="26"/>
      <c r="JW159" s="26"/>
      <c r="JX159" s="26"/>
      <c r="JY159" s="26"/>
      <c r="JZ159" s="26"/>
      <c r="KA159" s="26"/>
      <c r="KB159" s="26"/>
      <c r="KC159" s="26"/>
      <c r="KD159" s="26"/>
      <c r="KE159" s="26"/>
      <c r="KF159" s="26"/>
      <c r="KG159" s="26"/>
      <c r="KH159" s="26"/>
      <c r="KI159" s="26"/>
      <c r="KJ159" s="26"/>
      <c r="KK159" s="26"/>
      <c r="KL159" s="26"/>
      <c r="KM159" s="26"/>
      <c r="KN159" s="26"/>
      <c r="KO159" s="26"/>
      <c r="KP159" s="26"/>
      <c r="KQ159" s="26"/>
      <c r="KR159" s="26"/>
      <c r="KS159" s="26"/>
      <c r="KT159" s="26"/>
      <c r="KU159" s="26"/>
      <c r="KV159" s="26"/>
      <c r="KW159" s="26"/>
      <c r="KX159" s="26"/>
      <c r="KY159" s="26"/>
      <c r="KZ159" s="26"/>
      <c r="LA159" s="26"/>
      <c r="LB159" s="26"/>
      <c r="LC159" s="26"/>
      <c r="LD159" s="26"/>
      <c r="LE159" s="26"/>
      <c r="LF159" s="26"/>
      <c r="LG159" s="26"/>
      <c r="LH159" s="26"/>
      <c r="LI159" s="26"/>
      <c r="LJ159" s="26"/>
      <c r="LK159" s="26"/>
      <c r="LL159" s="26"/>
      <c r="LM159" s="26"/>
      <c r="LN159" s="26"/>
      <c r="LO159" s="26"/>
      <c r="LP159" s="26"/>
      <c r="LQ159" s="26"/>
      <c r="LR159" s="26"/>
      <c r="LS159" s="26"/>
      <c r="LT159" s="26"/>
      <c r="LU159" s="26"/>
      <c r="LV159" s="26"/>
      <c r="LW159" s="26"/>
      <c r="LX159" s="26"/>
      <c r="LY159" s="26"/>
      <c r="LZ159" s="26"/>
      <c r="MA159" s="26"/>
      <c r="MB159" s="26"/>
      <c r="MC159" s="26"/>
      <c r="MD159" s="26"/>
      <c r="ME159" s="26"/>
      <c r="MF159" s="26"/>
      <c r="MG159" s="26"/>
      <c r="MH159" s="26"/>
      <c r="MI159" s="26"/>
      <c r="MJ159" s="26"/>
      <c r="MK159" s="26"/>
      <c r="ML159" s="26"/>
      <c r="MM159" s="26"/>
      <c r="MN159" s="26"/>
      <c r="MO159" s="26"/>
      <c r="MP159" s="26"/>
      <c r="MQ159" s="26"/>
      <c r="MR159" s="26"/>
      <c r="MS159" s="26"/>
      <c r="MT159" s="26"/>
      <c r="MU159" s="26"/>
      <c r="MV159" s="26"/>
      <c r="MW159" s="26"/>
      <c r="MX159" s="26"/>
      <c r="MY159" s="26"/>
      <c r="MZ159" s="26"/>
      <c r="NA159" s="26"/>
      <c r="NB159" s="26"/>
      <c r="NC159" s="26"/>
      <c r="ND159" s="26"/>
      <c r="NE159" s="26"/>
      <c r="NF159" s="26"/>
      <c r="NG159" s="26"/>
      <c r="NH159" s="26"/>
      <c r="NI159" s="26"/>
      <c r="NJ159" s="26"/>
      <c r="NK159" s="26"/>
      <c r="NL159" s="26"/>
      <c r="NM159" s="26"/>
      <c r="NN159" s="26"/>
      <c r="NO159" s="26"/>
      <c r="NP159" s="26"/>
      <c r="NQ159" s="26"/>
      <c r="NR159" s="26"/>
      <c r="NS159" s="26"/>
      <c r="NT159" s="26"/>
      <c r="NU159" s="26"/>
      <c r="NV159" s="26"/>
      <c r="NW159" s="26"/>
      <c r="NX159" s="26"/>
      <c r="NY159" s="26"/>
      <c r="NZ159" s="26"/>
      <c r="OA159" s="26"/>
      <c r="OB159" s="26"/>
      <c r="OC159" s="26"/>
      <c r="OD159" s="26"/>
      <c r="OE159" s="26"/>
      <c r="OF159" s="26"/>
      <c r="OG159" s="26"/>
      <c r="OH159" s="26"/>
      <c r="OI159" s="26"/>
      <c r="OJ159" s="26"/>
      <c r="OK159" s="26"/>
      <c r="OL159" s="26"/>
      <c r="OM159" s="26"/>
      <c r="ON159" s="26"/>
      <c r="OO159" s="26"/>
      <c r="OP159" s="26"/>
      <c r="OQ159" s="26"/>
      <c r="OR159" s="26"/>
      <c r="OS159" s="26"/>
      <c r="OT159" s="26"/>
      <c r="OU159" s="26"/>
      <c r="OV159" s="26"/>
      <c r="OW159" s="26"/>
      <c r="OX159" s="26"/>
      <c r="OY159" s="26"/>
      <c r="OZ159" s="26"/>
      <c r="PA159" s="26"/>
      <c r="PB159" s="26"/>
      <c r="PC159" s="26"/>
      <c r="PD159" s="26"/>
      <c r="PE159" s="26"/>
      <c r="PF159" s="26"/>
      <c r="PG159" s="26"/>
      <c r="PH159" s="26"/>
      <c r="PI159" s="26"/>
      <c r="PJ159" s="26"/>
      <c r="PK159" s="26"/>
      <c r="PL159" s="26"/>
      <c r="PM159" s="26"/>
      <c r="PN159" s="26"/>
      <c r="PO159" s="26"/>
      <c r="PP159" s="26"/>
      <c r="PQ159" s="26"/>
      <c r="PR159" s="26"/>
      <c r="PS159" s="26"/>
      <c r="PT159" s="26"/>
      <c r="PU159" s="26"/>
      <c r="PV159" s="26"/>
      <c r="PW159" s="26"/>
      <c r="PX159" s="26"/>
      <c r="PY159" s="26"/>
      <c r="PZ159" s="26"/>
      <c r="QA159" s="26"/>
      <c r="QB159" s="26"/>
      <c r="QC159" s="26"/>
      <c r="QD159" s="26"/>
      <c r="QE159" s="26"/>
      <c r="QF159" s="26"/>
      <c r="QG159" s="26"/>
      <c r="QH159" s="26"/>
      <c r="QI159" s="26"/>
      <c r="QJ159" s="26"/>
      <c r="QK159" s="26"/>
      <c r="QL159" s="26"/>
      <c r="QM159" s="26"/>
      <c r="QN159" s="26"/>
      <c r="QO159" s="26"/>
      <c r="QP159" s="26"/>
      <c r="QQ159" s="26"/>
      <c r="QR159" s="26"/>
      <c r="QS159" s="26"/>
      <c r="QT159" s="26"/>
      <c r="QU159" s="26"/>
      <c r="QV159" s="26"/>
      <c r="QW159" s="26"/>
      <c r="QX159" s="26"/>
      <c r="QY159" s="26"/>
      <c r="QZ159" s="26"/>
      <c r="RA159" s="26"/>
      <c r="RB159" s="26"/>
      <c r="RC159" s="26"/>
      <c r="RD159" s="26"/>
      <c r="RE159" s="26"/>
      <c r="RF159" s="26"/>
      <c r="RG159" s="26"/>
      <c r="RH159" s="26"/>
      <c r="RI159" s="26"/>
      <c r="RJ159" s="26"/>
      <c r="RK159" s="26"/>
      <c r="RL159" s="26"/>
      <c r="RM159" s="26"/>
      <c r="RN159" s="26"/>
      <c r="RO159" s="26"/>
      <c r="RP159" s="26"/>
      <c r="RQ159" s="26"/>
      <c r="RR159" s="26"/>
      <c r="RS159" s="26"/>
      <c r="RT159" s="26"/>
      <c r="RU159" s="26"/>
      <c r="RV159" s="26"/>
      <c r="RW159" s="26"/>
      <c r="RX159" s="26"/>
      <c r="RY159" s="26"/>
      <c r="RZ159" s="26"/>
      <c r="SA159" s="26"/>
      <c r="SB159" s="26"/>
      <c r="SC159" s="26"/>
      <c r="SD159" s="26"/>
      <c r="SE159" s="26"/>
      <c r="SF159" s="26"/>
      <c r="SG159" s="26"/>
      <c r="SH159" s="26"/>
      <c r="SI159" s="26"/>
      <c r="SJ159" s="26"/>
      <c r="SK159" s="26"/>
      <c r="SL159" s="26"/>
      <c r="SM159" s="26"/>
      <c r="SN159" s="26"/>
      <c r="SO159" s="26"/>
      <c r="SP159" s="26"/>
      <c r="SQ159" s="26"/>
      <c r="SR159" s="26"/>
      <c r="SS159" s="26"/>
      <c r="ST159" s="26"/>
      <c r="SU159" s="26"/>
      <c r="SV159" s="26"/>
      <c r="SW159" s="26"/>
      <c r="SX159" s="26"/>
      <c r="SY159" s="26"/>
      <c r="SZ159" s="26"/>
      <c r="TA159" s="26"/>
      <c r="TB159" s="26"/>
      <c r="TC159" s="26"/>
      <c r="TD159" s="26"/>
      <c r="TE159" s="26"/>
      <c r="TF159" s="26"/>
      <c r="TG159" s="26"/>
      <c r="TH159" s="26"/>
      <c r="TI159" s="26"/>
    </row>
    <row r="160" spans="1:529" s="23" customFormat="1" ht="19.5" customHeight="1" x14ac:dyDescent="0.25">
      <c r="A160" s="52" t="s">
        <v>340</v>
      </c>
      <c r="B160" s="45" t="str">
        <f>'дод 4'!A103</f>
        <v>3210</v>
      </c>
      <c r="C160" s="45" t="str">
        <f>'дод 4'!B103</f>
        <v>1050</v>
      </c>
      <c r="D160" s="22" t="str">
        <f>'дод 4'!C103</f>
        <v>Організація та проведення громадських робіт</v>
      </c>
      <c r="E160" s="66">
        <f t="shared" si="59"/>
        <v>200000</v>
      </c>
      <c r="F160" s="66">
        <v>200000</v>
      </c>
      <c r="G160" s="66">
        <v>163935</v>
      </c>
      <c r="H160" s="66"/>
      <c r="I160" s="66"/>
      <c r="J160" s="66">
        <f t="shared" si="61"/>
        <v>0</v>
      </c>
      <c r="K160" s="66"/>
      <c r="L160" s="66"/>
      <c r="M160" s="66"/>
      <c r="N160" s="66"/>
      <c r="O160" s="66"/>
      <c r="P160" s="66">
        <f t="shared" si="60"/>
        <v>200000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  <c r="IW160" s="26"/>
      <c r="IX160" s="26"/>
      <c r="IY160" s="26"/>
      <c r="IZ160" s="26"/>
      <c r="JA160" s="26"/>
      <c r="JB160" s="26"/>
      <c r="JC160" s="26"/>
      <c r="JD160" s="26"/>
      <c r="JE160" s="26"/>
      <c r="JF160" s="26"/>
      <c r="JG160" s="26"/>
      <c r="JH160" s="26"/>
      <c r="JI160" s="26"/>
      <c r="JJ160" s="26"/>
      <c r="JK160" s="26"/>
      <c r="JL160" s="26"/>
      <c r="JM160" s="26"/>
      <c r="JN160" s="26"/>
      <c r="JO160" s="26"/>
      <c r="JP160" s="26"/>
      <c r="JQ160" s="26"/>
      <c r="JR160" s="26"/>
      <c r="JS160" s="26"/>
      <c r="JT160" s="26"/>
      <c r="JU160" s="26"/>
      <c r="JV160" s="26"/>
      <c r="JW160" s="26"/>
      <c r="JX160" s="26"/>
      <c r="JY160" s="26"/>
      <c r="JZ160" s="26"/>
      <c r="KA160" s="26"/>
      <c r="KB160" s="26"/>
      <c r="KC160" s="26"/>
      <c r="KD160" s="26"/>
      <c r="KE160" s="26"/>
      <c r="KF160" s="26"/>
      <c r="KG160" s="26"/>
      <c r="KH160" s="26"/>
      <c r="KI160" s="26"/>
      <c r="KJ160" s="26"/>
      <c r="KK160" s="26"/>
      <c r="KL160" s="26"/>
      <c r="KM160" s="26"/>
      <c r="KN160" s="26"/>
      <c r="KO160" s="26"/>
      <c r="KP160" s="26"/>
      <c r="KQ160" s="26"/>
      <c r="KR160" s="26"/>
      <c r="KS160" s="26"/>
      <c r="KT160" s="26"/>
      <c r="KU160" s="26"/>
      <c r="KV160" s="26"/>
      <c r="KW160" s="26"/>
      <c r="KX160" s="26"/>
      <c r="KY160" s="26"/>
      <c r="KZ160" s="26"/>
      <c r="LA160" s="26"/>
      <c r="LB160" s="26"/>
      <c r="LC160" s="26"/>
      <c r="LD160" s="26"/>
      <c r="LE160" s="26"/>
      <c r="LF160" s="26"/>
      <c r="LG160" s="26"/>
      <c r="LH160" s="26"/>
      <c r="LI160" s="26"/>
      <c r="LJ160" s="26"/>
      <c r="LK160" s="26"/>
      <c r="LL160" s="26"/>
      <c r="LM160" s="26"/>
      <c r="LN160" s="26"/>
      <c r="LO160" s="26"/>
      <c r="LP160" s="26"/>
      <c r="LQ160" s="26"/>
      <c r="LR160" s="26"/>
      <c r="LS160" s="26"/>
      <c r="LT160" s="26"/>
      <c r="LU160" s="26"/>
      <c r="LV160" s="26"/>
      <c r="LW160" s="26"/>
      <c r="LX160" s="26"/>
      <c r="LY160" s="26"/>
      <c r="LZ160" s="26"/>
      <c r="MA160" s="26"/>
      <c r="MB160" s="26"/>
      <c r="MC160" s="26"/>
      <c r="MD160" s="26"/>
      <c r="ME160" s="26"/>
      <c r="MF160" s="26"/>
      <c r="MG160" s="26"/>
      <c r="MH160" s="26"/>
      <c r="MI160" s="26"/>
      <c r="MJ160" s="26"/>
      <c r="MK160" s="26"/>
      <c r="ML160" s="26"/>
      <c r="MM160" s="26"/>
      <c r="MN160" s="26"/>
      <c r="MO160" s="26"/>
      <c r="MP160" s="26"/>
      <c r="MQ160" s="26"/>
      <c r="MR160" s="26"/>
      <c r="MS160" s="26"/>
      <c r="MT160" s="26"/>
      <c r="MU160" s="26"/>
      <c r="MV160" s="26"/>
      <c r="MW160" s="26"/>
      <c r="MX160" s="26"/>
      <c r="MY160" s="26"/>
      <c r="MZ160" s="26"/>
      <c r="NA160" s="26"/>
      <c r="NB160" s="26"/>
      <c r="NC160" s="26"/>
      <c r="ND160" s="26"/>
      <c r="NE160" s="26"/>
      <c r="NF160" s="26"/>
      <c r="NG160" s="26"/>
      <c r="NH160" s="26"/>
      <c r="NI160" s="26"/>
      <c r="NJ160" s="26"/>
      <c r="NK160" s="26"/>
      <c r="NL160" s="26"/>
      <c r="NM160" s="26"/>
      <c r="NN160" s="26"/>
      <c r="NO160" s="26"/>
      <c r="NP160" s="26"/>
      <c r="NQ160" s="26"/>
      <c r="NR160" s="26"/>
      <c r="NS160" s="26"/>
      <c r="NT160" s="26"/>
      <c r="NU160" s="26"/>
      <c r="NV160" s="26"/>
      <c r="NW160" s="26"/>
      <c r="NX160" s="26"/>
      <c r="NY160" s="26"/>
      <c r="NZ160" s="26"/>
      <c r="OA160" s="26"/>
      <c r="OB160" s="26"/>
      <c r="OC160" s="26"/>
      <c r="OD160" s="26"/>
      <c r="OE160" s="26"/>
      <c r="OF160" s="26"/>
      <c r="OG160" s="26"/>
      <c r="OH160" s="26"/>
      <c r="OI160" s="26"/>
      <c r="OJ160" s="26"/>
      <c r="OK160" s="26"/>
      <c r="OL160" s="26"/>
      <c r="OM160" s="26"/>
      <c r="ON160" s="26"/>
      <c r="OO160" s="26"/>
      <c r="OP160" s="26"/>
      <c r="OQ160" s="26"/>
      <c r="OR160" s="26"/>
      <c r="OS160" s="26"/>
      <c r="OT160" s="26"/>
      <c r="OU160" s="26"/>
      <c r="OV160" s="26"/>
      <c r="OW160" s="26"/>
      <c r="OX160" s="26"/>
      <c r="OY160" s="26"/>
      <c r="OZ160" s="26"/>
      <c r="PA160" s="26"/>
      <c r="PB160" s="26"/>
      <c r="PC160" s="26"/>
      <c r="PD160" s="26"/>
      <c r="PE160" s="26"/>
      <c r="PF160" s="26"/>
      <c r="PG160" s="26"/>
      <c r="PH160" s="26"/>
      <c r="PI160" s="26"/>
      <c r="PJ160" s="26"/>
      <c r="PK160" s="26"/>
      <c r="PL160" s="26"/>
      <c r="PM160" s="26"/>
      <c r="PN160" s="26"/>
      <c r="PO160" s="26"/>
      <c r="PP160" s="26"/>
      <c r="PQ160" s="26"/>
      <c r="PR160" s="26"/>
      <c r="PS160" s="26"/>
      <c r="PT160" s="26"/>
      <c r="PU160" s="26"/>
      <c r="PV160" s="26"/>
      <c r="PW160" s="26"/>
      <c r="PX160" s="26"/>
      <c r="PY160" s="26"/>
      <c r="PZ160" s="26"/>
      <c r="QA160" s="26"/>
      <c r="QB160" s="26"/>
      <c r="QC160" s="26"/>
      <c r="QD160" s="26"/>
      <c r="QE160" s="26"/>
      <c r="QF160" s="26"/>
      <c r="QG160" s="26"/>
      <c r="QH160" s="26"/>
      <c r="QI160" s="26"/>
      <c r="QJ160" s="26"/>
      <c r="QK160" s="26"/>
      <c r="QL160" s="26"/>
      <c r="QM160" s="26"/>
      <c r="QN160" s="26"/>
      <c r="QO160" s="26"/>
      <c r="QP160" s="26"/>
      <c r="QQ160" s="26"/>
      <c r="QR160" s="26"/>
      <c r="QS160" s="26"/>
      <c r="QT160" s="26"/>
      <c r="QU160" s="26"/>
      <c r="QV160" s="26"/>
      <c r="QW160" s="26"/>
      <c r="QX160" s="26"/>
      <c r="QY160" s="26"/>
      <c r="QZ160" s="26"/>
      <c r="RA160" s="26"/>
      <c r="RB160" s="26"/>
      <c r="RC160" s="26"/>
      <c r="RD160" s="26"/>
      <c r="RE160" s="26"/>
      <c r="RF160" s="26"/>
      <c r="RG160" s="26"/>
      <c r="RH160" s="26"/>
      <c r="RI160" s="26"/>
      <c r="RJ160" s="26"/>
      <c r="RK160" s="26"/>
      <c r="RL160" s="26"/>
      <c r="RM160" s="26"/>
      <c r="RN160" s="26"/>
      <c r="RO160" s="26"/>
      <c r="RP160" s="26"/>
      <c r="RQ160" s="26"/>
      <c r="RR160" s="26"/>
      <c r="RS160" s="26"/>
      <c r="RT160" s="26"/>
      <c r="RU160" s="26"/>
      <c r="RV160" s="26"/>
      <c r="RW160" s="26"/>
      <c r="RX160" s="26"/>
      <c r="RY160" s="26"/>
      <c r="RZ160" s="26"/>
      <c r="SA160" s="26"/>
      <c r="SB160" s="26"/>
      <c r="SC160" s="26"/>
      <c r="SD160" s="26"/>
      <c r="SE160" s="26"/>
      <c r="SF160" s="26"/>
      <c r="SG160" s="26"/>
      <c r="SH160" s="26"/>
      <c r="SI160" s="26"/>
      <c r="SJ160" s="26"/>
      <c r="SK160" s="26"/>
      <c r="SL160" s="26"/>
      <c r="SM160" s="26"/>
      <c r="SN160" s="26"/>
      <c r="SO160" s="26"/>
      <c r="SP160" s="26"/>
      <c r="SQ160" s="26"/>
      <c r="SR160" s="26"/>
      <c r="SS160" s="26"/>
      <c r="ST160" s="26"/>
      <c r="SU160" s="26"/>
      <c r="SV160" s="26"/>
      <c r="SW160" s="26"/>
      <c r="SX160" s="26"/>
      <c r="SY160" s="26"/>
      <c r="SZ160" s="26"/>
      <c r="TA160" s="26"/>
      <c r="TB160" s="26"/>
      <c r="TC160" s="26"/>
      <c r="TD160" s="26"/>
      <c r="TE160" s="26"/>
      <c r="TF160" s="26"/>
      <c r="TG160" s="26"/>
      <c r="TH160" s="26"/>
      <c r="TI160" s="26"/>
    </row>
    <row r="161" spans="1:529" s="23" customFormat="1" ht="231.75" hidden="1" customHeight="1" x14ac:dyDescent="0.25">
      <c r="A161" s="52"/>
      <c r="B161" s="45"/>
      <c r="C161" s="52"/>
      <c r="D161" s="22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  <c r="IW161" s="26"/>
      <c r="IX161" s="26"/>
      <c r="IY161" s="26"/>
      <c r="IZ161" s="26"/>
      <c r="JA161" s="26"/>
      <c r="JB161" s="26"/>
      <c r="JC161" s="26"/>
      <c r="JD161" s="26"/>
      <c r="JE161" s="26"/>
      <c r="JF161" s="26"/>
      <c r="JG161" s="26"/>
      <c r="JH161" s="26"/>
      <c r="JI161" s="26"/>
      <c r="JJ161" s="26"/>
      <c r="JK161" s="26"/>
      <c r="JL161" s="26"/>
      <c r="JM161" s="26"/>
      <c r="JN161" s="26"/>
      <c r="JO161" s="26"/>
      <c r="JP161" s="26"/>
      <c r="JQ161" s="26"/>
      <c r="JR161" s="26"/>
      <c r="JS161" s="26"/>
      <c r="JT161" s="26"/>
      <c r="JU161" s="26"/>
      <c r="JV161" s="26"/>
      <c r="JW161" s="26"/>
      <c r="JX161" s="26"/>
      <c r="JY161" s="26"/>
      <c r="JZ161" s="26"/>
      <c r="KA161" s="26"/>
      <c r="KB161" s="26"/>
      <c r="KC161" s="26"/>
      <c r="KD161" s="26"/>
      <c r="KE161" s="26"/>
      <c r="KF161" s="26"/>
      <c r="KG161" s="26"/>
      <c r="KH161" s="26"/>
      <c r="KI161" s="26"/>
      <c r="KJ161" s="26"/>
      <c r="KK161" s="26"/>
      <c r="KL161" s="26"/>
      <c r="KM161" s="26"/>
      <c r="KN161" s="26"/>
      <c r="KO161" s="26"/>
      <c r="KP161" s="26"/>
      <c r="KQ161" s="26"/>
      <c r="KR161" s="26"/>
      <c r="KS161" s="26"/>
      <c r="KT161" s="26"/>
      <c r="KU161" s="26"/>
      <c r="KV161" s="26"/>
      <c r="KW161" s="26"/>
      <c r="KX161" s="26"/>
      <c r="KY161" s="26"/>
      <c r="KZ161" s="26"/>
      <c r="LA161" s="26"/>
      <c r="LB161" s="26"/>
      <c r="LC161" s="26"/>
      <c r="LD161" s="26"/>
      <c r="LE161" s="26"/>
      <c r="LF161" s="26"/>
      <c r="LG161" s="26"/>
      <c r="LH161" s="26"/>
      <c r="LI161" s="26"/>
      <c r="LJ161" s="26"/>
      <c r="LK161" s="26"/>
      <c r="LL161" s="26"/>
      <c r="LM161" s="26"/>
      <c r="LN161" s="26"/>
      <c r="LO161" s="26"/>
      <c r="LP161" s="26"/>
      <c r="LQ161" s="26"/>
      <c r="LR161" s="26"/>
      <c r="LS161" s="26"/>
      <c r="LT161" s="26"/>
      <c r="LU161" s="26"/>
      <c r="LV161" s="26"/>
      <c r="LW161" s="26"/>
      <c r="LX161" s="26"/>
      <c r="LY161" s="26"/>
      <c r="LZ161" s="26"/>
      <c r="MA161" s="26"/>
      <c r="MB161" s="26"/>
      <c r="MC161" s="26"/>
      <c r="MD161" s="26"/>
      <c r="ME161" s="26"/>
      <c r="MF161" s="26"/>
      <c r="MG161" s="26"/>
      <c r="MH161" s="26"/>
      <c r="MI161" s="26"/>
      <c r="MJ161" s="26"/>
      <c r="MK161" s="26"/>
      <c r="ML161" s="26"/>
      <c r="MM161" s="26"/>
      <c r="MN161" s="26"/>
      <c r="MO161" s="26"/>
      <c r="MP161" s="26"/>
      <c r="MQ161" s="26"/>
      <c r="MR161" s="26"/>
      <c r="MS161" s="26"/>
      <c r="MT161" s="26"/>
      <c r="MU161" s="26"/>
      <c r="MV161" s="26"/>
      <c r="MW161" s="26"/>
      <c r="MX161" s="26"/>
      <c r="MY161" s="26"/>
      <c r="MZ161" s="26"/>
      <c r="NA161" s="26"/>
      <c r="NB161" s="26"/>
      <c r="NC161" s="26"/>
      <c r="ND161" s="26"/>
      <c r="NE161" s="26"/>
      <c r="NF161" s="26"/>
      <c r="NG161" s="26"/>
      <c r="NH161" s="26"/>
      <c r="NI161" s="26"/>
      <c r="NJ161" s="26"/>
      <c r="NK161" s="26"/>
      <c r="NL161" s="26"/>
      <c r="NM161" s="26"/>
      <c r="NN161" s="26"/>
      <c r="NO161" s="26"/>
      <c r="NP161" s="26"/>
      <c r="NQ161" s="26"/>
      <c r="NR161" s="26"/>
      <c r="NS161" s="26"/>
      <c r="NT161" s="26"/>
      <c r="NU161" s="26"/>
      <c r="NV161" s="26"/>
      <c r="NW161" s="26"/>
      <c r="NX161" s="26"/>
      <c r="NY161" s="26"/>
      <c r="NZ161" s="26"/>
      <c r="OA161" s="26"/>
      <c r="OB161" s="26"/>
      <c r="OC161" s="26"/>
      <c r="OD161" s="26"/>
      <c r="OE161" s="26"/>
      <c r="OF161" s="26"/>
      <c r="OG161" s="26"/>
      <c r="OH161" s="26"/>
      <c r="OI161" s="26"/>
      <c r="OJ161" s="26"/>
      <c r="OK161" s="26"/>
      <c r="OL161" s="26"/>
      <c r="OM161" s="26"/>
      <c r="ON161" s="26"/>
      <c r="OO161" s="26"/>
      <c r="OP161" s="26"/>
      <c r="OQ161" s="26"/>
      <c r="OR161" s="26"/>
      <c r="OS161" s="26"/>
      <c r="OT161" s="26"/>
      <c r="OU161" s="26"/>
      <c r="OV161" s="26"/>
      <c r="OW161" s="26"/>
      <c r="OX161" s="26"/>
      <c r="OY161" s="26"/>
      <c r="OZ161" s="26"/>
      <c r="PA161" s="26"/>
      <c r="PB161" s="26"/>
      <c r="PC161" s="26"/>
      <c r="PD161" s="26"/>
      <c r="PE161" s="26"/>
      <c r="PF161" s="26"/>
      <c r="PG161" s="26"/>
      <c r="PH161" s="26"/>
      <c r="PI161" s="26"/>
      <c r="PJ161" s="26"/>
      <c r="PK161" s="26"/>
      <c r="PL161" s="26"/>
      <c r="PM161" s="26"/>
      <c r="PN161" s="26"/>
      <c r="PO161" s="26"/>
      <c r="PP161" s="26"/>
      <c r="PQ161" s="26"/>
      <c r="PR161" s="26"/>
      <c r="PS161" s="26"/>
      <c r="PT161" s="26"/>
      <c r="PU161" s="26"/>
      <c r="PV161" s="26"/>
      <c r="PW161" s="26"/>
      <c r="PX161" s="26"/>
      <c r="PY161" s="26"/>
      <c r="PZ161" s="26"/>
      <c r="QA161" s="26"/>
      <c r="QB161" s="26"/>
      <c r="QC161" s="26"/>
      <c r="QD161" s="26"/>
      <c r="QE161" s="26"/>
      <c r="QF161" s="26"/>
      <c r="QG161" s="26"/>
      <c r="QH161" s="26"/>
      <c r="QI161" s="26"/>
      <c r="QJ161" s="26"/>
      <c r="QK161" s="26"/>
      <c r="QL161" s="26"/>
      <c r="QM161" s="26"/>
      <c r="QN161" s="26"/>
      <c r="QO161" s="26"/>
      <c r="QP161" s="26"/>
      <c r="QQ161" s="26"/>
      <c r="QR161" s="26"/>
      <c r="QS161" s="26"/>
      <c r="QT161" s="26"/>
      <c r="QU161" s="26"/>
      <c r="QV161" s="26"/>
      <c r="QW161" s="26"/>
      <c r="QX161" s="26"/>
      <c r="QY161" s="26"/>
      <c r="QZ161" s="26"/>
      <c r="RA161" s="26"/>
      <c r="RB161" s="26"/>
      <c r="RC161" s="26"/>
      <c r="RD161" s="26"/>
      <c r="RE161" s="26"/>
      <c r="RF161" s="26"/>
      <c r="RG161" s="26"/>
      <c r="RH161" s="26"/>
      <c r="RI161" s="26"/>
      <c r="RJ161" s="26"/>
      <c r="RK161" s="26"/>
      <c r="RL161" s="26"/>
      <c r="RM161" s="26"/>
      <c r="RN161" s="26"/>
      <c r="RO161" s="26"/>
      <c r="RP161" s="26"/>
      <c r="RQ161" s="26"/>
      <c r="RR161" s="26"/>
      <c r="RS161" s="26"/>
      <c r="RT161" s="26"/>
      <c r="RU161" s="26"/>
      <c r="RV161" s="26"/>
      <c r="RW161" s="26"/>
      <c r="RX161" s="26"/>
      <c r="RY161" s="26"/>
      <c r="RZ161" s="26"/>
      <c r="SA161" s="26"/>
      <c r="SB161" s="26"/>
      <c r="SC161" s="26"/>
      <c r="SD161" s="26"/>
      <c r="SE161" s="26"/>
      <c r="SF161" s="26"/>
      <c r="SG161" s="26"/>
      <c r="SH161" s="26"/>
      <c r="SI161" s="26"/>
      <c r="SJ161" s="26"/>
      <c r="SK161" s="26"/>
      <c r="SL161" s="26"/>
      <c r="SM161" s="26"/>
      <c r="SN161" s="26"/>
      <c r="SO161" s="26"/>
      <c r="SP161" s="26"/>
      <c r="SQ161" s="26"/>
      <c r="SR161" s="26"/>
      <c r="SS161" s="26"/>
      <c r="ST161" s="26"/>
      <c r="SU161" s="26"/>
      <c r="SV161" s="26"/>
      <c r="SW161" s="26"/>
      <c r="SX161" s="26"/>
      <c r="SY161" s="26"/>
      <c r="SZ161" s="26"/>
      <c r="TA161" s="26"/>
      <c r="TB161" s="26"/>
      <c r="TC161" s="26"/>
      <c r="TD161" s="26"/>
      <c r="TE161" s="26"/>
      <c r="TF161" s="26"/>
      <c r="TG161" s="26"/>
      <c r="TH161" s="26"/>
      <c r="TI161" s="26"/>
    </row>
    <row r="162" spans="1:529" s="27" customFormat="1" ht="244.5" hidden="1" customHeight="1" x14ac:dyDescent="0.25">
      <c r="A162" s="141"/>
      <c r="B162" s="142"/>
      <c r="C162" s="141"/>
      <c r="D162" s="143"/>
      <c r="E162" s="144"/>
      <c r="F162" s="144"/>
      <c r="G162" s="144"/>
      <c r="H162" s="144"/>
      <c r="I162" s="144"/>
      <c r="J162" s="66"/>
      <c r="K162" s="144"/>
      <c r="L162" s="144"/>
      <c r="M162" s="144"/>
      <c r="N162" s="144"/>
      <c r="O162" s="144"/>
      <c r="P162" s="6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36"/>
      <c r="IA162" s="36"/>
      <c r="IB162" s="36"/>
      <c r="IC162" s="36"/>
      <c r="ID162" s="36"/>
      <c r="IE162" s="36"/>
      <c r="IF162" s="36"/>
      <c r="IG162" s="36"/>
      <c r="IH162" s="36"/>
      <c r="II162" s="36"/>
      <c r="IJ162" s="36"/>
      <c r="IK162" s="36"/>
      <c r="IL162" s="36"/>
      <c r="IM162" s="36"/>
      <c r="IN162" s="36"/>
      <c r="IO162" s="36"/>
      <c r="IP162" s="36"/>
      <c r="IQ162" s="36"/>
      <c r="IR162" s="36"/>
      <c r="IS162" s="36"/>
      <c r="IT162" s="36"/>
      <c r="IU162" s="36"/>
      <c r="IV162" s="36"/>
      <c r="IW162" s="36"/>
      <c r="IX162" s="36"/>
      <c r="IY162" s="36"/>
      <c r="IZ162" s="36"/>
      <c r="JA162" s="36"/>
      <c r="JB162" s="36"/>
      <c r="JC162" s="36"/>
      <c r="JD162" s="36"/>
      <c r="JE162" s="36"/>
      <c r="JF162" s="36"/>
      <c r="JG162" s="36"/>
      <c r="JH162" s="36"/>
      <c r="JI162" s="36"/>
      <c r="JJ162" s="36"/>
      <c r="JK162" s="36"/>
      <c r="JL162" s="36"/>
      <c r="JM162" s="36"/>
      <c r="JN162" s="36"/>
      <c r="JO162" s="36"/>
      <c r="JP162" s="36"/>
      <c r="JQ162" s="36"/>
      <c r="JR162" s="36"/>
      <c r="JS162" s="36"/>
      <c r="JT162" s="36"/>
      <c r="JU162" s="36"/>
      <c r="JV162" s="36"/>
      <c r="JW162" s="36"/>
      <c r="JX162" s="36"/>
      <c r="JY162" s="36"/>
      <c r="JZ162" s="36"/>
      <c r="KA162" s="36"/>
      <c r="KB162" s="36"/>
      <c r="KC162" s="36"/>
      <c r="KD162" s="36"/>
      <c r="KE162" s="36"/>
      <c r="KF162" s="36"/>
      <c r="KG162" s="36"/>
      <c r="KH162" s="36"/>
      <c r="KI162" s="36"/>
      <c r="KJ162" s="36"/>
      <c r="KK162" s="36"/>
      <c r="KL162" s="36"/>
      <c r="KM162" s="36"/>
      <c r="KN162" s="36"/>
      <c r="KO162" s="36"/>
      <c r="KP162" s="36"/>
      <c r="KQ162" s="36"/>
      <c r="KR162" s="36"/>
      <c r="KS162" s="36"/>
      <c r="KT162" s="36"/>
      <c r="KU162" s="36"/>
      <c r="KV162" s="36"/>
      <c r="KW162" s="36"/>
      <c r="KX162" s="36"/>
      <c r="KY162" s="36"/>
      <c r="KZ162" s="36"/>
      <c r="LA162" s="36"/>
      <c r="LB162" s="36"/>
      <c r="LC162" s="36"/>
      <c r="LD162" s="36"/>
      <c r="LE162" s="36"/>
      <c r="LF162" s="36"/>
      <c r="LG162" s="36"/>
      <c r="LH162" s="36"/>
      <c r="LI162" s="36"/>
      <c r="LJ162" s="36"/>
      <c r="LK162" s="36"/>
      <c r="LL162" s="36"/>
      <c r="LM162" s="36"/>
      <c r="LN162" s="36"/>
      <c r="LO162" s="36"/>
      <c r="LP162" s="36"/>
      <c r="LQ162" s="36"/>
      <c r="LR162" s="36"/>
      <c r="LS162" s="36"/>
      <c r="LT162" s="36"/>
      <c r="LU162" s="36"/>
      <c r="LV162" s="36"/>
      <c r="LW162" s="36"/>
      <c r="LX162" s="36"/>
      <c r="LY162" s="36"/>
      <c r="LZ162" s="36"/>
      <c r="MA162" s="36"/>
      <c r="MB162" s="36"/>
      <c r="MC162" s="36"/>
      <c r="MD162" s="36"/>
      <c r="ME162" s="36"/>
      <c r="MF162" s="36"/>
      <c r="MG162" s="36"/>
      <c r="MH162" s="36"/>
      <c r="MI162" s="36"/>
      <c r="MJ162" s="36"/>
      <c r="MK162" s="36"/>
      <c r="ML162" s="36"/>
      <c r="MM162" s="36"/>
      <c r="MN162" s="36"/>
      <c r="MO162" s="36"/>
      <c r="MP162" s="36"/>
      <c r="MQ162" s="36"/>
      <c r="MR162" s="36"/>
      <c r="MS162" s="36"/>
      <c r="MT162" s="36"/>
      <c r="MU162" s="36"/>
      <c r="MV162" s="36"/>
      <c r="MW162" s="36"/>
      <c r="MX162" s="36"/>
      <c r="MY162" s="36"/>
      <c r="MZ162" s="36"/>
      <c r="NA162" s="36"/>
      <c r="NB162" s="36"/>
      <c r="NC162" s="36"/>
      <c r="ND162" s="36"/>
      <c r="NE162" s="36"/>
      <c r="NF162" s="36"/>
      <c r="NG162" s="36"/>
      <c r="NH162" s="36"/>
      <c r="NI162" s="36"/>
      <c r="NJ162" s="36"/>
      <c r="NK162" s="36"/>
      <c r="NL162" s="36"/>
      <c r="NM162" s="36"/>
      <c r="NN162" s="36"/>
      <c r="NO162" s="36"/>
      <c r="NP162" s="36"/>
      <c r="NQ162" s="36"/>
      <c r="NR162" s="36"/>
      <c r="NS162" s="36"/>
      <c r="NT162" s="36"/>
      <c r="NU162" s="36"/>
      <c r="NV162" s="36"/>
      <c r="NW162" s="36"/>
      <c r="NX162" s="36"/>
      <c r="NY162" s="36"/>
      <c r="NZ162" s="36"/>
      <c r="OA162" s="36"/>
      <c r="OB162" s="36"/>
      <c r="OC162" s="36"/>
      <c r="OD162" s="36"/>
      <c r="OE162" s="36"/>
      <c r="OF162" s="36"/>
      <c r="OG162" s="36"/>
      <c r="OH162" s="36"/>
      <c r="OI162" s="36"/>
      <c r="OJ162" s="36"/>
      <c r="OK162" s="36"/>
      <c r="OL162" s="36"/>
      <c r="OM162" s="36"/>
      <c r="ON162" s="36"/>
      <c r="OO162" s="36"/>
      <c r="OP162" s="36"/>
      <c r="OQ162" s="36"/>
      <c r="OR162" s="36"/>
      <c r="OS162" s="36"/>
      <c r="OT162" s="36"/>
      <c r="OU162" s="36"/>
      <c r="OV162" s="36"/>
      <c r="OW162" s="36"/>
      <c r="OX162" s="36"/>
      <c r="OY162" s="36"/>
      <c r="OZ162" s="36"/>
      <c r="PA162" s="36"/>
      <c r="PB162" s="36"/>
      <c r="PC162" s="36"/>
      <c r="PD162" s="36"/>
      <c r="PE162" s="36"/>
      <c r="PF162" s="36"/>
      <c r="PG162" s="36"/>
      <c r="PH162" s="36"/>
      <c r="PI162" s="36"/>
      <c r="PJ162" s="36"/>
      <c r="PK162" s="36"/>
      <c r="PL162" s="36"/>
      <c r="PM162" s="36"/>
      <c r="PN162" s="36"/>
      <c r="PO162" s="36"/>
      <c r="PP162" s="36"/>
      <c r="PQ162" s="36"/>
      <c r="PR162" s="36"/>
      <c r="PS162" s="36"/>
      <c r="PT162" s="36"/>
      <c r="PU162" s="36"/>
      <c r="PV162" s="36"/>
      <c r="PW162" s="36"/>
      <c r="PX162" s="36"/>
      <c r="PY162" s="36"/>
      <c r="PZ162" s="36"/>
      <c r="QA162" s="36"/>
      <c r="QB162" s="36"/>
      <c r="QC162" s="36"/>
      <c r="QD162" s="36"/>
      <c r="QE162" s="36"/>
      <c r="QF162" s="36"/>
      <c r="QG162" s="36"/>
      <c r="QH162" s="36"/>
      <c r="QI162" s="36"/>
      <c r="QJ162" s="36"/>
      <c r="QK162" s="36"/>
      <c r="QL162" s="36"/>
      <c r="QM162" s="36"/>
      <c r="QN162" s="36"/>
      <c r="QO162" s="36"/>
      <c r="QP162" s="36"/>
      <c r="QQ162" s="36"/>
      <c r="QR162" s="36"/>
      <c r="QS162" s="36"/>
      <c r="QT162" s="36"/>
      <c r="QU162" s="36"/>
      <c r="QV162" s="36"/>
      <c r="QW162" s="36"/>
      <c r="QX162" s="36"/>
      <c r="QY162" s="36"/>
      <c r="QZ162" s="36"/>
      <c r="RA162" s="36"/>
      <c r="RB162" s="36"/>
      <c r="RC162" s="36"/>
      <c r="RD162" s="36"/>
      <c r="RE162" s="36"/>
      <c r="RF162" s="36"/>
      <c r="RG162" s="36"/>
      <c r="RH162" s="36"/>
      <c r="RI162" s="36"/>
      <c r="RJ162" s="36"/>
      <c r="RK162" s="36"/>
      <c r="RL162" s="36"/>
      <c r="RM162" s="36"/>
      <c r="RN162" s="36"/>
      <c r="RO162" s="36"/>
      <c r="RP162" s="36"/>
      <c r="RQ162" s="36"/>
      <c r="RR162" s="36"/>
      <c r="RS162" s="36"/>
      <c r="RT162" s="36"/>
      <c r="RU162" s="36"/>
      <c r="RV162" s="36"/>
      <c r="RW162" s="36"/>
      <c r="RX162" s="36"/>
      <c r="RY162" s="36"/>
      <c r="RZ162" s="36"/>
      <c r="SA162" s="36"/>
      <c r="SB162" s="36"/>
      <c r="SC162" s="36"/>
      <c r="SD162" s="36"/>
      <c r="SE162" s="36"/>
      <c r="SF162" s="36"/>
      <c r="SG162" s="36"/>
      <c r="SH162" s="36"/>
      <c r="SI162" s="36"/>
      <c r="SJ162" s="36"/>
      <c r="SK162" s="36"/>
      <c r="SL162" s="36"/>
      <c r="SM162" s="36"/>
      <c r="SN162" s="36"/>
      <c r="SO162" s="36"/>
      <c r="SP162" s="36"/>
      <c r="SQ162" s="36"/>
      <c r="SR162" s="36"/>
      <c r="SS162" s="36"/>
      <c r="ST162" s="36"/>
      <c r="SU162" s="36"/>
      <c r="SV162" s="36"/>
      <c r="SW162" s="36"/>
      <c r="SX162" s="36"/>
      <c r="SY162" s="36"/>
      <c r="SZ162" s="36"/>
      <c r="TA162" s="36"/>
      <c r="TB162" s="36"/>
      <c r="TC162" s="36"/>
      <c r="TD162" s="36"/>
      <c r="TE162" s="36"/>
      <c r="TF162" s="36"/>
      <c r="TG162" s="36"/>
      <c r="TH162" s="36"/>
      <c r="TI162" s="36"/>
    </row>
    <row r="163" spans="1:529" s="23" customFormat="1" ht="188.25" hidden="1" customHeight="1" x14ac:dyDescent="0.25">
      <c r="A163" s="52"/>
      <c r="B163" s="45"/>
      <c r="C163" s="52"/>
      <c r="D163" s="22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  <c r="JK163" s="26"/>
      <c r="JL163" s="26"/>
      <c r="JM163" s="26"/>
      <c r="JN163" s="26"/>
      <c r="JO163" s="26"/>
      <c r="JP163" s="26"/>
      <c r="JQ163" s="26"/>
      <c r="JR163" s="26"/>
      <c r="JS163" s="26"/>
      <c r="JT163" s="26"/>
      <c r="JU163" s="26"/>
      <c r="JV163" s="26"/>
      <c r="JW163" s="26"/>
      <c r="JX163" s="26"/>
      <c r="JY163" s="26"/>
      <c r="JZ163" s="26"/>
      <c r="KA163" s="26"/>
      <c r="KB163" s="26"/>
      <c r="KC163" s="26"/>
      <c r="KD163" s="26"/>
      <c r="KE163" s="26"/>
      <c r="KF163" s="26"/>
      <c r="KG163" s="26"/>
      <c r="KH163" s="26"/>
      <c r="KI163" s="26"/>
      <c r="KJ163" s="26"/>
      <c r="KK163" s="26"/>
      <c r="KL163" s="26"/>
      <c r="KM163" s="26"/>
      <c r="KN163" s="26"/>
      <c r="KO163" s="26"/>
      <c r="KP163" s="26"/>
      <c r="KQ163" s="26"/>
      <c r="KR163" s="26"/>
      <c r="KS163" s="26"/>
      <c r="KT163" s="26"/>
      <c r="KU163" s="26"/>
      <c r="KV163" s="26"/>
      <c r="KW163" s="26"/>
      <c r="KX163" s="26"/>
      <c r="KY163" s="26"/>
      <c r="KZ163" s="26"/>
      <c r="LA163" s="26"/>
      <c r="LB163" s="26"/>
      <c r="LC163" s="26"/>
      <c r="LD163" s="26"/>
      <c r="LE163" s="26"/>
      <c r="LF163" s="26"/>
      <c r="LG163" s="26"/>
      <c r="LH163" s="26"/>
      <c r="LI163" s="26"/>
      <c r="LJ163" s="26"/>
      <c r="LK163" s="26"/>
      <c r="LL163" s="26"/>
      <c r="LM163" s="26"/>
      <c r="LN163" s="26"/>
      <c r="LO163" s="26"/>
      <c r="LP163" s="26"/>
      <c r="LQ163" s="26"/>
      <c r="LR163" s="26"/>
      <c r="LS163" s="26"/>
      <c r="LT163" s="26"/>
      <c r="LU163" s="26"/>
      <c r="LV163" s="26"/>
      <c r="LW163" s="26"/>
      <c r="LX163" s="26"/>
      <c r="LY163" s="26"/>
      <c r="LZ163" s="26"/>
      <c r="MA163" s="26"/>
      <c r="MB163" s="26"/>
      <c r="MC163" s="26"/>
      <c r="MD163" s="26"/>
      <c r="ME163" s="26"/>
      <c r="MF163" s="26"/>
      <c r="MG163" s="26"/>
      <c r="MH163" s="26"/>
      <c r="MI163" s="26"/>
      <c r="MJ163" s="26"/>
      <c r="MK163" s="26"/>
      <c r="ML163" s="26"/>
      <c r="MM163" s="26"/>
      <c r="MN163" s="26"/>
      <c r="MO163" s="26"/>
      <c r="MP163" s="26"/>
      <c r="MQ163" s="26"/>
      <c r="MR163" s="26"/>
      <c r="MS163" s="26"/>
      <c r="MT163" s="26"/>
      <c r="MU163" s="26"/>
      <c r="MV163" s="26"/>
      <c r="MW163" s="26"/>
      <c r="MX163" s="26"/>
      <c r="MY163" s="26"/>
      <c r="MZ163" s="26"/>
      <c r="NA163" s="26"/>
      <c r="NB163" s="26"/>
      <c r="NC163" s="26"/>
      <c r="ND163" s="26"/>
      <c r="NE163" s="26"/>
      <c r="NF163" s="26"/>
      <c r="NG163" s="26"/>
      <c r="NH163" s="26"/>
      <c r="NI163" s="26"/>
      <c r="NJ163" s="26"/>
      <c r="NK163" s="26"/>
      <c r="NL163" s="26"/>
      <c r="NM163" s="26"/>
      <c r="NN163" s="26"/>
      <c r="NO163" s="26"/>
      <c r="NP163" s="26"/>
      <c r="NQ163" s="26"/>
      <c r="NR163" s="26"/>
      <c r="NS163" s="26"/>
      <c r="NT163" s="26"/>
      <c r="NU163" s="26"/>
      <c r="NV163" s="26"/>
      <c r="NW163" s="26"/>
      <c r="NX163" s="26"/>
      <c r="NY163" s="26"/>
      <c r="NZ163" s="26"/>
      <c r="OA163" s="26"/>
      <c r="OB163" s="26"/>
      <c r="OC163" s="26"/>
      <c r="OD163" s="26"/>
      <c r="OE163" s="26"/>
      <c r="OF163" s="26"/>
      <c r="OG163" s="26"/>
      <c r="OH163" s="26"/>
      <c r="OI163" s="26"/>
      <c r="OJ163" s="26"/>
      <c r="OK163" s="26"/>
      <c r="OL163" s="26"/>
      <c r="OM163" s="26"/>
      <c r="ON163" s="26"/>
      <c r="OO163" s="26"/>
      <c r="OP163" s="26"/>
      <c r="OQ163" s="26"/>
      <c r="OR163" s="26"/>
      <c r="OS163" s="26"/>
      <c r="OT163" s="26"/>
      <c r="OU163" s="26"/>
      <c r="OV163" s="26"/>
      <c r="OW163" s="26"/>
      <c r="OX163" s="26"/>
      <c r="OY163" s="26"/>
      <c r="OZ163" s="26"/>
      <c r="PA163" s="26"/>
      <c r="PB163" s="26"/>
      <c r="PC163" s="26"/>
      <c r="PD163" s="26"/>
      <c r="PE163" s="26"/>
      <c r="PF163" s="26"/>
      <c r="PG163" s="26"/>
      <c r="PH163" s="26"/>
      <c r="PI163" s="26"/>
      <c r="PJ163" s="26"/>
      <c r="PK163" s="26"/>
      <c r="PL163" s="26"/>
      <c r="PM163" s="26"/>
      <c r="PN163" s="26"/>
      <c r="PO163" s="26"/>
      <c r="PP163" s="26"/>
      <c r="PQ163" s="26"/>
      <c r="PR163" s="26"/>
      <c r="PS163" s="26"/>
      <c r="PT163" s="26"/>
      <c r="PU163" s="26"/>
      <c r="PV163" s="26"/>
      <c r="PW163" s="26"/>
      <c r="PX163" s="26"/>
      <c r="PY163" s="26"/>
      <c r="PZ163" s="26"/>
      <c r="QA163" s="26"/>
      <c r="QB163" s="26"/>
      <c r="QC163" s="26"/>
      <c r="QD163" s="26"/>
      <c r="QE163" s="26"/>
      <c r="QF163" s="26"/>
      <c r="QG163" s="26"/>
      <c r="QH163" s="26"/>
      <c r="QI163" s="26"/>
      <c r="QJ163" s="26"/>
      <c r="QK163" s="26"/>
      <c r="QL163" s="26"/>
      <c r="QM163" s="26"/>
      <c r="QN163" s="26"/>
      <c r="QO163" s="26"/>
      <c r="QP163" s="26"/>
      <c r="QQ163" s="26"/>
      <c r="QR163" s="26"/>
      <c r="QS163" s="26"/>
      <c r="QT163" s="26"/>
      <c r="QU163" s="26"/>
      <c r="QV163" s="26"/>
      <c r="QW163" s="26"/>
      <c r="QX163" s="26"/>
      <c r="QY163" s="26"/>
      <c r="QZ163" s="26"/>
      <c r="RA163" s="26"/>
      <c r="RB163" s="26"/>
      <c r="RC163" s="26"/>
      <c r="RD163" s="26"/>
      <c r="RE163" s="26"/>
      <c r="RF163" s="26"/>
      <c r="RG163" s="26"/>
      <c r="RH163" s="26"/>
      <c r="RI163" s="26"/>
      <c r="RJ163" s="26"/>
      <c r="RK163" s="26"/>
      <c r="RL163" s="26"/>
      <c r="RM163" s="26"/>
      <c r="RN163" s="26"/>
      <c r="RO163" s="26"/>
      <c r="RP163" s="26"/>
      <c r="RQ163" s="26"/>
      <c r="RR163" s="26"/>
      <c r="RS163" s="26"/>
      <c r="RT163" s="26"/>
      <c r="RU163" s="26"/>
      <c r="RV163" s="26"/>
      <c r="RW163" s="26"/>
      <c r="RX163" s="26"/>
      <c r="RY163" s="26"/>
      <c r="RZ163" s="26"/>
      <c r="SA163" s="26"/>
      <c r="SB163" s="26"/>
      <c r="SC163" s="26"/>
      <c r="SD163" s="26"/>
      <c r="SE163" s="26"/>
      <c r="SF163" s="26"/>
      <c r="SG163" s="26"/>
      <c r="SH163" s="26"/>
      <c r="SI163" s="26"/>
      <c r="SJ163" s="26"/>
      <c r="SK163" s="26"/>
      <c r="SL163" s="26"/>
      <c r="SM163" s="26"/>
      <c r="SN163" s="26"/>
      <c r="SO163" s="26"/>
      <c r="SP163" s="26"/>
      <c r="SQ163" s="26"/>
      <c r="SR163" s="26"/>
      <c r="SS163" s="26"/>
      <c r="ST163" s="26"/>
      <c r="SU163" s="26"/>
      <c r="SV163" s="26"/>
      <c r="SW163" s="26"/>
      <c r="SX163" s="26"/>
      <c r="SY163" s="26"/>
      <c r="SZ163" s="26"/>
      <c r="TA163" s="26"/>
      <c r="TB163" s="26"/>
      <c r="TC163" s="26"/>
      <c r="TD163" s="26"/>
      <c r="TE163" s="26"/>
      <c r="TF163" s="26"/>
      <c r="TG163" s="26"/>
      <c r="TH163" s="26"/>
      <c r="TI163" s="26"/>
    </row>
    <row r="164" spans="1:529" s="27" customFormat="1" ht="218.25" hidden="1" customHeight="1" x14ac:dyDescent="0.25">
      <c r="A164" s="141"/>
      <c r="B164" s="142"/>
      <c r="C164" s="141"/>
      <c r="D164" s="143"/>
      <c r="E164" s="144"/>
      <c r="F164" s="144"/>
      <c r="G164" s="144"/>
      <c r="H164" s="144"/>
      <c r="I164" s="144"/>
      <c r="J164" s="66"/>
      <c r="K164" s="144"/>
      <c r="L164" s="144"/>
      <c r="M164" s="144"/>
      <c r="N164" s="144"/>
      <c r="O164" s="144"/>
      <c r="P164" s="6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  <c r="FD164" s="36"/>
      <c r="FE164" s="36"/>
      <c r="FF164" s="36"/>
      <c r="FG164" s="36"/>
      <c r="FH164" s="36"/>
      <c r="FI164" s="36"/>
      <c r="FJ164" s="36"/>
      <c r="FK164" s="36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  <c r="GE164" s="36"/>
      <c r="GF164" s="36"/>
      <c r="GG164" s="36"/>
      <c r="GH164" s="36"/>
      <c r="GI164" s="36"/>
      <c r="GJ164" s="36"/>
      <c r="GK164" s="36"/>
      <c r="GL164" s="36"/>
      <c r="GM164" s="36"/>
      <c r="GN164" s="36"/>
      <c r="GO164" s="36"/>
      <c r="GP164" s="36"/>
      <c r="GQ164" s="36"/>
      <c r="GR164" s="36"/>
      <c r="GS164" s="36"/>
      <c r="GT164" s="36"/>
      <c r="GU164" s="36"/>
      <c r="GV164" s="36"/>
      <c r="GW164" s="36"/>
      <c r="GX164" s="36"/>
      <c r="GY164" s="36"/>
      <c r="GZ164" s="36"/>
      <c r="HA164" s="36"/>
      <c r="HB164" s="36"/>
      <c r="HC164" s="36"/>
      <c r="HD164" s="36"/>
      <c r="HE164" s="36"/>
      <c r="HF164" s="36"/>
      <c r="HG164" s="36"/>
      <c r="HH164" s="36"/>
      <c r="HI164" s="36"/>
      <c r="HJ164" s="36"/>
      <c r="HK164" s="36"/>
      <c r="HL164" s="36"/>
      <c r="HM164" s="36"/>
      <c r="HN164" s="36"/>
      <c r="HO164" s="36"/>
      <c r="HP164" s="36"/>
      <c r="HQ164" s="36"/>
      <c r="HR164" s="36"/>
      <c r="HS164" s="36"/>
      <c r="HT164" s="36"/>
      <c r="HU164" s="36"/>
      <c r="HV164" s="36"/>
      <c r="HW164" s="36"/>
      <c r="HX164" s="36"/>
      <c r="HY164" s="36"/>
      <c r="HZ164" s="36"/>
      <c r="IA164" s="36"/>
      <c r="IB164" s="36"/>
      <c r="IC164" s="36"/>
      <c r="ID164" s="36"/>
      <c r="IE164" s="36"/>
      <c r="IF164" s="36"/>
      <c r="IG164" s="36"/>
      <c r="IH164" s="36"/>
      <c r="II164" s="36"/>
      <c r="IJ164" s="36"/>
      <c r="IK164" s="36"/>
      <c r="IL164" s="36"/>
      <c r="IM164" s="36"/>
      <c r="IN164" s="36"/>
      <c r="IO164" s="36"/>
      <c r="IP164" s="36"/>
      <c r="IQ164" s="36"/>
      <c r="IR164" s="36"/>
      <c r="IS164" s="36"/>
      <c r="IT164" s="36"/>
      <c r="IU164" s="36"/>
      <c r="IV164" s="36"/>
      <c r="IW164" s="36"/>
      <c r="IX164" s="36"/>
      <c r="IY164" s="36"/>
      <c r="IZ164" s="36"/>
      <c r="JA164" s="36"/>
      <c r="JB164" s="36"/>
      <c r="JC164" s="36"/>
      <c r="JD164" s="36"/>
      <c r="JE164" s="36"/>
      <c r="JF164" s="36"/>
      <c r="JG164" s="36"/>
      <c r="JH164" s="36"/>
      <c r="JI164" s="36"/>
      <c r="JJ164" s="36"/>
      <c r="JK164" s="36"/>
      <c r="JL164" s="36"/>
      <c r="JM164" s="36"/>
      <c r="JN164" s="36"/>
      <c r="JO164" s="36"/>
      <c r="JP164" s="36"/>
      <c r="JQ164" s="36"/>
      <c r="JR164" s="36"/>
      <c r="JS164" s="36"/>
      <c r="JT164" s="36"/>
      <c r="JU164" s="36"/>
      <c r="JV164" s="36"/>
      <c r="JW164" s="36"/>
      <c r="JX164" s="36"/>
      <c r="JY164" s="36"/>
      <c r="JZ164" s="36"/>
      <c r="KA164" s="36"/>
      <c r="KB164" s="36"/>
      <c r="KC164" s="36"/>
      <c r="KD164" s="36"/>
      <c r="KE164" s="36"/>
      <c r="KF164" s="36"/>
      <c r="KG164" s="36"/>
      <c r="KH164" s="36"/>
      <c r="KI164" s="36"/>
      <c r="KJ164" s="36"/>
      <c r="KK164" s="36"/>
      <c r="KL164" s="36"/>
      <c r="KM164" s="36"/>
      <c r="KN164" s="36"/>
      <c r="KO164" s="36"/>
      <c r="KP164" s="36"/>
      <c r="KQ164" s="36"/>
      <c r="KR164" s="36"/>
      <c r="KS164" s="36"/>
      <c r="KT164" s="36"/>
      <c r="KU164" s="36"/>
      <c r="KV164" s="36"/>
      <c r="KW164" s="36"/>
      <c r="KX164" s="36"/>
      <c r="KY164" s="36"/>
      <c r="KZ164" s="36"/>
      <c r="LA164" s="36"/>
      <c r="LB164" s="36"/>
      <c r="LC164" s="36"/>
      <c r="LD164" s="36"/>
      <c r="LE164" s="36"/>
      <c r="LF164" s="36"/>
      <c r="LG164" s="36"/>
      <c r="LH164" s="36"/>
      <c r="LI164" s="36"/>
      <c r="LJ164" s="36"/>
      <c r="LK164" s="36"/>
      <c r="LL164" s="36"/>
      <c r="LM164" s="36"/>
      <c r="LN164" s="36"/>
      <c r="LO164" s="36"/>
      <c r="LP164" s="36"/>
      <c r="LQ164" s="36"/>
      <c r="LR164" s="36"/>
      <c r="LS164" s="36"/>
      <c r="LT164" s="36"/>
      <c r="LU164" s="36"/>
      <c r="LV164" s="36"/>
      <c r="LW164" s="36"/>
      <c r="LX164" s="36"/>
      <c r="LY164" s="36"/>
      <c r="LZ164" s="36"/>
      <c r="MA164" s="36"/>
      <c r="MB164" s="36"/>
      <c r="MC164" s="36"/>
      <c r="MD164" s="36"/>
      <c r="ME164" s="36"/>
      <c r="MF164" s="36"/>
      <c r="MG164" s="36"/>
      <c r="MH164" s="36"/>
      <c r="MI164" s="36"/>
      <c r="MJ164" s="36"/>
      <c r="MK164" s="36"/>
      <c r="ML164" s="36"/>
      <c r="MM164" s="36"/>
      <c r="MN164" s="36"/>
      <c r="MO164" s="36"/>
      <c r="MP164" s="36"/>
      <c r="MQ164" s="36"/>
      <c r="MR164" s="36"/>
      <c r="MS164" s="36"/>
      <c r="MT164" s="36"/>
      <c r="MU164" s="36"/>
      <c r="MV164" s="36"/>
      <c r="MW164" s="36"/>
      <c r="MX164" s="36"/>
      <c r="MY164" s="36"/>
      <c r="MZ164" s="36"/>
      <c r="NA164" s="36"/>
      <c r="NB164" s="36"/>
      <c r="NC164" s="36"/>
      <c r="ND164" s="36"/>
      <c r="NE164" s="36"/>
      <c r="NF164" s="36"/>
      <c r="NG164" s="36"/>
      <c r="NH164" s="36"/>
      <c r="NI164" s="36"/>
      <c r="NJ164" s="36"/>
      <c r="NK164" s="36"/>
      <c r="NL164" s="36"/>
      <c r="NM164" s="36"/>
      <c r="NN164" s="36"/>
      <c r="NO164" s="36"/>
      <c r="NP164" s="36"/>
      <c r="NQ164" s="36"/>
      <c r="NR164" s="36"/>
      <c r="NS164" s="36"/>
      <c r="NT164" s="36"/>
      <c r="NU164" s="36"/>
      <c r="NV164" s="36"/>
      <c r="NW164" s="36"/>
      <c r="NX164" s="36"/>
      <c r="NY164" s="36"/>
      <c r="NZ164" s="36"/>
      <c r="OA164" s="36"/>
      <c r="OB164" s="36"/>
      <c r="OC164" s="36"/>
      <c r="OD164" s="36"/>
      <c r="OE164" s="36"/>
      <c r="OF164" s="36"/>
      <c r="OG164" s="36"/>
      <c r="OH164" s="36"/>
      <c r="OI164" s="36"/>
      <c r="OJ164" s="36"/>
      <c r="OK164" s="36"/>
      <c r="OL164" s="36"/>
      <c r="OM164" s="36"/>
      <c r="ON164" s="36"/>
      <c r="OO164" s="36"/>
      <c r="OP164" s="36"/>
      <c r="OQ164" s="36"/>
      <c r="OR164" s="36"/>
      <c r="OS164" s="36"/>
      <c r="OT164" s="36"/>
      <c r="OU164" s="36"/>
      <c r="OV164" s="36"/>
      <c r="OW164" s="36"/>
      <c r="OX164" s="36"/>
      <c r="OY164" s="36"/>
      <c r="OZ164" s="36"/>
      <c r="PA164" s="36"/>
      <c r="PB164" s="36"/>
      <c r="PC164" s="36"/>
      <c r="PD164" s="36"/>
      <c r="PE164" s="36"/>
      <c r="PF164" s="36"/>
      <c r="PG164" s="36"/>
      <c r="PH164" s="36"/>
      <c r="PI164" s="36"/>
      <c r="PJ164" s="36"/>
      <c r="PK164" s="36"/>
      <c r="PL164" s="36"/>
      <c r="PM164" s="36"/>
      <c r="PN164" s="36"/>
      <c r="PO164" s="36"/>
      <c r="PP164" s="36"/>
      <c r="PQ164" s="36"/>
      <c r="PR164" s="36"/>
      <c r="PS164" s="36"/>
      <c r="PT164" s="36"/>
      <c r="PU164" s="36"/>
      <c r="PV164" s="36"/>
      <c r="PW164" s="36"/>
      <c r="PX164" s="36"/>
      <c r="PY164" s="36"/>
      <c r="PZ164" s="36"/>
      <c r="QA164" s="36"/>
      <c r="QB164" s="36"/>
      <c r="QC164" s="36"/>
      <c r="QD164" s="36"/>
      <c r="QE164" s="36"/>
      <c r="QF164" s="36"/>
      <c r="QG164" s="36"/>
      <c r="QH164" s="36"/>
      <c r="QI164" s="36"/>
      <c r="QJ164" s="36"/>
      <c r="QK164" s="36"/>
      <c r="QL164" s="36"/>
      <c r="QM164" s="36"/>
      <c r="QN164" s="36"/>
      <c r="QO164" s="36"/>
      <c r="QP164" s="36"/>
      <c r="QQ164" s="36"/>
      <c r="QR164" s="36"/>
      <c r="QS164" s="36"/>
      <c r="QT164" s="36"/>
      <c r="QU164" s="36"/>
      <c r="QV164" s="36"/>
      <c r="QW164" s="36"/>
      <c r="QX164" s="36"/>
      <c r="QY164" s="36"/>
      <c r="QZ164" s="36"/>
      <c r="RA164" s="36"/>
      <c r="RB164" s="36"/>
      <c r="RC164" s="36"/>
      <c r="RD164" s="36"/>
      <c r="RE164" s="36"/>
      <c r="RF164" s="36"/>
      <c r="RG164" s="36"/>
      <c r="RH164" s="36"/>
      <c r="RI164" s="36"/>
      <c r="RJ164" s="36"/>
      <c r="RK164" s="36"/>
      <c r="RL164" s="36"/>
      <c r="RM164" s="36"/>
      <c r="RN164" s="36"/>
      <c r="RO164" s="36"/>
      <c r="RP164" s="36"/>
      <c r="RQ164" s="36"/>
      <c r="RR164" s="36"/>
      <c r="RS164" s="36"/>
      <c r="RT164" s="36"/>
      <c r="RU164" s="36"/>
      <c r="RV164" s="36"/>
      <c r="RW164" s="36"/>
      <c r="RX164" s="36"/>
      <c r="RY164" s="36"/>
      <c r="RZ164" s="36"/>
      <c r="SA164" s="36"/>
      <c r="SB164" s="36"/>
      <c r="SC164" s="36"/>
      <c r="SD164" s="36"/>
      <c r="SE164" s="36"/>
      <c r="SF164" s="36"/>
      <c r="SG164" s="36"/>
      <c r="SH164" s="36"/>
      <c r="SI164" s="36"/>
      <c r="SJ164" s="36"/>
      <c r="SK164" s="36"/>
      <c r="SL164" s="36"/>
      <c r="SM164" s="36"/>
      <c r="SN164" s="36"/>
      <c r="SO164" s="36"/>
      <c r="SP164" s="36"/>
      <c r="SQ164" s="36"/>
      <c r="SR164" s="36"/>
      <c r="SS164" s="36"/>
      <c r="ST164" s="36"/>
      <c r="SU164" s="36"/>
      <c r="SV164" s="36"/>
      <c r="SW164" s="36"/>
      <c r="SX164" s="36"/>
      <c r="SY164" s="36"/>
      <c r="SZ164" s="36"/>
      <c r="TA164" s="36"/>
      <c r="TB164" s="36"/>
      <c r="TC164" s="36"/>
      <c r="TD164" s="36"/>
      <c r="TE164" s="36"/>
      <c r="TF164" s="36"/>
      <c r="TG164" s="36"/>
      <c r="TH164" s="36"/>
      <c r="TI164" s="36"/>
    </row>
    <row r="165" spans="1:529" s="23" customFormat="1" ht="31.5" customHeight="1" x14ac:dyDescent="0.25">
      <c r="A165" s="43" t="s">
        <v>337</v>
      </c>
      <c r="B165" s="44" t="str">
        <f>'дод 4'!A108</f>
        <v>3241</v>
      </c>
      <c r="C165" s="44" t="str">
        <f>'дод 4'!B108</f>
        <v>1090</v>
      </c>
      <c r="D165" s="24" t="str">
        <f>'дод 4'!C108</f>
        <v>Забезпечення діяльності інших закладів у сфері соціального захисту і соціального забезпечення</v>
      </c>
      <c r="E165" s="66">
        <f t="shared" si="59"/>
        <v>5520906</v>
      </c>
      <c r="F165" s="66">
        <f>5445830+31200-41000+61876-10000+33000</f>
        <v>5520906</v>
      </c>
      <c r="G165" s="66">
        <v>3343340</v>
      </c>
      <c r="H165" s="66">
        <f>543630-41000-10000</f>
        <v>492630</v>
      </c>
      <c r="I165" s="66"/>
      <c r="J165" s="66">
        <f t="shared" ref="J165:J169" si="62">L165+O165</f>
        <v>561000</v>
      </c>
      <c r="K165" s="66">
        <f>200000+500000+40000+21000-200000</f>
        <v>561000</v>
      </c>
      <c r="L165" s="66"/>
      <c r="M165" s="66"/>
      <c r="N165" s="66"/>
      <c r="O165" s="66">
        <f>200000+500000+40000+21000-200000</f>
        <v>561000</v>
      </c>
      <c r="P165" s="66">
        <f t="shared" si="60"/>
        <v>6081906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  <c r="IW165" s="26"/>
      <c r="IX165" s="26"/>
      <c r="IY165" s="26"/>
      <c r="IZ165" s="26"/>
      <c r="JA165" s="26"/>
      <c r="JB165" s="26"/>
      <c r="JC165" s="26"/>
      <c r="JD165" s="26"/>
      <c r="JE165" s="26"/>
      <c r="JF165" s="26"/>
      <c r="JG165" s="26"/>
      <c r="JH165" s="26"/>
      <c r="JI165" s="26"/>
      <c r="JJ165" s="26"/>
      <c r="JK165" s="26"/>
      <c r="JL165" s="26"/>
      <c r="JM165" s="26"/>
      <c r="JN165" s="26"/>
      <c r="JO165" s="26"/>
      <c r="JP165" s="26"/>
      <c r="JQ165" s="26"/>
      <c r="JR165" s="26"/>
      <c r="JS165" s="26"/>
      <c r="JT165" s="26"/>
      <c r="JU165" s="26"/>
      <c r="JV165" s="26"/>
      <c r="JW165" s="26"/>
      <c r="JX165" s="26"/>
      <c r="JY165" s="26"/>
      <c r="JZ165" s="26"/>
      <c r="KA165" s="26"/>
      <c r="KB165" s="26"/>
      <c r="KC165" s="26"/>
      <c r="KD165" s="26"/>
      <c r="KE165" s="26"/>
      <c r="KF165" s="26"/>
      <c r="KG165" s="26"/>
      <c r="KH165" s="26"/>
      <c r="KI165" s="26"/>
      <c r="KJ165" s="26"/>
      <c r="KK165" s="26"/>
      <c r="KL165" s="26"/>
      <c r="KM165" s="26"/>
      <c r="KN165" s="26"/>
      <c r="KO165" s="26"/>
      <c r="KP165" s="26"/>
      <c r="KQ165" s="26"/>
      <c r="KR165" s="26"/>
      <c r="KS165" s="26"/>
      <c r="KT165" s="26"/>
      <c r="KU165" s="26"/>
      <c r="KV165" s="26"/>
      <c r="KW165" s="26"/>
      <c r="KX165" s="26"/>
      <c r="KY165" s="26"/>
      <c r="KZ165" s="26"/>
      <c r="LA165" s="26"/>
      <c r="LB165" s="26"/>
      <c r="LC165" s="26"/>
      <c r="LD165" s="26"/>
      <c r="LE165" s="26"/>
      <c r="LF165" s="26"/>
      <c r="LG165" s="26"/>
      <c r="LH165" s="26"/>
      <c r="LI165" s="26"/>
      <c r="LJ165" s="26"/>
      <c r="LK165" s="26"/>
      <c r="LL165" s="26"/>
      <c r="LM165" s="26"/>
      <c r="LN165" s="26"/>
      <c r="LO165" s="26"/>
      <c r="LP165" s="26"/>
      <c r="LQ165" s="26"/>
      <c r="LR165" s="26"/>
      <c r="LS165" s="26"/>
      <c r="LT165" s="26"/>
      <c r="LU165" s="26"/>
      <c r="LV165" s="26"/>
      <c r="LW165" s="26"/>
      <c r="LX165" s="26"/>
      <c r="LY165" s="26"/>
      <c r="LZ165" s="26"/>
      <c r="MA165" s="26"/>
      <c r="MB165" s="26"/>
      <c r="MC165" s="26"/>
      <c r="MD165" s="26"/>
      <c r="ME165" s="26"/>
      <c r="MF165" s="26"/>
      <c r="MG165" s="26"/>
      <c r="MH165" s="26"/>
      <c r="MI165" s="26"/>
      <c r="MJ165" s="26"/>
      <c r="MK165" s="26"/>
      <c r="ML165" s="26"/>
      <c r="MM165" s="26"/>
      <c r="MN165" s="26"/>
      <c r="MO165" s="26"/>
      <c r="MP165" s="26"/>
      <c r="MQ165" s="26"/>
      <c r="MR165" s="26"/>
      <c r="MS165" s="26"/>
      <c r="MT165" s="26"/>
      <c r="MU165" s="26"/>
      <c r="MV165" s="26"/>
      <c r="MW165" s="26"/>
      <c r="MX165" s="26"/>
      <c r="MY165" s="26"/>
      <c r="MZ165" s="26"/>
      <c r="NA165" s="26"/>
      <c r="NB165" s="26"/>
      <c r="NC165" s="26"/>
      <c r="ND165" s="26"/>
      <c r="NE165" s="26"/>
      <c r="NF165" s="26"/>
      <c r="NG165" s="26"/>
      <c r="NH165" s="26"/>
      <c r="NI165" s="26"/>
      <c r="NJ165" s="26"/>
      <c r="NK165" s="26"/>
      <c r="NL165" s="26"/>
      <c r="NM165" s="26"/>
      <c r="NN165" s="26"/>
      <c r="NO165" s="26"/>
      <c r="NP165" s="26"/>
      <c r="NQ165" s="26"/>
      <c r="NR165" s="26"/>
      <c r="NS165" s="26"/>
      <c r="NT165" s="26"/>
      <c r="NU165" s="26"/>
      <c r="NV165" s="26"/>
      <c r="NW165" s="26"/>
      <c r="NX165" s="26"/>
      <c r="NY165" s="26"/>
      <c r="NZ165" s="26"/>
      <c r="OA165" s="26"/>
      <c r="OB165" s="26"/>
      <c r="OC165" s="26"/>
      <c r="OD165" s="26"/>
      <c r="OE165" s="26"/>
      <c r="OF165" s="26"/>
      <c r="OG165" s="26"/>
      <c r="OH165" s="26"/>
      <c r="OI165" s="26"/>
      <c r="OJ165" s="26"/>
      <c r="OK165" s="26"/>
      <c r="OL165" s="26"/>
      <c r="OM165" s="26"/>
      <c r="ON165" s="26"/>
      <c r="OO165" s="26"/>
      <c r="OP165" s="26"/>
      <c r="OQ165" s="26"/>
      <c r="OR165" s="26"/>
      <c r="OS165" s="26"/>
      <c r="OT165" s="26"/>
      <c r="OU165" s="26"/>
      <c r="OV165" s="26"/>
      <c r="OW165" s="26"/>
      <c r="OX165" s="26"/>
      <c r="OY165" s="26"/>
      <c r="OZ165" s="26"/>
      <c r="PA165" s="26"/>
      <c r="PB165" s="26"/>
      <c r="PC165" s="26"/>
      <c r="PD165" s="26"/>
      <c r="PE165" s="26"/>
      <c r="PF165" s="26"/>
      <c r="PG165" s="26"/>
      <c r="PH165" s="26"/>
      <c r="PI165" s="26"/>
      <c r="PJ165" s="26"/>
      <c r="PK165" s="26"/>
      <c r="PL165" s="26"/>
      <c r="PM165" s="26"/>
      <c r="PN165" s="26"/>
      <c r="PO165" s="26"/>
      <c r="PP165" s="26"/>
      <c r="PQ165" s="26"/>
      <c r="PR165" s="26"/>
      <c r="PS165" s="26"/>
      <c r="PT165" s="26"/>
      <c r="PU165" s="26"/>
      <c r="PV165" s="26"/>
      <c r="PW165" s="26"/>
      <c r="PX165" s="26"/>
      <c r="PY165" s="26"/>
      <c r="PZ165" s="26"/>
      <c r="QA165" s="26"/>
      <c r="QB165" s="26"/>
      <c r="QC165" s="26"/>
      <c r="QD165" s="26"/>
      <c r="QE165" s="26"/>
      <c r="QF165" s="26"/>
      <c r="QG165" s="26"/>
      <c r="QH165" s="26"/>
      <c r="QI165" s="26"/>
      <c r="QJ165" s="26"/>
      <c r="QK165" s="26"/>
      <c r="QL165" s="26"/>
      <c r="QM165" s="26"/>
      <c r="QN165" s="26"/>
      <c r="QO165" s="26"/>
      <c r="QP165" s="26"/>
      <c r="QQ165" s="26"/>
      <c r="QR165" s="26"/>
      <c r="QS165" s="26"/>
      <c r="QT165" s="26"/>
      <c r="QU165" s="26"/>
      <c r="QV165" s="26"/>
      <c r="QW165" s="26"/>
      <c r="QX165" s="26"/>
      <c r="QY165" s="26"/>
      <c r="QZ165" s="26"/>
      <c r="RA165" s="26"/>
      <c r="RB165" s="26"/>
      <c r="RC165" s="26"/>
      <c r="RD165" s="26"/>
      <c r="RE165" s="26"/>
      <c r="RF165" s="26"/>
      <c r="RG165" s="26"/>
      <c r="RH165" s="26"/>
      <c r="RI165" s="26"/>
      <c r="RJ165" s="26"/>
      <c r="RK165" s="26"/>
      <c r="RL165" s="26"/>
      <c r="RM165" s="26"/>
      <c r="RN165" s="26"/>
      <c r="RO165" s="26"/>
      <c r="RP165" s="26"/>
      <c r="RQ165" s="26"/>
      <c r="RR165" s="26"/>
      <c r="RS165" s="26"/>
      <c r="RT165" s="26"/>
      <c r="RU165" s="26"/>
      <c r="RV165" s="26"/>
      <c r="RW165" s="26"/>
      <c r="RX165" s="26"/>
      <c r="RY165" s="26"/>
      <c r="RZ165" s="26"/>
      <c r="SA165" s="26"/>
      <c r="SB165" s="26"/>
      <c r="SC165" s="26"/>
      <c r="SD165" s="26"/>
      <c r="SE165" s="26"/>
      <c r="SF165" s="26"/>
      <c r="SG165" s="26"/>
      <c r="SH165" s="26"/>
      <c r="SI165" s="26"/>
      <c r="SJ165" s="26"/>
      <c r="SK165" s="26"/>
      <c r="SL165" s="26"/>
      <c r="SM165" s="26"/>
      <c r="SN165" s="26"/>
      <c r="SO165" s="26"/>
      <c r="SP165" s="26"/>
      <c r="SQ165" s="26"/>
      <c r="SR165" s="26"/>
      <c r="SS165" s="26"/>
      <c r="ST165" s="26"/>
      <c r="SU165" s="26"/>
      <c r="SV165" s="26"/>
      <c r="SW165" s="26"/>
      <c r="SX165" s="26"/>
      <c r="SY165" s="26"/>
      <c r="SZ165" s="26"/>
      <c r="TA165" s="26"/>
      <c r="TB165" s="26"/>
      <c r="TC165" s="26"/>
      <c r="TD165" s="26"/>
      <c r="TE165" s="26"/>
      <c r="TF165" s="26"/>
      <c r="TG165" s="26"/>
      <c r="TH165" s="26"/>
      <c r="TI165" s="26"/>
    </row>
    <row r="166" spans="1:529" s="23" customFormat="1" ht="33" customHeight="1" x14ac:dyDescent="0.25">
      <c r="A166" s="43" t="s">
        <v>390</v>
      </c>
      <c r="B166" s="44" t="str">
        <f>'дод 4'!A109</f>
        <v>3242</v>
      </c>
      <c r="C166" s="44" t="str">
        <f>'дод 4'!B109</f>
        <v>1090</v>
      </c>
      <c r="D166" s="24" t="s">
        <v>484</v>
      </c>
      <c r="E166" s="66">
        <f t="shared" si="59"/>
        <v>35151051</v>
      </c>
      <c r="F166" s="66">
        <f>34421568+30000+52883-7000+537100+123500+5000-12000</f>
        <v>35151051</v>
      </c>
      <c r="G166" s="66"/>
      <c r="H166" s="66"/>
      <c r="I166" s="66"/>
      <c r="J166" s="66">
        <f t="shared" si="62"/>
        <v>35640</v>
      </c>
      <c r="K166" s="66">
        <v>35640</v>
      </c>
      <c r="L166" s="66"/>
      <c r="M166" s="66"/>
      <c r="N166" s="66"/>
      <c r="O166" s="66">
        <v>35640</v>
      </c>
      <c r="P166" s="66">
        <f t="shared" si="60"/>
        <v>35186691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  <c r="IW166" s="26"/>
      <c r="IX166" s="26"/>
      <c r="IY166" s="26"/>
      <c r="IZ166" s="26"/>
      <c r="JA166" s="26"/>
      <c r="JB166" s="26"/>
      <c r="JC166" s="26"/>
      <c r="JD166" s="26"/>
      <c r="JE166" s="26"/>
      <c r="JF166" s="26"/>
      <c r="JG166" s="26"/>
      <c r="JH166" s="26"/>
      <c r="JI166" s="26"/>
      <c r="JJ166" s="26"/>
      <c r="JK166" s="26"/>
      <c r="JL166" s="26"/>
      <c r="JM166" s="26"/>
      <c r="JN166" s="26"/>
      <c r="JO166" s="26"/>
      <c r="JP166" s="26"/>
      <c r="JQ166" s="26"/>
      <c r="JR166" s="26"/>
      <c r="JS166" s="26"/>
      <c r="JT166" s="26"/>
      <c r="JU166" s="26"/>
      <c r="JV166" s="26"/>
      <c r="JW166" s="26"/>
      <c r="JX166" s="26"/>
      <c r="JY166" s="26"/>
      <c r="JZ166" s="26"/>
      <c r="KA166" s="26"/>
      <c r="KB166" s="26"/>
      <c r="KC166" s="26"/>
      <c r="KD166" s="26"/>
      <c r="KE166" s="26"/>
      <c r="KF166" s="26"/>
      <c r="KG166" s="26"/>
      <c r="KH166" s="26"/>
      <c r="KI166" s="26"/>
      <c r="KJ166" s="26"/>
      <c r="KK166" s="26"/>
      <c r="KL166" s="26"/>
      <c r="KM166" s="26"/>
      <c r="KN166" s="26"/>
      <c r="KO166" s="26"/>
      <c r="KP166" s="26"/>
      <c r="KQ166" s="26"/>
      <c r="KR166" s="26"/>
      <c r="KS166" s="26"/>
      <c r="KT166" s="26"/>
      <c r="KU166" s="26"/>
      <c r="KV166" s="26"/>
      <c r="KW166" s="26"/>
      <c r="KX166" s="26"/>
      <c r="KY166" s="26"/>
      <c r="KZ166" s="26"/>
      <c r="LA166" s="26"/>
      <c r="LB166" s="26"/>
      <c r="LC166" s="26"/>
      <c r="LD166" s="26"/>
      <c r="LE166" s="26"/>
      <c r="LF166" s="26"/>
      <c r="LG166" s="26"/>
      <c r="LH166" s="26"/>
      <c r="LI166" s="26"/>
      <c r="LJ166" s="26"/>
      <c r="LK166" s="26"/>
      <c r="LL166" s="26"/>
      <c r="LM166" s="26"/>
      <c r="LN166" s="26"/>
      <c r="LO166" s="26"/>
      <c r="LP166" s="26"/>
      <c r="LQ166" s="26"/>
      <c r="LR166" s="26"/>
      <c r="LS166" s="26"/>
      <c r="LT166" s="26"/>
      <c r="LU166" s="26"/>
      <c r="LV166" s="26"/>
      <c r="LW166" s="26"/>
      <c r="LX166" s="26"/>
      <c r="LY166" s="26"/>
      <c r="LZ166" s="26"/>
      <c r="MA166" s="26"/>
      <c r="MB166" s="26"/>
      <c r="MC166" s="26"/>
      <c r="MD166" s="26"/>
      <c r="ME166" s="26"/>
      <c r="MF166" s="26"/>
      <c r="MG166" s="26"/>
      <c r="MH166" s="26"/>
      <c r="MI166" s="26"/>
      <c r="MJ166" s="26"/>
      <c r="MK166" s="26"/>
      <c r="ML166" s="26"/>
      <c r="MM166" s="26"/>
      <c r="MN166" s="26"/>
      <c r="MO166" s="26"/>
      <c r="MP166" s="26"/>
      <c r="MQ166" s="26"/>
      <c r="MR166" s="26"/>
      <c r="MS166" s="26"/>
      <c r="MT166" s="26"/>
      <c r="MU166" s="26"/>
      <c r="MV166" s="26"/>
      <c r="MW166" s="26"/>
      <c r="MX166" s="26"/>
      <c r="MY166" s="26"/>
      <c r="MZ166" s="26"/>
      <c r="NA166" s="26"/>
      <c r="NB166" s="26"/>
      <c r="NC166" s="26"/>
      <c r="ND166" s="26"/>
      <c r="NE166" s="26"/>
      <c r="NF166" s="26"/>
      <c r="NG166" s="26"/>
      <c r="NH166" s="26"/>
      <c r="NI166" s="26"/>
      <c r="NJ166" s="26"/>
      <c r="NK166" s="26"/>
      <c r="NL166" s="26"/>
      <c r="NM166" s="26"/>
      <c r="NN166" s="26"/>
      <c r="NO166" s="26"/>
      <c r="NP166" s="26"/>
      <c r="NQ166" s="26"/>
      <c r="NR166" s="26"/>
      <c r="NS166" s="26"/>
      <c r="NT166" s="26"/>
      <c r="NU166" s="26"/>
      <c r="NV166" s="26"/>
      <c r="NW166" s="26"/>
      <c r="NX166" s="26"/>
      <c r="NY166" s="26"/>
      <c r="NZ166" s="26"/>
      <c r="OA166" s="26"/>
      <c r="OB166" s="26"/>
      <c r="OC166" s="26"/>
      <c r="OD166" s="26"/>
      <c r="OE166" s="26"/>
      <c r="OF166" s="26"/>
      <c r="OG166" s="26"/>
      <c r="OH166" s="26"/>
      <c r="OI166" s="26"/>
      <c r="OJ166" s="26"/>
      <c r="OK166" s="26"/>
      <c r="OL166" s="26"/>
      <c r="OM166" s="26"/>
      <c r="ON166" s="26"/>
      <c r="OO166" s="26"/>
      <c r="OP166" s="26"/>
      <c r="OQ166" s="26"/>
      <c r="OR166" s="26"/>
      <c r="OS166" s="26"/>
      <c r="OT166" s="26"/>
      <c r="OU166" s="26"/>
      <c r="OV166" s="26"/>
      <c r="OW166" s="26"/>
      <c r="OX166" s="26"/>
      <c r="OY166" s="26"/>
      <c r="OZ166" s="26"/>
      <c r="PA166" s="26"/>
      <c r="PB166" s="26"/>
      <c r="PC166" s="26"/>
      <c r="PD166" s="26"/>
      <c r="PE166" s="26"/>
      <c r="PF166" s="26"/>
      <c r="PG166" s="26"/>
      <c r="PH166" s="26"/>
      <c r="PI166" s="26"/>
      <c r="PJ166" s="26"/>
      <c r="PK166" s="26"/>
      <c r="PL166" s="26"/>
      <c r="PM166" s="26"/>
      <c r="PN166" s="26"/>
      <c r="PO166" s="26"/>
      <c r="PP166" s="26"/>
      <c r="PQ166" s="26"/>
      <c r="PR166" s="26"/>
      <c r="PS166" s="26"/>
      <c r="PT166" s="26"/>
      <c r="PU166" s="26"/>
      <c r="PV166" s="26"/>
      <c r="PW166" s="26"/>
      <c r="PX166" s="26"/>
      <c r="PY166" s="26"/>
      <c r="PZ166" s="26"/>
      <c r="QA166" s="26"/>
      <c r="QB166" s="26"/>
      <c r="QC166" s="26"/>
      <c r="QD166" s="26"/>
      <c r="QE166" s="26"/>
      <c r="QF166" s="26"/>
      <c r="QG166" s="26"/>
      <c r="QH166" s="26"/>
      <c r="QI166" s="26"/>
      <c r="QJ166" s="26"/>
      <c r="QK166" s="26"/>
      <c r="QL166" s="26"/>
      <c r="QM166" s="26"/>
      <c r="QN166" s="26"/>
      <c r="QO166" s="26"/>
      <c r="QP166" s="26"/>
      <c r="QQ166" s="26"/>
      <c r="QR166" s="26"/>
      <c r="QS166" s="26"/>
      <c r="QT166" s="26"/>
      <c r="QU166" s="26"/>
      <c r="QV166" s="26"/>
      <c r="QW166" s="26"/>
      <c r="QX166" s="26"/>
      <c r="QY166" s="26"/>
      <c r="QZ166" s="26"/>
      <c r="RA166" s="26"/>
      <c r="RB166" s="26"/>
      <c r="RC166" s="26"/>
      <c r="RD166" s="26"/>
      <c r="RE166" s="26"/>
      <c r="RF166" s="26"/>
      <c r="RG166" s="26"/>
      <c r="RH166" s="26"/>
      <c r="RI166" s="26"/>
      <c r="RJ166" s="26"/>
      <c r="RK166" s="26"/>
      <c r="RL166" s="26"/>
      <c r="RM166" s="26"/>
      <c r="RN166" s="26"/>
      <c r="RO166" s="26"/>
      <c r="RP166" s="26"/>
      <c r="RQ166" s="26"/>
      <c r="RR166" s="26"/>
      <c r="RS166" s="26"/>
      <c r="RT166" s="26"/>
      <c r="RU166" s="26"/>
      <c r="RV166" s="26"/>
      <c r="RW166" s="26"/>
      <c r="RX166" s="26"/>
      <c r="RY166" s="26"/>
      <c r="RZ166" s="26"/>
      <c r="SA166" s="26"/>
      <c r="SB166" s="26"/>
      <c r="SC166" s="26"/>
      <c r="SD166" s="26"/>
      <c r="SE166" s="26"/>
      <c r="SF166" s="26"/>
      <c r="SG166" s="26"/>
      <c r="SH166" s="26"/>
      <c r="SI166" s="26"/>
      <c r="SJ166" s="26"/>
      <c r="SK166" s="26"/>
      <c r="SL166" s="26"/>
      <c r="SM166" s="26"/>
      <c r="SN166" s="26"/>
      <c r="SO166" s="26"/>
      <c r="SP166" s="26"/>
      <c r="SQ166" s="26"/>
      <c r="SR166" s="26"/>
      <c r="SS166" s="26"/>
      <c r="ST166" s="26"/>
      <c r="SU166" s="26"/>
      <c r="SV166" s="26"/>
      <c r="SW166" s="26"/>
      <c r="SX166" s="26"/>
      <c r="SY166" s="26"/>
      <c r="SZ166" s="26"/>
      <c r="TA166" s="26"/>
      <c r="TB166" s="26"/>
      <c r="TC166" s="26"/>
      <c r="TD166" s="26"/>
      <c r="TE166" s="26"/>
      <c r="TF166" s="26"/>
      <c r="TG166" s="26"/>
      <c r="TH166" s="26"/>
      <c r="TI166" s="26"/>
    </row>
    <row r="167" spans="1:529" s="27" customFormat="1" x14ac:dyDescent="0.25">
      <c r="A167" s="145"/>
      <c r="B167" s="146"/>
      <c r="C167" s="146"/>
      <c r="D167" s="149" t="s">
        <v>457</v>
      </c>
      <c r="E167" s="144">
        <f t="shared" si="59"/>
        <v>348800</v>
      </c>
      <c r="F167" s="144">
        <f>316800+32000+12000-12000</f>
        <v>348800</v>
      </c>
      <c r="G167" s="144"/>
      <c r="H167" s="144"/>
      <c r="I167" s="144"/>
      <c r="J167" s="144">
        <f t="shared" si="62"/>
        <v>0</v>
      </c>
      <c r="K167" s="144"/>
      <c r="L167" s="144"/>
      <c r="M167" s="144"/>
      <c r="N167" s="144"/>
      <c r="O167" s="144"/>
      <c r="P167" s="144">
        <f t="shared" si="60"/>
        <v>348800</v>
      </c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36"/>
      <c r="IA167" s="36"/>
      <c r="IB167" s="36"/>
      <c r="IC167" s="36"/>
      <c r="ID167" s="36"/>
      <c r="IE167" s="36"/>
      <c r="IF167" s="36"/>
      <c r="IG167" s="36"/>
      <c r="IH167" s="36"/>
      <c r="II167" s="36"/>
      <c r="IJ167" s="36"/>
      <c r="IK167" s="36"/>
      <c r="IL167" s="36"/>
      <c r="IM167" s="36"/>
      <c r="IN167" s="36"/>
      <c r="IO167" s="36"/>
      <c r="IP167" s="36"/>
      <c r="IQ167" s="36"/>
      <c r="IR167" s="36"/>
      <c r="IS167" s="36"/>
      <c r="IT167" s="36"/>
      <c r="IU167" s="36"/>
      <c r="IV167" s="36"/>
      <c r="IW167" s="36"/>
      <c r="IX167" s="36"/>
      <c r="IY167" s="36"/>
      <c r="IZ167" s="36"/>
      <c r="JA167" s="36"/>
      <c r="JB167" s="36"/>
      <c r="JC167" s="36"/>
      <c r="JD167" s="36"/>
      <c r="JE167" s="36"/>
      <c r="JF167" s="36"/>
      <c r="JG167" s="36"/>
      <c r="JH167" s="36"/>
      <c r="JI167" s="36"/>
      <c r="JJ167" s="36"/>
      <c r="JK167" s="36"/>
      <c r="JL167" s="36"/>
      <c r="JM167" s="36"/>
      <c r="JN167" s="36"/>
      <c r="JO167" s="36"/>
      <c r="JP167" s="36"/>
      <c r="JQ167" s="36"/>
      <c r="JR167" s="36"/>
      <c r="JS167" s="36"/>
      <c r="JT167" s="36"/>
      <c r="JU167" s="36"/>
      <c r="JV167" s="36"/>
      <c r="JW167" s="36"/>
      <c r="JX167" s="36"/>
      <c r="JY167" s="36"/>
      <c r="JZ167" s="36"/>
      <c r="KA167" s="36"/>
      <c r="KB167" s="36"/>
      <c r="KC167" s="36"/>
      <c r="KD167" s="36"/>
      <c r="KE167" s="36"/>
      <c r="KF167" s="36"/>
      <c r="KG167" s="36"/>
      <c r="KH167" s="36"/>
      <c r="KI167" s="36"/>
      <c r="KJ167" s="36"/>
      <c r="KK167" s="36"/>
      <c r="KL167" s="36"/>
      <c r="KM167" s="36"/>
      <c r="KN167" s="36"/>
      <c r="KO167" s="36"/>
      <c r="KP167" s="36"/>
      <c r="KQ167" s="36"/>
      <c r="KR167" s="36"/>
      <c r="KS167" s="36"/>
      <c r="KT167" s="36"/>
      <c r="KU167" s="36"/>
      <c r="KV167" s="36"/>
      <c r="KW167" s="36"/>
      <c r="KX167" s="36"/>
      <c r="KY167" s="36"/>
      <c r="KZ167" s="36"/>
      <c r="LA167" s="36"/>
      <c r="LB167" s="36"/>
      <c r="LC167" s="36"/>
      <c r="LD167" s="36"/>
      <c r="LE167" s="36"/>
      <c r="LF167" s="36"/>
      <c r="LG167" s="36"/>
      <c r="LH167" s="36"/>
      <c r="LI167" s="36"/>
      <c r="LJ167" s="36"/>
      <c r="LK167" s="36"/>
      <c r="LL167" s="36"/>
      <c r="LM167" s="36"/>
      <c r="LN167" s="36"/>
      <c r="LO167" s="36"/>
      <c r="LP167" s="36"/>
      <c r="LQ167" s="36"/>
      <c r="LR167" s="36"/>
      <c r="LS167" s="36"/>
      <c r="LT167" s="36"/>
      <c r="LU167" s="36"/>
      <c r="LV167" s="36"/>
      <c r="LW167" s="36"/>
      <c r="LX167" s="36"/>
      <c r="LY167" s="36"/>
      <c r="LZ167" s="36"/>
      <c r="MA167" s="36"/>
      <c r="MB167" s="36"/>
      <c r="MC167" s="36"/>
      <c r="MD167" s="36"/>
      <c r="ME167" s="36"/>
      <c r="MF167" s="36"/>
      <c r="MG167" s="36"/>
      <c r="MH167" s="36"/>
      <c r="MI167" s="36"/>
      <c r="MJ167" s="36"/>
      <c r="MK167" s="36"/>
      <c r="ML167" s="36"/>
      <c r="MM167" s="36"/>
      <c r="MN167" s="36"/>
      <c r="MO167" s="36"/>
      <c r="MP167" s="36"/>
      <c r="MQ167" s="36"/>
      <c r="MR167" s="36"/>
      <c r="MS167" s="36"/>
      <c r="MT167" s="36"/>
      <c r="MU167" s="36"/>
      <c r="MV167" s="36"/>
      <c r="MW167" s="36"/>
      <c r="MX167" s="36"/>
      <c r="MY167" s="36"/>
      <c r="MZ167" s="36"/>
      <c r="NA167" s="36"/>
      <c r="NB167" s="36"/>
      <c r="NC167" s="36"/>
      <c r="ND167" s="36"/>
      <c r="NE167" s="36"/>
      <c r="NF167" s="36"/>
      <c r="NG167" s="36"/>
      <c r="NH167" s="36"/>
      <c r="NI167" s="36"/>
      <c r="NJ167" s="36"/>
      <c r="NK167" s="36"/>
      <c r="NL167" s="36"/>
      <c r="NM167" s="36"/>
      <c r="NN167" s="36"/>
      <c r="NO167" s="36"/>
      <c r="NP167" s="36"/>
      <c r="NQ167" s="36"/>
      <c r="NR167" s="36"/>
      <c r="NS167" s="36"/>
      <c r="NT167" s="36"/>
      <c r="NU167" s="36"/>
      <c r="NV167" s="36"/>
      <c r="NW167" s="36"/>
      <c r="NX167" s="36"/>
      <c r="NY167" s="36"/>
      <c r="NZ167" s="36"/>
      <c r="OA167" s="36"/>
      <c r="OB167" s="36"/>
      <c r="OC167" s="36"/>
      <c r="OD167" s="36"/>
      <c r="OE167" s="36"/>
      <c r="OF167" s="36"/>
      <c r="OG167" s="36"/>
      <c r="OH167" s="36"/>
      <c r="OI167" s="36"/>
      <c r="OJ167" s="36"/>
      <c r="OK167" s="36"/>
      <c r="OL167" s="36"/>
      <c r="OM167" s="36"/>
      <c r="ON167" s="36"/>
      <c r="OO167" s="36"/>
      <c r="OP167" s="36"/>
      <c r="OQ167" s="36"/>
      <c r="OR167" s="36"/>
      <c r="OS167" s="36"/>
      <c r="OT167" s="36"/>
      <c r="OU167" s="36"/>
      <c r="OV167" s="36"/>
      <c r="OW167" s="36"/>
      <c r="OX167" s="36"/>
      <c r="OY167" s="36"/>
      <c r="OZ167" s="36"/>
      <c r="PA167" s="36"/>
      <c r="PB167" s="36"/>
      <c r="PC167" s="36"/>
      <c r="PD167" s="36"/>
      <c r="PE167" s="36"/>
      <c r="PF167" s="36"/>
      <c r="PG167" s="36"/>
      <c r="PH167" s="36"/>
      <c r="PI167" s="36"/>
      <c r="PJ167" s="36"/>
      <c r="PK167" s="36"/>
      <c r="PL167" s="36"/>
      <c r="PM167" s="36"/>
      <c r="PN167" s="36"/>
      <c r="PO167" s="36"/>
      <c r="PP167" s="36"/>
      <c r="PQ167" s="36"/>
      <c r="PR167" s="36"/>
      <c r="PS167" s="36"/>
      <c r="PT167" s="36"/>
      <c r="PU167" s="36"/>
      <c r="PV167" s="36"/>
      <c r="PW167" s="36"/>
      <c r="PX167" s="36"/>
      <c r="PY167" s="36"/>
      <c r="PZ167" s="36"/>
      <c r="QA167" s="36"/>
      <c r="QB167" s="36"/>
      <c r="QC167" s="36"/>
      <c r="QD167" s="36"/>
      <c r="QE167" s="36"/>
      <c r="QF167" s="36"/>
      <c r="QG167" s="36"/>
      <c r="QH167" s="36"/>
      <c r="QI167" s="36"/>
      <c r="QJ167" s="36"/>
      <c r="QK167" s="36"/>
      <c r="QL167" s="36"/>
      <c r="QM167" s="36"/>
      <c r="QN167" s="36"/>
      <c r="QO167" s="36"/>
      <c r="QP167" s="36"/>
      <c r="QQ167" s="36"/>
      <c r="QR167" s="36"/>
      <c r="QS167" s="36"/>
      <c r="QT167" s="36"/>
      <c r="QU167" s="36"/>
      <c r="QV167" s="36"/>
      <c r="QW167" s="36"/>
      <c r="QX167" s="36"/>
      <c r="QY167" s="36"/>
      <c r="QZ167" s="36"/>
      <c r="RA167" s="36"/>
      <c r="RB167" s="36"/>
      <c r="RC167" s="36"/>
      <c r="RD167" s="36"/>
      <c r="RE167" s="36"/>
      <c r="RF167" s="36"/>
      <c r="RG167" s="36"/>
      <c r="RH167" s="36"/>
      <c r="RI167" s="36"/>
      <c r="RJ167" s="36"/>
      <c r="RK167" s="36"/>
      <c r="RL167" s="36"/>
      <c r="RM167" s="36"/>
      <c r="RN167" s="36"/>
      <c r="RO167" s="36"/>
      <c r="RP167" s="36"/>
      <c r="RQ167" s="36"/>
      <c r="RR167" s="36"/>
      <c r="RS167" s="36"/>
      <c r="RT167" s="36"/>
      <c r="RU167" s="36"/>
      <c r="RV167" s="36"/>
      <c r="RW167" s="36"/>
      <c r="RX167" s="36"/>
      <c r="RY167" s="36"/>
      <c r="RZ167" s="36"/>
      <c r="SA167" s="36"/>
      <c r="SB167" s="36"/>
      <c r="SC167" s="36"/>
      <c r="SD167" s="36"/>
      <c r="SE167" s="36"/>
      <c r="SF167" s="36"/>
      <c r="SG167" s="36"/>
      <c r="SH167" s="36"/>
      <c r="SI167" s="36"/>
      <c r="SJ167" s="36"/>
      <c r="SK167" s="36"/>
      <c r="SL167" s="36"/>
      <c r="SM167" s="36"/>
      <c r="SN167" s="36"/>
      <c r="SO167" s="36"/>
      <c r="SP167" s="36"/>
      <c r="SQ167" s="36"/>
      <c r="SR167" s="36"/>
      <c r="SS167" s="36"/>
      <c r="ST167" s="36"/>
      <c r="SU167" s="36"/>
      <c r="SV167" s="36"/>
      <c r="SW167" s="36"/>
      <c r="SX167" s="36"/>
      <c r="SY167" s="36"/>
      <c r="SZ167" s="36"/>
      <c r="TA167" s="36"/>
      <c r="TB167" s="36"/>
      <c r="TC167" s="36"/>
      <c r="TD167" s="36"/>
      <c r="TE167" s="36"/>
      <c r="TF167" s="36"/>
      <c r="TG167" s="36"/>
      <c r="TH167" s="36"/>
      <c r="TI167" s="36"/>
    </row>
    <row r="168" spans="1:529" s="23" customFormat="1" x14ac:dyDescent="0.25">
      <c r="A168" s="43" t="s">
        <v>502</v>
      </c>
      <c r="B168" s="44">
        <v>7323</v>
      </c>
      <c r="C168" s="43" t="s">
        <v>119</v>
      </c>
      <c r="D168" s="24" t="s">
        <v>503</v>
      </c>
      <c r="E168" s="66">
        <f t="shared" si="59"/>
        <v>0</v>
      </c>
      <c r="F168" s="66"/>
      <c r="G168" s="66"/>
      <c r="H168" s="66"/>
      <c r="I168" s="66"/>
      <c r="J168" s="66">
        <f t="shared" si="62"/>
        <v>200000</v>
      </c>
      <c r="K168" s="66">
        <v>200000</v>
      </c>
      <c r="L168" s="66"/>
      <c r="M168" s="66"/>
      <c r="N168" s="66"/>
      <c r="O168" s="66">
        <v>200000</v>
      </c>
      <c r="P168" s="66">
        <f t="shared" si="60"/>
        <v>200000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  <c r="IW168" s="26"/>
      <c r="IX168" s="26"/>
      <c r="IY168" s="26"/>
      <c r="IZ168" s="26"/>
      <c r="JA168" s="26"/>
      <c r="JB168" s="26"/>
      <c r="JC168" s="26"/>
      <c r="JD168" s="26"/>
      <c r="JE168" s="26"/>
      <c r="JF168" s="26"/>
      <c r="JG168" s="26"/>
      <c r="JH168" s="26"/>
      <c r="JI168" s="26"/>
      <c r="JJ168" s="26"/>
      <c r="JK168" s="26"/>
      <c r="JL168" s="26"/>
      <c r="JM168" s="26"/>
      <c r="JN168" s="26"/>
      <c r="JO168" s="26"/>
      <c r="JP168" s="26"/>
      <c r="JQ168" s="26"/>
      <c r="JR168" s="26"/>
      <c r="JS168" s="26"/>
      <c r="JT168" s="26"/>
      <c r="JU168" s="26"/>
      <c r="JV168" s="26"/>
      <c r="JW168" s="26"/>
      <c r="JX168" s="26"/>
      <c r="JY168" s="26"/>
      <c r="JZ168" s="26"/>
      <c r="KA168" s="26"/>
      <c r="KB168" s="26"/>
      <c r="KC168" s="26"/>
      <c r="KD168" s="26"/>
      <c r="KE168" s="26"/>
      <c r="KF168" s="26"/>
      <c r="KG168" s="26"/>
      <c r="KH168" s="26"/>
      <c r="KI168" s="26"/>
      <c r="KJ168" s="26"/>
      <c r="KK168" s="26"/>
      <c r="KL168" s="26"/>
      <c r="KM168" s="26"/>
      <c r="KN168" s="26"/>
      <c r="KO168" s="26"/>
      <c r="KP168" s="26"/>
      <c r="KQ168" s="26"/>
      <c r="KR168" s="26"/>
      <c r="KS168" s="26"/>
      <c r="KT168" s="26"/>
      <c r="KU168" s="26"/>
      <c r="KV168" s="26"/>
      <c r="KW168" s="26"/>
      <c r="KX168" s="26"/>
      <c r="KY168" s="26"/>
      <c r="KZ168" s="26"/>
      <c r="LA168" s="26"/>
      <c r="LB168" s="26"/>
      <c r="LC168" s="26"/>
      <c r="LD168" s="26"/>
      <c r="LE168" s="26"/>
      <c r="LF168" s="26"/>
      <c r="LG168" s="26"/>
      <c r="LH168" s="26"/>
      <c r="LI168" s="26"/>
      <c r="LJ168" s="26"/>
      <c r="LK168" s="26"/>
      <c r="LL168" s="26"/>
      <c r="LM168" s="26"/>
      <c r="LN168" s="26"/>
      <c r="LO168" s="26"/>
      <c r="LP168" s="26"/>
      <c r="LQ168" s="26"/>
      <c r="LR168" s="26"/>
      <c r="LS168" s="26"/>
      <c r="LT168" s="26"/>
      <c r="LU168" s="26"/>
      <c r="LV168" s="26"/>
      <c r="LW168" s="26"/>
      <c r="LX168" s="26"/>
      <c r="LY168" s="26"/>
      <c r="LZ168" s="26"/>
      <c r="MA168" s="26"/>
      <c r="MB168" s="26"/>
      <c r="MC168" s="26"/>
      <c r="MD168" s="26"/>
      <c r="ME168" s="26"/>
      <c r="MF168" s="26"/>
      <c r="MG168" s="26"/>
      <c r="MH168" s="26"/>
      <c r="MI168" s="26"/>
      <c r="MJ168" s="26"/>
      <c r="MK168" s="26"/>
      <c r="ML168" s="26"/>
      <c r="MM168" s="26"/>
      <c r="MN168" s="26"/>
      <c r="MO168" s="26"/>
      <c r="MP168" s="26"/>
      <c r="MQ168" s="26"/>
      <c r="MR168" s="26"/>
      <c r="MS168" s="26"/>
      <c r="MT168" s="26"/>
      <c r="MU168" s="26"/>
      <c r="MV168" s="26"/>
      <c r="MW168" s="26"/>
      <c r="MX168" s="26"/>
      <c r="MY168" s="26"/>
      <c r="MZ168" s="26"/>
      <c r="NA168" s="26"/>
      <c r="NB168" s="26"/>
      <c r="NC168" s="26"/>
      <c r="ND168" s="26"/>
      <c r="NE168" s="26"/>
      <c r="NF168" s="26"/>
      <c r="NG168" s="26"/>
      <c r="NH168" s="26"/>
      <c r="NI168" s="26"/>
      <c r="NJ168" s="26"/>
      <c r="NK168" s="26"/>
      <c r="NL168" s="26"/>
      <c r="NM168" s="26"/>
      <c r="NN168" s="26"/>
      <c r="NO168" s="26"/>
      <c r="NP168" s="26"/>
      <c r="NQ168" s="26"/>
      <c r="NR168" s="26"/>
      <c r="NS168" s="26"/>
      <c r="NT168" s="26"/>
      <c r="NU168" s="26"/>
      <c r="NV168" s="26"/>
      <c r="NW168" s="26"/>
      <c r="NX168" s="26"/>
      <c r="NY168" s="26"/>
      <c r="NZ168" s="26"/>
      <c r="OA168" s="26"/>
      <c r="OB168" s="26"/>
      <c r="OC168" s="26"/>
      <c r="OD168" s="26"/>
      <c r="OE168" s="26"/>
      <c r="OF168" s="26"/>
      <c r="OG168" s="26"/>
      <c r="OH168" s="26"/>
      <c r="OI168" s="26"/>
      <c r="OJ168" s="26"/>
      <c r="OK168" s="26"/>
      <c r="OL168" s="26"/>
      <c r="OM168" s="26"/>
      <c r="ON168" s="26"/>
      <c r="OO168" s="26"/>
      <c r="OP168" s="26"/>
      <c r="OQ168" s="26"/>
      <c r="OR168" s="26"/>
      <c r="OS168" s="26"/>
      <c r="OT168" s="26"/>
      <c r="OU168" s="26"/>
      <c r="OV168" s="26"/>
      <c r="OW168" s="26"/>
      <c r="OX168" s="26"/>
      <c r="OY168" s="26"/>
      <c r="OZ168" s="26"/>
      <c r="PA168" s="26"/>
      <c r="PB168" s="26"/>
      <c r="PC168" s="26"/>
      <c r="PD168" s="26"/>
      <c r="PE168" s="26"/>
      <c r="PF168" s="26"/>
      <c r="PG168" s="26"/>
      <c r="PH168" s="26"/>
      <c r="PI168" s="26"/>
      <c r="PJ168" s="26"/>
      <c r="PK168" s="26"/>
      <c r="PL168" s="26"/>
      <c r="PM168" s="26"/>
      <c r="PN168" s="26"/>
      <c r="PO168" s="26"/>
      <c r="PP168" s="26"/>
      <c r="PQ168" s="26"/>
      <c r="PR168" s="26"/>
      <c r="PS168" s="26"/>
      <c r="PT168" s="26"/>
      <c r="PU168" s="26"/>
      <c r="PV168" s="26"/>
      <c r="PW168" s="26"/>
      <c r="PX168" s="26"/>
      <c r="PY168" s="26"/>
      <c r="PZ168" s="26"/>
      <c r="QA168" s="26"/>
      <c r="QB168" s="26"/>
      <c r="QC168" s="26"/>
      <c r="QD168" s="26"/>
      <c r="QE168" s="26"/>
      <c r="QF168" s="26"/>
      <c r="QG168" s="26"/>
      <c r="QH168" s="26"/>
      <c r="QI168" s="26"/>
      <c r="QJ168" s="26"/>
      <c r="QK168" s="26"/>
      <c r="QL168" s="26"/>
      <c r="QM168" s="26"/>
      <c r="QN168" s="26"/>
      <c r="QO168" s="26"/>
      <c r="QP168" s="26"/>
      <c r="QQ168" s="26"/>
      <c r="QR168" s="26"/>
      <c r="QS168" s="26"/>
      <c r="QT168" s="26"/>
      <c r="QU168" s="26"/>
      <c r="QV168" s="26"/>
      <c r="QW168" s="26"/>
      <c r="QX168" s="26"/>
      <c r="QY168" s="26"/>
      <c r="QZ168" s="26"/>
      <c r="RA168" s="26"/>
      <c r="RB168" s="26"/>
      <c r="RC168" s="26"/>
      <c r="RD168" s="26"/>
      <c r="RE168" s="26"/>
      <c r="RF168" s="26"/>
      <c r="RG168" s="26"/>
      <c r="RH168" s="26"/>
      <c r="RI168" s="26"/>
      <c r="RJ168" s="26"/>
      <c r="RK168" s="26"/>
      <c r="RL168" s="26"/>
      <c r="RM168" s="26"/>
      <c r="RN168" s="26"/>
      <c r="RO168" s="26"/>
      <c r="RP168" s="26"/>
      <c r="RQ168" s="26"/>
      <c r="RR168" s="26"/>
      <c r="RS168" s="26"/>
      <c r="RT168" s="26"/>
      <c r="RU168" s="26"/>
      <c r="RV168" s="26"/>
      <c r="RW168" s="26"/>
      <c r="RX168" s="26"/>
      <c r="RY168" s="26"/>
      <c r="RZ168" s="26"/>
      <c r="SA168" s="26"/>
      <c r="SB168" s="26"/>
      <c r="SC168" s="26"/>
      <c r="SD168" s="26"/>
      <c r="SE168" s="26"/>
      <c r="SF168" s="26"/>
      <c r="SG168" s="26"/>
      <c r="SH168" s="26"/>
      <c r="SI168" s="26"/>
      <c r="SJ168" s="26"/>
      <c r="SK168" s="26"/>
      <c r="SL168" s="26"/>
      <c r="SM168" s="26"/>
      <c r="SN168" s="26"/>
      <c r="SO168" s="26"/>
      <c r="SP168" s="26"/>
      <c r="SQ168" s="26"/>
      <c r="SR168" s="26"/>
      <c r="SS168" s="26"/>
      <c r="ST168" s="26"/>
      <c r="SU168" s="26"/>
      <c r="SV168" s="26"/>
      <c r="SW168" s="26"/>
      <c r="SX168" s="26"/>
      <c r="SY168" s="26"/>
      <c r="SZ168" s="26"/>
      <c r="TA168" s="26"/>
      <c r="TB168" s="26"/>
      <c r="TC168" s="26"/>
      <c r="TD168" s="26"/>
      <c r="TE168" s="26"/>
      <c r="TF168" s="26"/>
      <c r="TG168" s="26"/>
      <c r="TH168" s="26"/>
      <c r="TI168" s="26"/>
    </row>
    <row r="169" spans="1:529" s="23" customFormat="1" ht="22.5" customHeight="1" x14ac:dyDescent="0.25">
      <c r="A169" s="43" t="s">
        <v>287</v>
      </c>
      <c r="B169" s="44" t="str">
        <f>'дод 4'!A197</f>
        <v>9770</v>
      </c>
      <c r="C169" s="44" t="str">
        <f>'дод 4'!B197</f>
        <v>0180</v>
      </c>
      <c r="D169" s="24" t="str">
        <f>'дод 4'!C197</f>
        <v>Інші субвенції з місцевого бюджету</v>
      </c>
      <c r="E169" s="66">
        <f t="shared" si="59"/>
        <v>1070000</v>
      </c>
      <c r="F169" s="66">
        <v>1070000</v>
      </c>
      <c r="G169" s="66"/>
      <c r="H169" s="66"/>
      <c r="I169" s="66"/>
      <c r="J169" s="66">
        <f t="shared" si="62"/>
        <v>0</v>
      </c>
      <c r="K169" s="66"/>
      <c r="L169" s="66"/>
      <c r="M169" s="66"/>
      <c r="N169" s="66"/>
      <c r="O169" s="66"/>
      <c r="P169" s="66">
        <f t="shared" si="60"/>
        <v>1070000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  <c r="IW169" s="26"/>
      <c r="IX169" s="26"/>
      <c r="IY169" s="26"/>
      <c r="IZ169" s="26"/>
      <c r="JA169" s="26"/>
      <c r="JB169" s="26"/>
      <c r="JC169" s="26"/>
      <c r="JD169" s="26"/>
      <c r="JE169" s="26"/>
      <c r="JF169" s="26"/>
      <c r="JG169" s="26"/>
      <c r="JH169" s="26"/>
      <c r="JI169" s="26"/>
      <c r="JJ169" s="26"/>
      <c r="JK169" s="26"/>
      <c r="JL169" s="26"/>
      <c r="JM169" s="26"/>
      <c r="JN169" s="26"/>
      <c r="JO169" s="26"/>
      <c r="JP169" s="26"/>
      <c r="JQ169" s="26"/>
      <c r="JR169" s="26"/>
      <c r="JS169" s="26"/>
      <c r="JT169" s="26"/>
      <c r="JU169" s="26"/>
      <c r="JV169" s="26"/>
      <c r="JW169" s="26"/>
      <c r="JX169" s="26"/>
      <c r="JY169" s="26"/>
      <c r="JZ169" s="26"/>
      <c r="KA169" s="26"/>
      <c r="KB169" s="26"/>
      <c r="KC169" s="26"/>
      <c r="KD169" s="26"/>
      <c r="KE169" s="26"/>
      <c r="KF169" s="26"/>
      <c r="KG169" s="26"/>
      <c r="KH169" s="26"/>
      <c r="KI169" s="26"/>
      <c r="KJ169" s="26"/>
      <c r="KK169" s="26"/>
      <c r="KL169" s="26"/>
      <c r="KM169" s="26"/>
      <c r="KN169" s="26"/>
      <c r="KO169" s="26"/>
      <c r="KP169" s="26"/>
      <c r="KQ169" s="26"/>
      <c r="KR169" s="26"/>
      <c r="KS169" s="26"/>
      <c r="KT169" s="26"/>
      <c r="KU169" s="26"/>
      <c r="KV169" s="26"/>
      <c r="KW169" s="26"/>
      <c r="KX169" s="26"/>
      <c r="KY169" s="26"/>
      <c r="KZ169" s="26"/>
      <c r="LA169" s="26"/>
      <c r="LB169" s="26"/>
      <c r="LC169" s="26"/>
      <c r="LD169" s="26"/>
      <c r="LE169" s="26"/>
      <c r="LF169" s="26"/>
      <c r="LG169" s="26"/>
      <c r="LH169" s="26"/>
      <c r="LI169" s="26"/>
      <c r="LJ169" s="26"/>
      <c r="LK169" s="26"/>
      <c r="LL169" s="26"/>
      <c r="LM169" s="26"/>
      <c r="LN169" s="26"/>
      <c r="LO169" s="26"/>
      <c r="LP169" s="26"/>
      <c r="LQ169" s="26"/>
      <c r="LR169" s="26"/>
      <c r="LS169" s="26"/>
      <c r="LT169" s="26"/>
      <c r="LU169" s="26"/>
      <c r="LV169" s="26"/>
      <c r="LW169" s="26"/>
      <c r="LX169" s="26"/>
      <c r="LY169" s="26"/>
      <c r="LZ169" s="26"/>
      <c r="MA169" s="26"/>
      <c r="MB169" s="26"/>
      <c r="MC169" s="26"/>
      <c r="MD169" s="26"/>
      <c r="ME169" s="26"/>
      <c r="MF169" s="26"/>
      <c r="MG169" s="26"/>
      <c r="MH169" s="26"/>
      <c r="MI169" s="26"/>
      <c r="MJ169" s="26"/>
      <c r="MK169" s="26"/>
      <c r="ML169" s="26"/>
      <c r="MM169" s="26"/>
      <c r="MN169" s="26"/>
      <c r="MO169" s="26"/>
      <c r="MP169" s="26"/>
      <c r="MQ169" s="26"/>
      <c r="MR169" s="26"/>
      <c r="MS169" s="26"/>
      <c r="MT169" s="26"/>
      <c r="MU169" s="26"/>
      <c r="MV169" s="26"/>
      <c r="MW169" s="26"/>
      <c r="MX169" s="26"/>
      <c r="MY169" s="26"/>
      <c r="MZ169" s="26"/>
      <c r="NA169" s="26"/>
      <c r="NB169" s="26"/>
      <c r="NC169" s="26"/>
      <c r="ND169" s="26"/>
      <c r="NE169" s="26"/>
      <c r="NF169" s="26"/>
      <c r="NG169" s="26"/>
      <c r="NH169" s="26"/>
      <c r="NI169" s="26"/>
      <c r="NJ169" s="26"/>
      <c r="NK169" s="26"/>
      <c r="NL169" s="26"/>
      <c r="NM169" s="26"/>
      <c r="NN169" s="26"/>
      <c r="NO169" s="26"/>
      <c r="NP169" s="26"/>
      <c r="NQ169" s="26"/>
      <c r="NR169" s="26"/>
      <c r="NS169" s="26"/>
      <c r="NT169" s="26"/>
      <c r="NU169" s="26"/>
      <c r="NV169" s="26"/>
      <c r="NW169" s="26"/>
      <c r="NX169" s="26"/>
      <c r="NY169" s="26"/>
      <c r="NZ169" s="26"/>
      <c r="OA169" s="26"/>
      <c r="OB169" s="26"/>
      <c r="OC169" s="26"/>
      <c r="OD169" s="26"/>
      <c r="OE169" s="26"/>
      <c r="OF169" s="26"/>
      <c r="OG169" s="26"/>
      <c r="OH169" s="26"/>
      <c r="OI169" s="26"/>
      <c r="OJ169" s="26"/>
      <c r="OK169" s="26"/>
      <c r="OL169" s="26"/>
      <c r="OM169" s="26"/>
      <c r="ON169" s="26"/>
      <c r="OO169" s="26"/>
      <c r="OP169" s="26"/>
      <c r="OQ169" s="26"/>
      <c r="OR169" s="26"/>
      <c r="OS169" s="26"/>
      <c r="OT169" s="26"/>
      <c r="OU169" s="26"/>
      <c r="OV169" s="26"/>
      <c r="OW169" s="26"/>
      <c r="OX169" s="26"/>
      <c r="OY169" s="26"/>
      <c r="OZ169" s="26"/>
      <c r="PA169" s="26"/>
      <c r="PB169" s="26"/>
      <c r="PC169" s="26"/>
      <c r="PD169" s="26"/>
      <c r="PE169" s="26"/>
      <c r="PF169" s="26"/>
      <c r="PG169" s="26"/>
      <c r="PH169" s="26"/>
      <c r="PI169" s="26"/>
      <c r="PJ169" s="26"/>
      <c r="PK169" s="26"/>
      <c r="PL169" s="26"/>
      <c r="PM169" s="26"/>
      <c r="PN169" s="26"/>
      <c r="PO169" s="26"/>
      <c r="PP169" s="26"/>
      <c r="PQ169" s="26"/>
      <c r="PR169" s="26"/>
      <c r="PS169" s="26"/>
      <c r="PT169" s="26"/>
      <c r="PU169" s="26"/>
      <c r="PV169" s="26"/>
      <c r="PW169" s="26"/>
      <c r="PX169" s="26"/>
      <c r="PY169" s="26"/>
      <c r="PZ169" s="26"/>
      <c r="QA169" s="26"/>
      <c r="QB169" s="26"/>
      <c r="QC169" s="26"/>
      <c r="QD169" s="26"/>
      <c r="QE169" s="26"/>
      <c r="QF169" s="26"/>
      <c r="QG169" s="26"/>
      <c r="QH169" s="26"/>
      <c r="QI169" s="26"/>
      <c r="QJ169" s="26"/>
      <c r="QK169" s="26"/>
      <c r="QL169" s="26"/>
      <c r="QM169" s="26"/>
      <c r="QN169" s="26"/>
      <c r="QO169" s="26"/>
      <c r="QP169" s="26"/>
      <c r="QQ169" s="26"/>
      <c r="QR169" s="26"/>
      <c r="QS169" s="26"/>
      <c r="QT169" s="26"/>
      <c r="QU169" s="26"/>
      <c r="QV169" s="26"/>
      <c r="QW169" s="26"/>
      <c r="QX169" s="26"/>
      <c r="QY169" s="26"/>
      <c r="QZ169" s="26"/>
      <c r="RA169" s="26"/>
      <c r="RB169" s="26"/>
      <c r="RC169" s="26"/>
      <c r="RD169" s="26"/>
      <c r="RE169" s="26"/>
      <c r="RF169" s="26"/>
      <c r="RG169" s="26"/>
      <c r="RH169" s="26"/>
      <c r="RI169" s="26"/>
      <c r="RJ169" s="26"/>
      <c r="RK169" s="26"/>
      <c r="RL169" s="26"/>
      <c r="RM169" s="26"/>
      <c r="RN169" s="26"/>
      <c r="RO169" s="26"/>
      <c r="RP169" s="26"/>
      <c r="RQ169" s="26"/>
      <c r="RR169" s="26"/>
      <c r="RS169" s="26"/>
      <c r="RT169" s="26"/>
      <c r="RU169" s="26"/>
      <c r="RV169" s="26"/>
      <c r="RW169" s="26"/>
      <c r="RX169" s="26"/>
      <c r="RY169" s="26"/>
      <c r="RZ169" s="26"/>
      <c r="SA169" s="26"/>
      <c r="SB169" s="26"/>
      <c r="SC169" s="26"/>
      <c r="SD169" s="26"/>
      <c r="SE169" s="26"/>
      <c r="SF169" s="26"/>
      <c r="SG169" s="26"/>
      <c r="SH169" s="26"/>
      <c r="SI169" s="26"/>
      <c r="SJ169" s="26"/>
      <c r="SK169" s="26"/>
      <c r="SL169" s="26"/>
      <c r="SM169" s="26"/>
      <c r="SN169" s="26"/>
      <c r="SO169" s="26"/>
      <c r="SP169" s="26"/>
      <c r="SQ169" s="26"/>
      <c r="SR169" s="26"/>
      <c r="SS169" s="26"/>
      <c r="ST169" s="26"/>
      <c r="SU169" s="26"/>
      <c r="SV169" s="26"/>
      <c r="SW169" s="26"/>
      <c r="SX169" s="26"/>
      <c r="SY169" s="26"/>
      <c r="SZ169" s="26"/>
      <c r="TA169" s="26"/>
      <c r="TB169" s="26"/>
      <c r="TC169" s="26"/>
      <c r="TD169" s="26"/>
      <c r="TE169" s="26"/>
      <c r="TF169" s="26"/>
      <c r="TG169" s="26"/>
      <c r="TH169" s="26"/>
      <c r="TI169" s="26"/>
    </row>
    <row r="170" spans="1:529" s="31" customFormat="1" ht="28.5" customHeight="1" x14ac:dyDescent="0.2">
      <c r="A170" s="80" t="s">
        <v>205</v>
      </c>
      <c r="B170" s="69"/>
      <c r="C170" s="69"/>
      <c r="D170" s="30" t="s">
        <v>401</v>
      </c>
      <c r="E170" s="63">
        <f>E171</f>
        <v>5077200</v>
      </c>
      <c r="F170" s="63">
        <f t="shared" ref="F170:J170" si="63">F171</f>
        <v>5077200</v>
      </c>
      <c r="G170" s="63">
        <f t="shared" si="63"/>
        <v>3933800</v>
      </c>
      <c r="H170" s="63">
        <f t="shared" si="63"/>
        <v>57500</v>
      </c>
      <c r="I170" s="63">
        <f t="shared" si="63"/>
        <v>0</v>
      </c>
      <c r="J170" s="63">
        <f t="shared" si="63"/>
        <v>20000</v>
      </c>
      <c r="K170" s="63">
        <f t="shared" ref="K170" si="64">K171</f>
        <v>20000</v>
      </c>
      <c r="L170" s="63">
        <f t="shared" ref="L170" si="65">L171</f>
        <v>0</v>
      </c>
      <c r="M170" s="63">
        <f t="shared" ref="M170" si="66">M171</f>
        <v>0</v>
      </c>
      <c r="N170" s="63">
        <f t="shared" ref="N170" si="67">N171</f>
        <v>0</v>
      </c>
      <c r="O170" s="63">
        <f t="shared" ref="O170:P170" si="68">O171</f>
        <v>20000</v>
      </c>
      <c r="P170" s="63">
        <f t="shared" si="68"/>
        <v>5097200</v>
      </c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  <c r="IV170" s="38"/>
      <c r="IW170" s="38"/>
      <c r="IX170" s="38"/>
      <c r="IY170" s="38"/>
      <c r="IZ170" s="38"/>
      <c r="JA170" s="38"/>
      <c r="JB170" s="38"/>
      <c r="JC170" s="38"/>
      <c r="JD170" s="38"/>
      <c r="JE170" s="38"/>
      <c r="JF170" s="38"/>
      <c r="JG170" s="38"/>
      <c r="JH170" s="38"/>
      <c r="JI170" s="38"/>
      <c r="JJ170" s="38"/>
      <c r="JK170" s="38"/>
      <c r="JL170" s="38"/>
      <c r="JM170" s="38"/>
      <c r="JN170" s="38"/>
      <c r="JO170" s="38"/>
      <c r="JP170" s="38"/>
      <c r="JQ170" s="38"/>
      <c r="JR170" s="38"/>
      <c r="JS170" s="38"/>
      <c r="JT170" s="38"/>
      <c r="JU170" s="38"/>
      <c r="JV170" s="38"/>
      <c r="JW170" s="38"/>
      <c r="JX170" s="38"/>
      <c r="JY170" s="38"/>
      <c r="JZ170" s="38"/>
      <c r="KA170" s="38"/>
      <c r="KB170" s="38"/>
      <c r="KC170" s="38"/>
      <c r="KD170" s="38"/>
      <c r="KE170" s="38"/>
      <c r="KF170" s="38"/>
      <c r="KG170" s="38"/>
      <c r="KH170" s="38"/>
      <c r="KI170" s="38"/>
      <c r="KJ170" s="38"/>
      <c r="KK170" s="38"/>
      <c r="KL170" s="38"/>
      <c r="KM170" s="38"/>
      <c r="KN170" s="38"/>
      <c r="KO170" s="38"/>
      <c r="KP170" s="38"/>
      <c r="KQ170" s="38"/>
      <c r="KR170" s="38"/>
      <c r="KS170" s="38"/>
      <c r="KT170" s="38"/>
      <c r="KU170" s="38"/>
      <c r="KV170" s="38"/>
      <c r="KW170" s="38"/>
      <c r="KX170" s="38"/>
      <c r="KY170" s="38"/>
      <c r="KZ170" s="38"/>
      <c r="LA170" s="38"/>
      <c r="LB170" s="38"/>
      <c r="LC170" s="38"/>
      <c r="LD170" s="38"/>
      <c r="LE170" s="38"/>
      <c r="LF170" s="38"/>
      <c r="LG170" s="38"/>
      <c r="LH170" s="38"/>
      <c r="LI170" s="38"/>
      <c r="LJ170" s="38"/>
      <c r="LK170" s="38"/>
      <c r="LL170" s="38"/>
      <c r="LM170" s="38"/>
      <c r="LN170" s="38"/>
      <c r="LO170" s="38"/>
      <c r="LP170" s="38"/>
      <c r="LQ170" s="38"/>
      <c r="LR170" s="38"/>
      <c r="LS170" s="38"/>
      <c r="LT170" s="38"/>
      <c r="LU170" s="38"/>
      <c r="LV170" s="38"/>
      <c r="LW170" s="38"/>
      <c r="LX170" s="38"/>
      <c r="LY170" s="38"/>
      <c r="LZ170" s="38"/>
      <c r="MA170" s="38"/>
      <c r="MB170" s="38"/>
      <c r="MC170" s="38"/>
      <c r="MD170" s="38"/>
      <c r="ME170" s="38"/>
      <c r="MF170" s="38"/>
      <c r="MG170" s="38"/>
      <c r="MH170" s="38"/>
      <c r="MI170" s="38"/>
      <c r="MJ170" s="38"/>
      <c r="MK170" s="38"/>
      <c r="ML170" s="38"/>
      <c r="MM170" s="38"/>
      <c r="MN170" s="38"/>
      <c r="MO170" s="38"/>
      <c r="MP170" s="38"/>
      <c r="MQ170" s="38"/>
      <c r="MR170" s="38"/>
      <c r="MS170" s="38"/>
      <c r="MT170" s="38"/>
      <c r="MU170" s="38"/>
      <c r="MV170" s="38"/>
      <c r="MW170" s="38"/>
      <c r="MX170" s="38"/>
      <c r="MY170" s="38"/>
      <c r="MZ170" s="38"/>
      <c r="NA170" s="38"/>
      <c r="NB170" s="38"/>
      <c r="NC170" s="38"/>
      <c r="ND170" s="38"/>
      <c r="NE170" s="38"/>
      <c r="NF170" s="38"/>
      <c r="NG170" s="38"/>
      <c r="NH170" s="38"/>
      <c r="NI170" s="38"/>
      <c r="NJ170" s="38"/>
      <c r="NK170" s="38"/>
      <c r="NL170" s="38"/>
      <c r="NM170" s="38"/>
      <c r="NN170" s="38"/>
      <c r="NO170" s="38"/>
      <c r="NP170" s="38"/>
      <c r="NQ170" s="38"/>
      <c r="NR170" s="38"/>
      <c r="NS170" s="38"/>
      <c r="NT170" s="38"/>
      <c r="NU170" s="38"/>
      <c r="NV170" s="38"/>
      <c r="NW170" s="38"/>
      <c r="NX170" s="38"/>
      <c r="NY170" s="38"/>
      <c r="NZ170" s="38"/>
      <c r="OA170" s="38"/>
      <c r="OB170" s="38"/>
      <c r="OC170" s="38"/>
      <c r="OD170" s="38"/>
      <c r="OE170" s="38"/>
      <c r="OF170" s="38"/>
      <c r="OG170" s="38"/>
      <c r="OH170" s="38"/>
      <c r="OI170" s="38"/>
      <c r="OJ170" s="38"/>
      <c r="OK170" s="38"/>
      <c r="OL170" s="38"/>
      <c r="OM170" s="38"/>
      <c r="ON170" s="38"/>
      <c r="OO170" s="38"/>
      <c r="OP170" s="38"/>
      <c r="OQ170" s="38"/>
      <c r="OR170" s="38"/>
      <c r="OS170" s="38"/>
      <c r="OT170" s="38"/>
      <c r="OU170" s="38"/>
      <c r="OV170" s="38"/>
      <c r="OW170" s="38"/>
      <c r="OX170" s="38"/>
      <c r="OY170" s="38"/>
      <c r="OZ170" s="38"/>
      <c r="PA170" s="38"/>
      <c r="PB170" s="38"/>
      <c r="PC170" s="38"/>
      <c r="PD170" s="38"/>
      <c r="PE170" s="38"/>
      <c r="PF170" s="38"/>
      <c r="PG170" s="38"/>
      <c r="PH170" s="38"/>
      <c r="PI170" s="38"/>
      <c r="PJ170" s="38"/>
      <c r="PK170" s="38"/>
      <c r="PL170" s="38"/>
      <c r="PM170" s="38"/>
      <c r="PN170" s="38"/>
      <c r="PO170" s="38"/>
      <c r="PP170" s="38"/>
      <c r="PQ170" s="38"/>
      <c r="PR170" s="38"/>
      <c r="PS170" s="38"/>
      <c r="PT170" s="38"/>
      <c r="PU170" s="38"/>
      <c r="PV170" s="38"/>
      <c r="PW170" s="38"/>
      <c r="PX170" s="38"/>
      <c r="PY170" s="38"/>
      <c r="PZ170" s="38"/>
      <c r="QA170" s="38"/>
      <c r="QB170" s="38"/>
      <c r="QC170" s="38"/>
      <c r="QD170" s="38"/>
      <c r="QE170" s="38"/>
      <c r="QF170" s="38"/>
      <c r="QG170" s="38"/>
      <c r="QH170" s="38"/>
      <c r="QI170" s="38"/>
      <c r="QJ170" s="38"/>
      <c r="QK170" s="38"/>
      <c r="QL170" s="38"/>
      <c r="QM170" s="38"/>
      <c r="QN170" s="38"/>
      <c r="QO170" s="38"/>
      <c r="QP170" s="38"/>
      <c r="QQ170" s="38"/>
      <c r="QR170" s="38"/>
      <c r="QS170" s="38"/>
      <c r="QT170" s="38"/>
      <c r="QU170" s="38"/>
      <c r="QV170" s="38"/>
      <c r="QW170" s="38"/>
      <c r="QX170" s="38"/>
      <c r="QY170" s="38"/>
      <c r="QZ170" s="38"/>
      <c r="RA170" s="38"/>
      <c r="RB170" s="38"/>
      <c r="RC170" s="38"/>
      <c r="RD170" s="38"/>
      <c r="RE170" s="38"/>
      <c r="RF170" s="38"/>
      <c r="RG170" s="38"/>
      <c r="RH170" s="38"/>
      <c r="RI170" s="38"/>
      <c r="RJ170" s="38"/>
      <c r="RK170" s="38"/>
      <c r="RL170" s="38"/>
      <c r="RM170" s="38"/>
      <c r="RN170" s="38"/>
      <c r="RO170" s="38"/>
      <c r="RP170" s="38"/>
      <c r="RQ170" s="38"/>
      <c r="RR170" s="38"/>
      <c r="RS170" s="38"/>
      <c r="RT170" s="38"/>
      <c r="RU170" s="38"/>
      <c r="RV170" s="38"/>
      <c r="RW170" s="38"/>
      <c r="RX170" s="38"/>
      <c r="RY170" s="38"/>
      <c r="RZ170" s="38"/>
      <c r="SA170" s="38"/>
      <c r="SB170" s="38"/>
      <c r="SC170" s="38"/>
      <c r="SD170" s="38"/>
      <c r="SE170" s="38"/>
      <c r="SF170" s="38"/>
      <c r="SG170" s="38"/>
      <c r="SH170" s="38"/>
      <c r="SI170" s="38"/>
      <c r="SJ170" s="38"/>
      <c r="SK170" s="38"/>
      <c r="SL170" s="38"/>
      <c r="SM170" s="38"/>
      <c r="SN170" s="38"/>
      <c r="SO170" s="38"/>
      <c r="SP170" s="38"/>
      <c r="SQ170" s="38"/>
      <c r="SR170" s="38"/>
      <c r="SS170" s="38"/>
      <c r="ST170" s="38"/>
      <c r="SU170" s="38"/>
      <c r="SV170" s="38"/>
      <c r="SW170" s="38"/>
      <c r="SX170" s="38"/>
      <c r="SY170" s="38"/>
      <c r="SZ170" s="38"/>
      <c r="TA170" s="38"/>
      <c r="TB170" s="38"/>
      <c r="TC170" s="38"/>
      <c r="TD170" s="38"/>
      <c r="TE170" s="38"/>
      <c r="TF170" s="38"/>
      <c r="TG170" s="38"/>
      <c r="TH170" s="38"/>
      <c r="TI170" s="38"/>
    </row>
    <row r="171" spans="1:529" s="40" customFormat="1" ht="29.25" customHeight="1" x14ac:dyDescent="0.25">
      <c r="A171" s="81" t="s">
        <v>206</v>
      </c>
      <c r="B171" s="70"/>
      <c r="C171" s="70"/>
      <c r="D171" s="33" t="s">
        <v>401</v>
      </c>
      <c r="E171" s="65">
        <f>E172+E173+E174</f>
        <v>5077200</v>
      </c>
      <c r="F171" s="65">
        <f t="shared" ref="F171:P171" si="69">F172+F173+F174</f>
        <v>5077200</v>
      </c>
      <c r="G171" s="65">
        <f t="shared" si="69"/>
        <v>3933800</v>
      </c>
      <c r="H171" s="65">
        <f t="shared" si="69"/>
        <v>57500</v>
      </c>
      <c r="I171" s="65">
        <f t="shared" si="69"/>
        <v>0</v>
      </c>
      <c r="J171" s="65">
        <f t="shared" si="69"/>
        <v>20000</v>
      </c>
      <c r="K171" s="65">
        <f t="shared" si="69"/>
        <v>20000</v>
      </c>
      <c r="L171" s="65">
        <f t="shared" si="69"/>
        <v>0</v>
      </c>
      <c r="M171" s="65">
        <f t="shared" si="69"/>
        <v>0</v>
      </c>
      <c r="N171" s="65">
        <f t="shared" si="69"/>
        <v>0</v>
      </c>
      <c r="O171" s="65">
        <f t="shared" si="69"/>
        <v>20000</v>
      </c>
      <c r="P171" s="65">
        <f t="shared" si="69"/>
        <v>5097200</v>
      </c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  <c r="IV171" s="39"/>
      <c r="IW171" s="39"/>
      <c r="IX171" s="39"/>
      <c r="IY171" s="39"/>
      <c r="IZ171" s="39"/>
      <c r="JA171" s="39"/>
      <c r="JB171" s="39"/>
      <c r="JC171" s="39"/>
      <c r="JD171" s="39"/>
      <c r="JE171" s="39"/>
      <c r="JF171" s="39"/>
      <c r="JG171" s="39"/>
      <c r="JH171" s="39"/>
      <c r="JI171" s="39"/>
      <c r="JJ171" s="39"/>
      <c r="JK171" s="39"/>
      <c r="JL171" s="39"/>
      <c r="JM171" s="39"/>
      <c r="JN171" s="39"/>
      <c r="JO171" s="39"/>
      <c r="JP171" s="39"/>
      <c r="JQ171" s="39"/>
      <c r="JR171" s="39"/>
      <c r="JS171" s="39"/>
      <c r="JT171" s="39"/>
      <c r="JU171" s="39"/>
      <c r="JV171" s="39"/>
      <c r="JW171" s="39"/>
      <c r="JX171" s="39"/>
      <c r="JY171" s="39"/>
      <c r="JZ171" s="39"/>
      <c r="KA171" s="39"/>
      <c r="KB171" s="39"/>
      <c r="KC171" s="39"/>
      <c r="KD171" s="39"/>
      <c r="KE171" s="39"/>
      <c r="KF171" s="39"/>
      <c r="KG171" s="39"/>
      <c r="KH171" s="39"/>
      <c r="KI171" s="39"/>
      <c r="KJ171" s="39"/>
      <c r="KK171" s="39"/>
      <c r="KL171" s="39"/>
      <c r="KM171" s="39"/>
      <c r="KN171" s="39"/>
      <c r="KO171" s="39"/>
      <c r="KP171" s="39"/>
      <c r="KQ171" s="39"/>
      <c r="KR171" s="39"/>
      <c r="KS171" s="39"/>
      <c r="KT171" s="39"/>
      <c r="KU171" s="39"/>
      <c r="KV171" s="39"/>
      <c r="KW171" s="39"/>
      <c r="KX171" s="39"/>
      <c r="KY171" s="39"/>
      <c r="KZ171" s="39"/>
      <c r="LA171" s="39"/>
      <c r="LB171" s="39"/>
      <c r="LC171" s="39"/>
      <c r="LD171" s="39"/>
      <c r="LE171" s="39"/>
      <c r="LF171" s="39"/>
      <c r="LG171" s="39"/>
      <c r="LH171" s="39"/>
      <c r="LI171" s="39"/>
      <c r="LJ171" s="39"/>
      <c r="LK171" s="39"/>
      <c r="LL171" s="39"/>
      <c r="LM171" s="39"/>
      <c r="LN171" s="39"/>
      <c r="LO171" s="39"/>
      <c r="LP171" s="39"/>
      <c r="LQ171" s="39"/>
      <c r="LR171" s="39"/>
      <c r="LS171" s="39"/>
      <c r="LT171" s="39"/>
      <c r="LU171" s="39"/>
      <c r="LV171" s="39"/>
      <c r="LW171" s="39"/>
      <c r="LX171" s="39"/>
      <c r="LY171" s="39"/>
      <c r="LZ171" s="39"/>
      <c r="MA171" s="39"/>
      <c r="MB171" s="39"/>
      <c r="MC171" s="39"/>
      <c r="MD171" s="39"/>
      <c r="ME171" s="39"/>
      <c r="MF171" s="39"/>
      <c r="MG171" s="39"/>
      <c r="MH171" s="39"/>
      <c r="MI171" s="39"/>
      <c r="MJ171" s="39"/>
      <c r="MK171" s="39"/>
      <c r="ML171" s="39"/>
      <c r="MM171" s="39"/>
      <c r="MN171" s="39"/>
      <c r="MO171" s="39"/>
      <c r="MP171" s="39"/>
      <c r="MQ171" s="39"/>
      <c r="MR171" s="39"/>
      <c r="MS171" s="39"/>
      <c r="MT171" s="39"/>
      <c r="MU171" s="39"/>
      <c r="MV171" s="39"/>
      <c r="MW171" s="39"/>
      <c r="MX171" s="39"/>
      <c r="MY171" s="39"/>
      <c r="MZ171" s="39"/>
      <c r="NA171" s="39"/>
      <c r="NB171" s="39"/>
      <c r="NC171" s="39"/>
      <c r="ND171" s="39"/>
      <c r="NE171" s="39"/>
      <c r="NF171" s="39"/>
      <c r="NG171" s="39"/>
      <c r="NH171" s="39"/>
      <c r="NI171" s="39"/>
      <c r="NJ171" s="39"/>
      <c r="NK171" s="39"/>
      <c r="NL171" s="39"/>
      <c r="NM171" s="39"/>
      <c r="NN171" s="39"/>
      <c r="NO171" s="39"/>
      <c r="NP171" s="39"/>
      <c r="NQ171" s="39"/>
      <c r="NR171" s="39"/>
      <c r="NS171" s="39"/>
      <c r="NT171" s="39"/>
      <c r="NU171" s="39"/>
      <c r="NV171" s="39"/>
      <c r="NW171" s="39"/>
      <c r="NX171" s="39"/>
      <c r="NY171" s="39"/>
      <c r="NZ171" s="39"/>
      <c r="OA171" s="39"/>
      <c r="OB171" s="39"/>
      <c r="OC171" s="39"/>
      <c r="OD171" s="39"/>
      <c r="OE171" s="39"/>
      <c r="OF171" s="39"/>
      <c r="OG171" s="39"/>
      <c r="OH171" s="39"/>
      <c r="OI171" s="39"/>
      <c r="OJ171" s="39"/>
      <c r="OK171" s="39"/>
      <c r="OL171" s="39"/>
      <c r="OM171" s="39"/>
      <c r="ON171" s="39"/>
      <c r="OO171" s="39"/>
      <c r="OP171" s="39"/>
      <c r="OQ171" s="39"/>
      <c r="OR171" s="39"/>
      <c r="OS171" s="39"/>
      <c r="OT171" s="39"/>
      <c r="OU171" s="39"/>
      <c r="OV171" s="39"/>
      <c r="OW171" s="39"/>
      <c r="OX171" s="39"/>
      <c r="OY171" s="39"/>
      <c r="OZ171" s="39"/>
      <c r="PA171" s="39"/>
      <c r="PB171" s="39"/>
      <c r="PC171" s="39"/>
      <c r="PD171" s="39"/>
      <c r="PE171" s="39"/>
      <c r="PF171" s="39"/>
      <c r="PG171" s="39"/>
      <c r="PH171" s="39"/>
      <c r="PI171" s="39"/>
      <c r="PJ171" s="39"/>
      <c r="PK171" s="39"/>
      <c r="PL171" s="39"/>
      <c r="PM171" s="39"/>
      <c r="PN171" s="39"/>
      <c r="PO171" s="39"/>
      <c r="PP171" s="39"/>
      <c r="PQ171" s="39"/>
      <c r="PR171" s="39"/>
      <c r="PS171" s="39"/>
      <c r="PT171" s="39"/>
      <c r="PU171" s="39"/>
      <c r="PV171" s="39"/>
      <c r="PW171" s="39"/>
      <c r="PX171" s="39"/>
      <c r="PY171" s="39"/>
      <c r="PZ171" s="39"/>
      <c r="QA171" s="39"/>
      <c r="QB171" s="39"/>
      <c r="QC171" s="39"/>
      <c r="QD171" s="39"/>
      <c r="QE171" s="39"/>
      <c r="QF171" s="39"/>
      <c r="QG171" s="39"/>
      <c r="QH171" s="39"/>
      <c r="QI171" s="39"/>
      <c r="QJ171" s="39"/>
      <c r="QK171" s="39"/>
      <c r="QL171" s="39"/>
      <c r="QM171" s="39"/>
      <c r="QN171" s="39"/>
      <c r="QO171" s="39"/>
      <c r="QP171" s="39"/>
      <c r="QQ171" s="39"/>
      <c r="QR171" s="39"/>
      <c r="QS171" s="39"/>
      <c r="QT171" s="39"/>
      <c r="QU171" s="39"/>
      <c r="QV171" s="39"/>
      <c r="QW171" s="39"/>
      <c r="QX171" s="39"/>
      <c r="QY171" s="39"/>
      <c r="QZ171" s="39"/>
      <c r="RA171" s="39"/>
      <c r="RB171" s="39"/>
      <c r="RC171" s="39"/>
      <c r="RD171" s="39"/>
      <c r="RE171" s="39"/>
      <c r="RF171" s="39"/>
      <c r="RG171" s="39"/>
      <c r="RH171" s="39"/>
      <c r="RI171" s="39"/>
      <c r="RJ171" s="39"/>
      <c r="RK171" s="39"/>
      <c r="RL171" s="39"/>
      <c r="RM171" s="39"/>
      <c r="RN171" s="39"/>
      <c r="RO171" s="39"/>
      <c r="RP171" s="39"/>
      <c r="RQ171" s="39"/>
      <c r="RR171" s="39"/>
      <c r="RS171" s="39"/>
      <c r="RT171" s="39"/>
      <c r="RU171" s="39"/>
      <c r="RV171" s="39"/>
      <c r="RW171" s="39"/>
      <c r="RX171" s="39"/>
      <c r="RY171" s="39"/>
      <c r="RZ171" s="39"/>
      <c r="SA171" s="39"/>
      <c r="SB171" s="39"/>
      <c r="SC171" s="39"/>
      <c r="SD171" s="39"/>
      <c r="SE171" s="39"/>
      <c r="SF171" s="39"/>
      <c r="SG171" s="39"/>
      <c r="SH171" s="39"/>
      <c r="SI171" s="39"/>
      <c r="SJ171" s="39"/>
      <c r="SK171" s="39"/>
      <c r="SL171" s="39"/>
      <c r="SM171" s="39"/>
      <c r="SN171" s="39"/>
      <c r="SO171" s="39"/>
      <c r="SP171" s="39"/>
      <c r="SQ171" s="39"/>
      <c r="SR171" s="39"/>
      <c r="SS171" s="39"/>
      <c r="ST171" s="39"/>
      <c r="SU171" s="39"/>
      <c r="SV171" s="39"/>
      <c r="SW171" s="39"/>
      <c r="SX171" s="39"/>
      <c r="SY171" s="39"/>
      <c r="SZ171" s="39"/>
      <c r="TA171" s="39"/>
      <c r="TB171" s="39"/>
      <c r="TC171" s="39"/>
      <c r="TD171" s="39"/>
      <c r="TE171" s="39"/>
      <c r="TF171" s="39"/>
      <c r="TG171" s="39"/>
      <c r="TH171" s="39"/>
      <c r="TI171" s="39"/>
    </row>
    <row r="172" spans="1:529" s="23" customFormat="1" ht="42.75" customHeight="1" x14ac:dyDescent="0.25">
      <c r="A172" s="43" t="s">
        <v>207</v>
      </c>
      <c r="B172" s="44" t="str">
        <f>'дод 4'!A20</f>
        <v>0160</v>
      </c>
      <c r="C172" s="44" t="str">
        <f>'дод 4'!B20</f>
        <v>0111</v>
      </c>
      <c r="D172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72" s="66">
        <f>F172+I172</f>
        <v>4986700</v>
      </c>
      <c r="F172" s="66">
        <f>5240600+10300-253200-11000</f>
        <v>4986700</v>
      </c>
      <c r="G172" s="66">
        <f>4150400-207600-9000</f>
        <v>3933800</v>
      </c>
      <c r="H172" s="66">
        <v>57500</v>
      </c>
      <c r="I172" s="66"/>
      <c r="J172" s="66">
        <f>L172+O172</f>
        <v>0</v>
      </c>
      <c r="K172" s="66"/>
      <c r="L172" s="66"/>
      <c r="M172" s="66"/>
      <c r="N172" s="66"/>
      <c r="O172" s="66"/>
      <c r="P172" s="66">
        <f>E172+J172</f>
        <v>4986700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  <c r="IW172" s="26"/>
      <c r="IX172" s="26"/>
      <c r="IY172" s="26"/>
      <c r="IZ172" s="26"/>
      <c r="JA172" s="26"/>
      <c r="JB172" s="26"/>
      <c r="JC172" s="26"/>
      <c r="JD172" s="26"/>
      <c r="JE172" s="26"/>
      <c r="JF172" s="26"/>
      <c r="JG172" s="26"/>
      <c r="JH172" s="26"/>
      <c r="JI172" s="26"/>
      <c r="JJ172" s="26"/>
      <c r="JK172" s="26"/>
      <c r="JL172" s="26"/>
      <c r="JM172" s="26"/>
      <c r="JN172" s="26"/>
      <c r="JO172" s="26"/>
      <c r="JP172" s="26"/>
      <c r="JQ172" s="26"/>
      <c r="JR172" s="26"/>
      <c r="JS172" s="26"/>
      <c r="JT172" s="26"/>
      <c r="JU172" s="26"/>
      <c r="JV172" s="26"/>
      <c r="JW172" s="26"/>
      <c r="JX172" s="26"/>
      <c r="JY172" s="26"/>
      <c r="JZ172" s="26"/>
      <c r="KA172" s="26"/>
      <c r="KB172" s="26"/>
      <c r="KC172" s="26"/>
      <c r="KD172" s="26"/>
      <c r="KE172" s="26"/>
      <c r="KF172" s="26"/>
      <c r="KG172" s="26"/>
      <c r="KH172" s="26"/>
      <c r="KI172" s="26"/>
      <c r="KJ172" s="26"/>
      <c r="KK172" s="26"/>
      <c r="KL172" s="26"/>
      <c r="KM172" s="26"/>
      <c r="KN172" s="26"/>
      <c r="KO172" s="26"/>
      <c r="KP172" s="26"/>
      <c r="KQ172" s="26"/>
      <c r="KR172" s="26"/>
      <c r="KS172" s="26"/>
      <c r="KT172" s="26"/>
      <c r="KU172" s="26"/>
      <c r="KV172" s="26"/>
      <c r="KW172" s="26"/>
      <c r="KX172" s="26"/>
      <c r="KY172" s="26"/>
      <c r="KZ172" s="26"/>
      <c r="LA172" s="26"/>
      <c r="LB172" s="26"/>
      <c r="LC172" s="26"/>
      <c r="LD172" s="26"/>
      <c r="LE172" s="26"/>
      <c r="LF172" s="26"/>
      <c r="LG172" s="26"/>
      <c r="LH172" s="26"/>
      <c r="LI172" s="26"/>
      <c r="LJ172" s="26"/>
      <c r="LK172" s="26"/>
      <c r="LL172" s="26"/>
      <c r="LM172" s="26"/>
      <c r="LN172" s="26"/>
      <c r="LO172" s="26"/>
      <c r="LP172" s="26"/>
      <c r="LQ172" s="26"/>
      <c r="LR172" s="26"/>
      <c r="LS172" s="26"/>
      <c r="LT172" s="26"/>
      <c r="LU172" s="26"/>
      <c r="LV172" s="26"/>
      <c r="LW172" s="26"/>
      <c r="LX172" s="26"/>
      <c r="LY172" s="26"/>
      <c r="LZ172" s="26"/>
      <c r="MA172" s="26"/>
      <c r="MB172" s="26"/>
      <c r="MC172" s="26"/>
      <c r="MD172" s="26"/>
      <c r="ME172" s="26"/>
      <c r="MF172" s="26"/>
      <c r="MG172" s="26"/>
      <c r="MH172" s="26"/>
      <c r="MI172" s="26"/>
      <c r="MJ172" s="26"/>
      <c r="MK172" s="26"/>
      <c r="ML172" s="26"/>
      <c r="MM172" s="26"/>
      <c r="MN172" s="26"/>
      <c r="MO172" s="26"/>
      <c r="MP172" s="26"/>
      <c r="MQ172" s="26"/>
      <c r="MR172" s="26"/>
      <c r="MS172" s="26"/>
      <c r="MT172" s="26"/>
      <c r="MU172" s="26"/>
      <c r="MV172" s="26"/>
      <c r="MW172" s="26"/>
      <c r="MX172" s="26"/>
      <c r="MY172" s="26"/>
      <c r="MZ172" s="26"/>
      <c r="NA172" s="26"/>
      <c r="NB172" s="26"/>
      <c r="NC172" s="26"/>
      <c r="ND172" s="26"/>
      <c r="NE172" s="26"/>
      <c r="NF172" s="26"/>
      <c r="NG172" s="26"/>
      <c r="NH172" s="26"/>
      <c r="NI172" s="26"/>
      <c r="NJ172" s="26"/>
      <c r="NK172" s="26"/>
      <c r="NL172" s="26"/>
      <c r="NM172" s="26"/>
      <c r="NN172" s="26"/>
      <c r="NO172" s="26"/>
      <c r="NP172" s="26"/>
      <c r="NQ172" s="26"/>
      <c r="NR172" s="26"/>
      <c r="NS172" s="26"/>
      <c r="NT172" s="26"/>
      <c r="NU172" s="26"/>
      <c r="NV172" s="26"/>
      <c r="NW172" s="26"/>
      <c r="NX172" s="26"/>
      <c r="NY172" s="26"/>
      <c r="NZ172" s="26"/>
      <c r="OA172" s="26"/>
      <c r="OB172" s="26"/>
      <c r="OC172" s="26"/>
      <c r="OD172" s="26"/>
      <c r="OE172" s="26"/>
      <c r="OF172" s="26"/>
      <c r="OG172" s="26"/>
      <c r="OH172" s="26"/>
      <c r="OI172" s="26"/>
      <c r="OJ172" s="26"/>
      <c r="OK172" s="26"/>
      <c r="OL172" s="26"/>
      <c r="OM172" s="26"/>
      <c r="ON172" s="26"/>
      <c r="OO172" s="26"/>
      <c r="OP172" s="26"/>
      <c r="OQ172" s="26"/>
      <c r="OR172" s="26"/>
      <c r="OS172" s="26"/>
      <c r="OT172" s="26"/>
      <c r="OU172" s="26"/>
      <c r="OV172" s="26"/>
      <c r="OW172" s="26"/>
      <c r="OX172" s="26"/>
      <c r="OY172" s="26"/>
      <c r="OZ172" s="26"/>
      <c r="PA172" s="26"/>
      <c r="PB172" s="26"/>
      <c r="PC172" s="26"/>
      <c r="PD172" s="26"/>
      <c r="PE172" s="26"/>
      <c r="PF172" s="26"/>
      <c r="PG172" s="26"/>
      <c r="PH172" s="26"/>
      <c r="PI172" s="26"/>
      <c r="PJ172" s="26"/>
      <c r="PK172" s="26"/>
      <c r="PL172" s="26"/>
      <c r="PM172" s="26"/>
      <c r="PN172" s="26"/>
      <c r="PO172" s="26"/>
      <c r="PP172" s="26"/>
      <c r="PQ172" s="26"/>
      <c r="PR172" s="26"/>
      <c r="PS172" s="26"/>
      <c r="PT172" s="26"/>
      <c r="PU172" s="26"/>
      <c r="PV172" s="26"/>
      <c r="PW172" s="26"/>
      <c r="PX172" s="26"/>
      <c r="PY172" s="26"/>
      <c r="PZ172" s="26"/>
      <c r="QA172" s="26"/>
      <c r="QB172" s="26"/>
      <c r="QC172" s="26"/>
      <c r="QD172" s="26"/>
      <c r="QE172" s="26"/>
      <c r="QF172" s="26"/>
      <c r="QG172" s="26"/>
      <c r="QH172" s="26"/>
      <c r="QI172" s="26"/>
      <c r="QJ172" s="26"/>
      <c r="QK172" s="26"/>
      <c r="QL172" s="26"/>
      <c r="QM172" s="26"/>
      <c r="QN172" s="26"/>
      <c r="QO172" s="26"/>
      <c r="QP172" s="26"/>
      <c r="QQ172" s="26"/>
      <c r="QR172" s="26"/>
      <c r="QS172" s="26"/>
      <c r="QT172" s="26"/>
      <c r="QU172" s="26"/>
      <c r="QV172" s="26"/>
      <c r="QW172" s="26"/>
      <c r="QX172" s="26"/>
      <c r="QY172" s="26"/>
      <c r="QZ172" s="26"/>
      <c r="RA172" s="26"/>
      <c r="RB172" s="26"/>
      <c r="RC172" s="26"/>
      <c r="RD172" s="26"/>
      <c r="RE172" s="26"/>
      <c r="RF172" s="26"/>
      <c r="RG172" s="26"/>
      <c r="RH172" s="26"/>
      <c r="RI172" s="26"/>
      <c r="RJ172" s="26"/>
      <c r="RK172" s="26"/>
      <c r="RL172" s="26"/>
      <c r="RM172" s="26"/>
      <c r="RN172" s="26"/>
      <c r="RO172" s="26"/>
      <c r="RP172" s="26"/>
      <c r="RQ172" s="26"/>
      <c r="RR172" s="26"/>
      <c r="RS172" s="26"/>
      <c r="RT172" s="26"/>
      <c r="RU172" s="26"/>
      <c r="RV172" s="26"/>
      <c r="RW172" s="26"/>
      <c r="RX172" s="26"/>
      <c r="RY172" s="26"/>
      <c r="RZ172" s="26"/>
      <c r="SA172" s="26"/>
      <c r="SB172" s="26"/>
      <c r="SC172" s="26"/>
      <c r="SD172" s="26"/>
      <c r="SE172" s="26"/>
      <c r="SF172" s="26"/>
      <c r="SG172" s="26"/>
      <c r="SH172" s="26"/>
      <c r="SI172" s="26"/>
      <c r="SJ172" s="26"/>
      <c r="SK172" s="26"/>
      <c r="SL172" s="26"/>
      <c r="SM172" s="26"/>
      <c r="SN172" s="26"/>
      <c r="SO172" s="26"/>
      <c r="SP172" s="26"/>
      <c r="SQ172" s="26"/>
      <c r="SR172" s="26"/>
      <c r="SS172" s="26"/>
      <c r="ST172" s="26"/>
      <c r="SU172" s="26"/>
      <c r="SV172" s="26"/>
      <c r="SW172" s="26"/>
      <c r="SX172" s="26"/>
      <c r="SY172" s="26"/>
      <c r="SZ172" s="26"/>
      <c r="TA172" s="26"/>
      <c r="TB172" s="26"/>
      <c r="TC172" s="26"/>
      <c r="TD172" s="26"/>
      <c r="TE172" s="26"/>
      <c r="TF172" s="26"/>
      <c r="TG172" s="26"/>
      <c r="TH172" s="26"/>
      <c r="TI172" s="26"/>
    </row>
    <row r="173" spans="1:529" s="23" customFormat="1" ht="60" x14ac:dyDescent="0.25">
      <c r="A173" s="43" t="s">
        <v>368</v>
      </c>
      <c r="B173" s="44">
        <v>3111</v>
      </c>
      <c r="C173" s="44">
        <v>1040</v>
      </c>
      <c r="D173" s="22" t="str">
        <f>'дод 4'!C89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73" s="66">
        <f>F173+I173</f>
        <v>0</v>
      </c>
      <c r="F173" s="66"/>
      <c r="G173" s="66"/>
      <c r="H173" s="66"/>
      <c r="I173" s="66"/>
      <c r="J173" s="66">
        <f t="shared" ref="J173:J174" si="70">L173+O173</f>
        <v>20000</v>
      </c>
      <c r="K173" s="66">
        <v>20000</v>
      </c>
      <c r="L173" s="66"/>
      <c r="M173" s="66"/>
      <c r="N173" s="66"/>
      <c r="O173" s="66">
        <v>20000</v>
      </c>
      <c r="P173" s="66">
        <f>E173+J173</f>
        <v>20000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  <c r="IW173" s="26"/>
      <c r="IX173" s="26"/>
      <c r="IY173" s="26"/>
      <c r="IZ173" s="26"/>
      <c r="JA173" s="26"/>
      <c r="JB173" s="26"/>
      <c r="JC173" s="26"/>
      <c r="JD173" s="26"/>
      <c r="JE173" s="26"/>
      <c r="JF173" s="26"/>
      <c r="JG173" s="26"/>
      <c r="JH173" s="26"/>
      <c r="JI173" s="26"/>
      <c r="JJ173" s="26"/>
      <c r="JK173" s="26"/>
      <c r="JL173" s="26"/>
      <c r="JM173" s="26"/>
      <c r="JN173" s="26"/>
      <c r="JO173" s="26"/>
      <c r="JP173" s="26"/>
      <c r="JQ173" s="26"/>
      <c r="JR173" s="26"/>
      <c r="JS173" s="26"/>
      <c r="JT173" s="26"/>
      <c r="JU173" s="26"/>
      <c r="JV173" s="26"/>
      <c r="JW173" s="26"/>
      <c r="JX173" s="26"/>
      <c r="JY173" s="26"/>
      <c r="JZ173" s="26"/>
      <c r="KA173" s="26"/>
      <c r="KB173" s="26"/>
      <c r="KC173" s="26"/>
      <c r="KD173" s="26"/>
      <c r="KE173" s="26"/>
      <c r="KF173" s="26"/>
      <c r="KG173" s="26"/>
      <c r="KH173" s="26"/>
      <c r="KI173" s="26"/>
      <c r="KJ173" s="26"/>
      <c r="KK173" s="26"/>
      <c r="KL173" s="26"/>
      <c r="KM173" s="26"/>
      <c r="KN173" s="26"/>
      <c r="KO173" s="26"/>
      <c r="KP173" s="26"/>
      <c r="KQ173" s="26"/>
      <c r="KR173" s="26"/>
      <c r="KS173" s="26"/>
      <c r="KT173" s="26"/>
      <c r="KU173" s="26"/>
      <c r="KV173" s="26"/>
      <c r="KW173" s="26"/>
      <c r="KX173" s="26"/>
      <c r="KY173" s="26"/>
      <c r="KZ173" s="26"/>
      <c r="LA173" s="26"/>
      <c r="LB173" s="26"/>
      <c r="LC173" s="26"/>
      <c r="LD173" s="26"/>
      <c r="LE173" s="26"/>
      <c r="LF173" s="26"/>
      <c r="LG173" s="26"/>
      <c r="LH173" s="26"/>
      <c r="LI173" s="26"/>
      <c r="LJ173" s="26"/>
      <c r="LK173" s="26"/>
      <c r="LL173" s="26"/>
      <c r="LM173" s="26"/>
      <c r="LN173" s="26"/>
      <c r="LO173" s="26"/>
      <c r="LP173" s="26"/>
      <c r="LQ173" s="26"/>
      <c r="LR173" s="26"/>
      <c r="LS173" s="26"/>
      <c r="LT173" s="26"/>
      <c r="LU173" s="26"/>
      <c r="LV173" s="26"/>
      <c r="LW173" s="26"/>
      <c r="LX173" s="26"/>
      <c r="LY173" s="26"/>
      <c r="LZ173" s="26"/>
      <c r="MA173" s="26"/>
      <c r="MB173" s="26"/>
      <c r="MC173" s="26"/>
      <c r="MD173" s="26"/>
      <c r="ME173" s="26"/>
      <c r="MF173" s="26"/>
      <c r="MG173" s="26"/>
      <c r="MH173" s="26"/>
      <c r="MI173" s="26"/>
      <c r="MJ173" s="26"/>
      <c r="MK173" s="26"/>
      <c r="ML173" s="26"/>
      <c r="MM173" s="26"/>
      <c r="MN173" s="26"/>
      <c r="MO173" s="26"/>
      <c r="MP173" s="26"/>
      <c r="MQ173" s="26"/>
      <c r="MR173" s="26"/>
      <c r="MS173" s="26"/>
      <c r="MT173" s="26"/>
      <c r="MU173" s="26"/>
      <c r="MV173" s="26"/>
      <c r="MW173" s="26"/>
      <c r="MX173" s="26"/>
      <c r="MY173" s="26"/>
      <c r="MZ173" s="26"/>
      <c r="NA173" s="26"/>
      <c r="NB173" s="26"/>
      <c r="NC173" s="26"/>
      <c r="ND173" s="26"/>
      <c r="NE173" s="26"/>
      <c r="NF173" s="26"/>
      <c r="NG173" s="26"/>
      <c r="NH173" s="26"/>
      <c r="NI173" s="26"/>
      <c r="NJ173" s="26"/>
      <c r="NK173" s="26"/>
      <c r="NL173" s="26"/>
      <c r="NM173" s="26"/>
      <c r="NN173" s="26"/>
      <c r="NO173" s="26"/>
      <c r="NP173" s="26"/>
      <c r="NQ173" s="26"/>
      <c r="NR173" s="26"/>
      <c r="NS173" s="26"/>
      <c r="NT173" s="26"/>
      <c r="NU173" s="26"/>
      <c r="NV173" s="26"/>
      <c r="NW173" s="26"/>
      <c r="NX173" s="26"/>
      <c r="NY173" s="26"/>
      <c r="NZ173" s="26"/>
      <c r="OA173" s="26"/>
      <c r="OB173" s="26"/>
      <c r="OC173" s="26"/>
      <c r="OD173" s="26"/>
      <c r="OE173" s="26"/>
      <c r="OF173" s="26"/>
      <c r="OG173" s="26"/>
      <c r="OH173" s="26"/>
      <c r="OI173" s="26"/>
      <c r="OJ173" s="26"/>
      <c r="OK173" s="26"/>
      <c r="OL173" s="26"/>
      <c r="OM173" s="26"/>
      <c r="ON173" s="26"/>
      <c r="OO173" s="26"/>
      <c r="OP173" s="26"/>
      <c r="OQ173" s="26"/>
      <c r="OR173" s="26"/>
      <c r="OS173" s="26"/>
      <c r="OT173" s="26"/>
      <c r="OU173" s="26"/>
      <c r="OV173" s="26"/>
      <c r="OW173" s="26"/>
      <c r="OX173" s="26"/>
      <c r="OY173" s="26"/>
      <c r="OZ173" s="26"/>
      <c r="PA173" s="26"/>
      <c r="PB173" s="26"/>
      <c r="PC173" s="26"/>
      <c r="PD173" s="26"/>
      <c r="PE173" s="26"/>
      <c r="PF173" s="26"/>
      <c r="PG173" s="26"/>
      <c r="PH173" s="26"/>
      <c r="PI173" s="26"/>
      <c r="PJ173" s="26"/>
      <c r="PK173" s="26"/>
      <c r="PL173" s="26"/>
      <c r="PM173" s="26"/>
      <c r="PN173" s="26"/>
      <c r="PO173" s="26"/>
      <c r="PP173" s="26"/>
      <c r="PQ173" s="26"/>
      <c r="PR173" s="26"/>
      <c r="PS173" s="26"/>
      <c r="PT173" s="26"/>
      <c r="PU173" s="26"/>
      <c r="PV173" s="26"/>
      <c r="PW173" s="26"/>
      <c r="PX173" s="26"/>
      <c r="PY173" s="26"/>
      <c r="PZ173" s="26"/>
      <c r="QA173" s="26"/>
      <c r="QB173" s="26"/>
      <c r="QC173" s="26"/>
      <c r="QD173" s="26"/>
      <c r="QE173" s="26"/>
      <c r="QF173" s="26"/>
      <c r="QG173" s="26"/>
      <c r="QH173" s="26"/>
      <c r="QI173" s="26"/>
      <c r="QJ173" s="26"/>
      <c r="QK173" s="26"/>
      <c r="QL173" s="26"/>
      <c r="QM173" s="26"/>
      <c r="QN173" s="26"/>
      <c r="QO173" s="26"/>
      <c r="QP173" s="26"/>
      <c r="QQ173" s="26"/>
      <c r="QR173" s="26"/>
      <c r="QS173" s="26"/>
      <c r="QT173" s="26"/>
      <c r="QU173" s="26"/>
      <c r="QV173" s="26"/>
      <c r="QW173" s="26"/>
      <c r="QX173" s="26"/>
      <c r="QY173" s="26"/>
      <c r="QZ173" s="26"/>
      <c r="RA173" s="26"/>
      <c r="RB173" s="26"/>
      <c r="RC173" s="26"/>
      <c r="RD173" s="26"/>
      <c r="RE173" s="26"/>
      <c r="RF173" s="26"/>
      <c r="RG173" s="26"/>
      <c r="RH173" s="26"/>
      <c r="RI173" s="26"/>
      <c r="RJ173" s="26"/>
      <c r="RK173" s="26"/>
      <c r="RL173" s="26"/>
      <c r="RM173" s="26"/>
      <c r="RN173" s="26"/>
      <c r="RO173" s="26"/>
      <c r="RP173" s="26"/>
      <c r="RQ173" s="26"/>
      <c r="RR173" s="26"/>
      <c r="RS173" s="26"/>
      <c r="RT173" s="26"/>
      <c r="RU173" s="26"/>
      <c r="RV173" s="26"/>
      <c r="RW173" s="26"/>
      <c r="RX173" s="26"/>
      <c r="RY173" s="26"/>
      <c r="RZ173" s="26"/>
      <c r="SA173" s="26"/>
      <c r="SB173" s="26"/>
      <c r="SC173" s="26"/>
      <c r="SD173" s="26"/>
      <c r="SE173" s="26"/>
      <c r="SF173" s="26"/>
      <c r="SG173" s="26"/>
      <c r="SH173" s="26"/>
      <c r="SI173" s="26"/>
      <c r="SJ173" s="26"/>
      <c r="SK173" s="26"/>
      <c r="SL173" s="26"/>
      <c r="SM173" s="26"/>
      <c r="SN173" s="26"/>
      <c r="SO173" s="26"/>
      <c r="SP173" s="26"/>
      <c r="SQ173" s="26"/>
      <c r="SR173" s="26"/>
      <c r="SS173" s="26"/>
      <c r="ST173" s="26"/>
      <c r="SU173" s="26"/>
      <c r="SV173" s="26"/>
      <c r="SW173" s="26"/>
      <c r="SX173" s="26"/>
      <c r="SY173" s="26"/>
      <c r="SZ173" s="26"/>
      <c r="TA173" s="26"/>
      <c r="TB173" s="26"/>
      <c r="TC173" s="26"/>
      <c r="TD173" s="26"/>
      <c r="TE173" s="26"/>
      <c r="TF173" s="26"/>
      <c r="TG173" s="26"/>
      <c r="TH173" s="26"/>
      <c r="TI173" s="26"/>
    </row>
    <row r="174" spans="1:529" s="23" customFormat="1" ht="36.75" customHeight="1" x14ac:dyDescent="0.25">
      <c r="A174" s="43" t="s">
        <v>208</v>
      </c>
      <c r="B174" s="44" t="str">
        <f>'дод 4'!A90</f>
        <v>3112</v>
      </c>
      <c r="C174" s="44" t="str">
        <f>'дод 4'!B90</f>
        <v>1040</v>
      </c>
      <c r="D174" s="24" t="str">
        <f>'дод 4'!C90</f>
        <v>Заходи державної політики з питань дітей та їх соціального захисту</v>
      </c>
      <c r="E174" s="66">
        <f>F174+I174</f>
        <v>90500</v>
      </c>
      <c r="F174" s="66">
        <v>90500</v>
      </c>
      <c r="G174" s="66"/>
      <c r="H174" s="66"/>
      <c r="I174" s="66"/>
      <c r="J174" s="66">
        <f t="shared" si="70"/>
        <v>0</v>
      </c>
      <c r="K174" s="66"/>
      <c r="L174" s="66"/>
      <c r="M174" s="66"/>
      <c r="N174" s="66"/>
      <c r="O174" s="66"/>
      <c r="P174" s="66">
        <f>E174+J174</f>
        <v>90500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  <c r="IW174" s="26"/>
      <c r="IX174" s="26"/>
      <c r="IY174" s="26"/>
      <c r="IZ174" s="26"/>
      <c r="JA174" s="26"/>
      <c r="JB174" s="26"/>
      <c r="JC174" s="26"/>
      <c r="JD174" s="26"/>
      <c r="JE174" s="26"/>
      <c r="JF174" s="26"/>
      <c r="JG174" s="26"/>
      <c r="JH174" s="26"/>
      <c r="JI174" s="26"/>
      <c r="JJ174" s="26"/>
      <c r="JK174" s="26"/>
      <c r="JL174" s="26"/>
      <c r="JM174" s="26"/>
      <c r="JN174" s="26"/>
      <c r="JO174" s="26"/>
      <c r="JP174" s="26"/>
      <c r="JQ174" s="26"/>
      <c r="JR174" s="26"/>
      <c r="JS174" s="26"/>
      <c r="JT174" s="26"/>
      <c r="JU174" s="26"/>
      <c r="JV174" s="26"/>
      <c r="JW174" s="26"/>
      <c r="JX174" s="26"/>
      <c r="JY174" s="26"/>
      <c r="JZ174" s="26"/>
      <c r="KA174" s="26"/>
      <c r="KB174" s="26"/>
      <c r="KC174" s="26"/>
      <c r="KD174" s="26"/>
      <c r="KE174" s="26"/>
      <c r="KF174" s="26"/>
      <c r="KG174" s="26"/>
      <c r="KH174" s="26"/>
      <c r="KI174" s="26"/>
      <c r="KJ174" s="26"/>
      <c r="KK174" s="26"/>
      <c r="KL174" s="26"/>
      <c r="KM174" s="26"/>
      <c r="KN174" s="26"/>
      <c r="KO174" s="26"/>
      <c r="KP174" s="26"/>
      <c r="KQ174" s="26"/>
      <c r="KR174" s="26"/>
      <c r="KS174" s="26"/>
      <c r="KT174" s="26"/>
      <c r="KU174" s="26"/>
      <c r="KV174" s="26"/>
      <c r="KW174" s="26"/>
      <c r="KX174" s="26"/>
      <c r="KY174" s="26"/>
      <c r="KZ174" s="26"/>
      <c r="LA174" s="26"/>
      <c r="LB174" s="26"/>
      <c r="LC174" s="26"/>
      <c r="LD174" s="26"/>
      <c r="LE174" s="26"/>
      <c r="LF174" s="26"/>
      <c r="LG174" s="26"/>
      <c r="LH174" s="26"/>
      <c r="LI174" s="26"/>
      <c r="LJ174" s="26"/>
      <c r="LK174" s="26"/>
      <c r="LL174" s="26"/>
      <c r="LM174" s="26"/>
      <c r="LN174" s="26"/>
      <c r="LO174" s="26"/>
      <c r="LP174" s="26"/>
      <c r="LQ174" s="26"/>
      <c r="LR174" s="26"/>
      <c r="LS174" s="26"/>
      <c r="LT174" s="26"/>
      <c r="LU174" s="26"/>
      <c r="LV174" s="26"/>
      <c r="LW174" s="26"/>
      <c r="LX174" s="26"/>
      <c r="LY174" s="26"/>
      <c r="LZ174" s="26"/>
      <c r="MA174" s="26"/>
      <c r="MB174" s="26"/>
      <c r="MC174" s="26"/>
      <c r="MD174" s="26"/>
      <c r="ME174" s="26"/>
      <c r="MF174" s="26"/>
      <c r="MG174" s="26"/>
      <c r="MH174" s="26"/>
      <c r="MI174" s="26"/>
      <c r="MJ174" s="26"/>
      <c r="MK174" s="26"/>
      <c r="ML174" s="26"/>
      <c r="MM174" s="26"/>
      <c r="MN174" s="26"/>
      <c r="MO174" s="26"/>
      <c r="MP174" s="26"/>
      <c r="MQ174" s="26"/>
      <c r="MR174" s="26"/>
      <c r="MS174" s="26"/>
      <c r="MT174" s="26"/>
      <c r="MU174" s="26"/>
      <c r="MV174" s="26"/>
      <c r="MW174" s="26"/>
      <c r="MX174" s="26"/>
      <c r="MY174" s="26"/>
      <c r="MZ174" s="26"/>
      <c r="NA174" s="26"/>
      <c r="NB174" s="26"/>
      <c r="NC174" s="26"/>
      <c r="ND174" s="26"/>
      <c r="NE174" s="26"/>
      <c r="NF174" s="26"/>
      <c r="NG174" s="26"/>
      <c r="NH174" s="26"/>
      <c r="NI174" s="26"/>
      <c r="NJ174" s="26"/>
      <c r="NK174" s="26"/>
      <c r="NL174" s="26"/>
      <c r="NM174" s="26"/>
      <c r="NN174" s="26"/>
      <c r="NO174" s="26"/>
      <c r="NP174" s="26"/>
      <c r="NQ174" s="26"/>
      <c r="NR174" s="26"/>
      <c r="NS174" s="26"/>
      <c r="NT174" s="26"/>
      <c r="NU174" s="26"/>
      <c r="NV174" s="26"/>
      <c r="NW174" s="26"/>
      <c r="NX174" s="26"/>
      <c r="NY174" s="26"/>
      <c r="NZ174" s="26"/>
      <c r="OA174" s="26"/>
      <c r="OB174" s="26"/>
      <c r="OC174" s="26"/>
      <c r="OD174" s="26"/>
      <c r="OE174" s="26"/>
      <c r="OF174" s="26"/>
      <c r="OG174" s="26"/>
      <c r="OH174" s="26"/>
      <c r="OI174" s="26"/>
      <c r="OJ174" s="26"/>
      <c r="OK174" s="26"/>
      <c r="OL174" s="26"/>
      <c r="OM174" s="26"/>
      <c r="ON174" s="26"/>
      <c r="OO174" s="26"/>
      <c r="OP174" s="26"/>
      <c r="OQ174" s="26"/>
      <c r="OR174" s="26"/>
      <c r="OS174" s="26"/>
      <c r="OT174" s="26"/>
      <c r="OU174" s="26"/>
      <c r="OV174" s="26"/>
      <c r="OW174" s="26"/>
      <c r="OX174" s="26"/>
      <c r="OY174" s="26"/>
      <c r="OZ174" s="26"/>
      <c r="PA174" s="26"/>
      <c r="PB174" s="26"/>
      <c r="PC174" s="26"/>
      <c r="PD174" s="26"/>
      <c r="PE174" s="26"/>
      <c r="PF174" s="26"/>
      <c r="PG174" s="26"/>
      <c r="PH174" s="26"/>
      <c r="PI174" s="26"/>
      <c r="PJ174" s="26"/>
      <c r="PK174" s="26"/>
      <c r="PL174" s="26"/>
      <c r="PM174" s="26"/>
      <c r="PN174" s="26"/>
      <c r="PO174" s="26"/>
      <c r="PP174" s="26"/>
      <c r="PQ174" s="26"/>
      <c r="PR174" s="26"/>
      <c r="PS174" s="26"/>
      <c r="PT174" s="26"/>
      <c r="PU174" s="26"/>
      <c r="PV174" s="26"/>
      <c r="PW174" s="26"/>
      <c r="PX174" s="26"/>
      <c r="PY174" s="26"/>
      <c r="PZ174" s="26"/>
      <c r="QA174" s="26"/>
      <c r="QB174" s="26"/>
      <c r="QC174" s="26"/>
      <c r="QD174" s="26"/>
      <c r="QE174" s="26"/>
      <c r="QF174" s="26"/>
      <c r="QG174" s="26"/>
      <c r="QH174" s="26"/>
      <c r="QI174" s="26"/>
      <c r="QJ174" s="26"/>
      <c r="QK174" s="26"/>
      <c r="QL174" s="26"/>
      <c r="QM174" s="26"/>
      <c r="QN174" s="26"/>
      <c r="QO174" s="26"/>
      <c r="QP174" s="26"/>
      <c r="QQ174" s="26"/>
      <c r="QR174" s="26"/>
      <c r="QS174" s="26"/>
      <c r="QT174" s="26"/>
      <c r="QU174" s="26"/>
      <c r="QV174" s="26"/>
      <c r="QW174" s="26"/>
      <c r="QX174" s="26"/>
      <c r="QY174" s="26"/>
      <c r="QZ174" s="26"/>
      <c r="RA174" s="26"/>
      <c r="RB174" s="26"/>
      <c r="RC174" s="26"/>
      <c r="RD174" s="26"/>
      <c r="RE174" s="26"/>
      <c r="RF174" s="26"/>
      <c r="RG174" s="26"/>
      <c r="RH174" s="26"/>
      <c r="RI174" s="26"/>
      <c r="RJ174" s="26"/>
      <c r="RK174" s="26"/>
      <c r="RL174" s="26"/>
      <c r="RM174" s="26"/>
      <c r="RN174" s="26"/>
      <c r="RO174" s="26"/>
      <c r="RP174" s="26"/>
      <c r="RQ174" s="26"/>
      <c r="RR174" s="26"/>
      <c r="RS174" s="26"/>
      <c r="RT174" s="26"/>
      <c r="RU174" s="26"/>
      <c r="RV174" s="26"/>
      <c r="RW174" s="26"/>
      <c r="RX174" s="26"/>
      <c r="RY174" s="26"/>
      <c r="RZ174" s="26"/>
      <c r="SA174" s="26"/>
      <c r="SB174" s="26"/>
      <c r="SC174" s="26"/>
      <c r="SD174" s="26"/>
      <c r="SE174" s="26"/>
      <c r="SF174" s="26"/>
      <c r="SG174" s="26"/>
      <c r="SH174" s="26"/>
      <c r="SI174" s="26"/>
      <c r="SJ174" s="26"/>
      <c r="SK174" s="26"/>
      <c r="SL174" s="26"/>
      <c r="SM174" s="26"/>
      <c r="SN174" s="26"/>
      <c r="SO174" s="26"/>
      <c r="SP174" s="26"/>
      <c r="SQ174" s="26"/>
      <c r="SR174" s="26"/>
      <c r="SS174" s="26"/>
      <c r="ST174" s="26"/>
      <c r="SU174" s="26"/>
      <c r="SV174" s="26"/>
      <c r="SW174" s="26"/>
      <c r="SX174" s="26"/>
      <c r="SY174" s="26"/>
      <c r="SZ174" s="26"/>
      <c r="TA174" s="26"/>
      <c r="TB174" s="26"/>
      <c r="TC174" s="26"/>
      <c r="TD174" s="26"/>
      <c r="TE174" s="26"/>
      <c r="TF174" s="26"/>
      <c r="TG174" s="26"/>
      <c r="TH174" s="26"/>
      <c r="TI174" s="26"/>
    </row>
    <row r="175" spans="1:529" s="31" customFormat="1" ht="22.5" customHeight="1" x14ac:dyDescent="0.2">
      <c r="A175" s="178" t="s">
        <v>29</v>
      </c>
      <c r="B175" s="71"/>
      <c r="C175" s="71"/>
      <c r="D175" s="30" t="s">
        <v>370</v>
      </c>
      <c r="E175" s="63">
        <f>E176</f>
        <v>65061115</v>
      </c>
      <c r="F175" s="63">
        <f t="shared" ref="F175:J175" si="71">F176</f>
        <v>65061115</v>
      </c>
      <c r="G175" s="63">
        <f t="shared" si="71"/>
        <v>47805300</v>
      </c>
      <c r="H175" s="63">
        <f t="shared" si="71"/>
        <v>2002760</v>
      </c>
      <c r="I175" s="63">
        <f t="shared" si="71"/>
        <v>0</v>
      </c>
      <c r="J175" s="63">
        <f t="shared" si="71"/>
        <v>4109635</v>
      </c>
      <c r="K175" s="63">
        <f t="shared" ref="K175" si="72">K176</f>
        <v>1290995</v>
      </c>
      <c r="L175" s="63">
        <f t="shared" ref="L175" si="73">L176</f>
        <v>2813920</v>
      </c>
      <c r="M175" s="63">
        <f t="shared" ref="M175" si="74">M176</f>
        <v>2279416</v>
      </c>
      <c r="N175" s="63">
        <f t="shared" ref="N175" si="75">N176</f>
        <v>3300</v>
      </c>
      <c r="O175" s="63">
        <f t="shared" ref="O175:P175" si="76">O176</f>
        <v>1295715</v>
      </c>
      <c r="P175" s="63">
        <f t="shared" si="76"/>
        <v>69170750</v>
      </c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  <c r="IV175" s="38"/>
      <c r="IW175" s="38"/>
      <c r="IX175" s="38"/>
      <c r="IY175" s="38"/>
      <c r="IZ175" s="38"/>
      <c r="JA175" s="38"/>
      <c r="JB175" s="38"/>
      <c r="JC175" s="38"/>
      <c r="JD175" s="38"/>
      <c r="JE175" s="38"/>
      <c r="JF175" s="38"/>
      <c r="JG175" s="38"/>
      <c r="JH175" s="38"/>
      <c r="JI175" s="38"/>
      <c r="JJ175" s="38"/>
      <c r="JK175" s="38"/>
      <c r="JL175" s="38"/>
      <c r="JM175" s="38"/>
      <c r="JN175" s="38"/>
      <c r="JO175" s="38"/>
      <c r="JP175" s="38"/>
      <c r="JQ175" s="38"/>
      <c r="JR175" s="38"/>
      <c r="JS175" s="38"/>
      <c r="JT175" s="38"/>
      <c r="JU175" s="38"/>
      <c r="JV175" s="38"/>
      <c r="JW175" s="38"/>
      <c r="JX175" s="38"/>
      <c r="JY175" s="38"/>
      <c r="JZ175" s="38"/>
      <c r="KA175" s="38"/>
      <c r="KB175" s="38"/>
      <c r="KC175" s="38"/>
      <c r="KD175" s="38"/>
      <c r="KE175" s="38"/>
      <c r="KF175" s="38"/>
      <c r="KG175" s="38"/>
      <c r="KH175" s="38"/>
      <c r="KI175" s="38"/>
      <c r="KJ175" s="38"/>
      <c r="KK175" s="38"/>
      <c r="KL175" s="38"/>
      <c r="KM175" s="38"/>
      <c r="KN175" s="38"/>
      <c r="KO175" s="38"/>
      <c r="KP175" s="38"/>
      <c r="KQ175" s="38"/>
      <c r="KR175" s="38"/>
      <c r="KS175" s="38"/>
      <c r="KT175" s="38"/>
      <c r="KU175" s="38"/>
      <c r="KV175" s="38"/>
      <c r="KW175" s="38"/>
      <c r="KX175" s="38"/>
      <c r="KY175" s="38"/>
      <c r="KZ175" s="38"/>
      <c r="LA175" s="38"/>
      <c r="LB175" s="38"/>
      <c r="LC175" s="38"/>
      <c r="LD175" s="38"/>
      <c r="LE175" s="38"/>
      <c r="LF175" s="38"/>
      <c r="LG175" s="38"/>
      <c r="LH175" s="38"/>
      <c r="LI175" s="38"/>
      <c r="LJ175" s="38"/>
      <c r="LK175" s="38"/>
      <c r="LL175" s="38"/>
      <c r="LM175" s="38"/>
      <c r="LN175" s="38"/>
      <c r="LO175" s="38"/>
      <c r="LP175" s="38"/>
      <c r="LQ175" s="38"/>
      <c r="LR175" s="38"/>
      <c r="LS175" s="38"/>
      <c r="LT175" s="38"/>
      <c r="LU175" s="38"/>
      <c r="LV175" s="38"/>
      <c r="LW175" s="38"/>
      <c r="LX175" s="38"/>
      <c r="LY175" s="38"/>
      <c r="LZ175" s="38"/>
      <c r="MA175" s="38"/>
      <c r="MB175" s="38"/>
      <c r="MC175" s="38"/>
      <c r="MD175" s="38"/>
      <c r="ME175" s="38"/>
      <c r="MF175" s="38"/>
      <c r="MG175" s="38"/>
      <c r="MH175" s="38"/>
      <c r="MI175" s="38"/>
      <c r="MJ175" s="38"/>
      <c r="MK175" s="38"/>
      <c r="ML175" s="38"/>
      <c r="MM175" s="38"/>
      <c r="MN175" s="38"/>
      <c r="MO175" s="38"/>
      <c r="MP175" s="38"/>
      <c r="MQ175" s="38"/>
      <c r="MR175" s="38"/>
      <c r="MS175" s="38"/>
      <c r="MT175" s="38"/>
      <c r="MU175" s="38"/>
      <c r="MV175" s="38"/>
      <c r="MW175" s="38"/>
      <c r="MX175" s="38"/>
      <c r="MY175" s="38"/>
      <c r="MZ175" s="38"/>
      <c r="NA175" s="38"/>
      <c r="NB175" s="38"/>
      <c r="NC175" s="38"/>
      <c r="ND175" s="38"/>
      <c r="NE175" s="38"/>
      <c r="NF175" s="38"/>
      <c r="NG175" s="38"/>
      <c r="NH175" s="38"/>
      <c r="NI175" s="38"/>
      <c r="NJ175" s="38"/>
      <c r="NK175" s="38"/>
      <c r="NL175" s="38"/>
      <c r="NM175" s="38"/>
      <c r="NN175" s="38"/>
      <c r="NO175" s="38"/>
      <c r="NP175" s="38"/>
      <c r="NQ175" s="38"/>
      <c r="NR175" s="38"/>
      <c r="NS175" s="38"/>
      <c r="NT175" s="38"/>
      <c r="NU175" s="38"/>
      <c r="NV175" s="38"/>
      <c r="NW175" s="38"/>
      <c r="NX175" s="38"/>
      <c r="NY175" s="38"/>
      <c r="NZ175" s="38"/>
      <c r="OA175" s="38"/>
      <c r="OB175" s="38"/>
      <c r="OC175" s="38"/>
      <c r="OD175" s="38"/>
      <c r="OE175" s="38"/>
      <c r="OF175" s="38"/>
      <c r="OG175" s="38"/>
      <c r="OH175" s="38"/>
      <c r="OI175" s="38"/>
      <c r="OJ175" s="38"/>
      <c r="OK175" s="38"/>
      <c r="OL175" s="38"/>
      <c r="OM175" s="38"/>
      <c r="ON175" s="38"/>
      <c r="OO175" s="38"/>
      <c r="OP175" s="38"/>
      <c r="OQ175" s="38"/>
      <c r="OR175" s="38"/>
      <c r="OS175" s="38"/>
      <c r="OT175" s="38"/>
      <c r="OU175" s="38"/>
      <c r="OV175" s="38"/>
      <c r="OW175" s="38"/>
      <c r="OX175" s="38"/>
      <c r="OY175" s="38"/>
      <c r="OZ175" s="38"/>
      <c r="PA175" s="38"/>
      <c r="PB175" s="38"/>
      <c r="PC175" s="38"/>
      <c r="PD175" s="38"/>
      <c r="PE175" s="38"/>
      <c r="PF175" s="38"/>
      <c r="PG175" s="38"/>
      <c r="PH175" s="38"/>
      <c r="PI175" s="38"/>
      <c r="PJ175" s="38"/>
      <c r="PK175" s="38"/>
      <c r="PL175" s="38"/>
      <c r="PM175" s="38"/>
      <c r="PN175" s="38"/>
      <c r="PO175" s="38"/>
      <c r="PP175" s="38"/>
      <c r="PQ175" s="38"/>
      <c r="PR175" s="38"/>
      <c r="PS175" s="38"/>
      <c r="PT175" s="38"/>
      <c r="PU175" s="38"/>
      <c r="PV175" s="38"/>
      <c r="PW175" s="38"/>
      <c r="PX175" s="38"/>
      <c r="PY175" s="38"/>
      <c r="PZ175" s="38"/>
      <c r="QA175" s="38"/>
      <c r="QB175" s="38"/>
      <c r="QC175" s="38"/>
      <c r="QD175" s="38"/>
      <c r="QE175" s="38"/>
      <c r="QF175" s="38"/>
      <c r="QG175" s="38"/>
      <c r="QH175" s="38"/>
      <c r="QI175" s="38"/>
      <c r="QJ175" s="38"/>
      <c r="QK175" s="38"/>
      <c r="QL175" s="38"/>
      <c r="QM175" s="38"/>
      <c r="QN175" s="38"/>
      <c r="QO175" s="38"/>
      <c r="QP175" s="38"/>
      <c r="QQ175" s="38"/>
      <c r="QR175" s="38"/>
      <c r="QS175" s="38"/>
      <c r="QT175" s="38"/>
      <c r="QU175" s="38"/>
      <c r="QV175" s="38"/>
      <c r="QW175" s="38"/>
      <c r="QX175" s="38"/>
      <c r="QY175" s="38"/>
      <c r="QZ175" s="38"/>
      <c r="RA175" s="38"/>
      <c r="RB175" s="38"/>
      <c r="RC175" s="38"/>
      <c r="RD175" s="38"/>
      <c r="RE175" s="38"/>
      <c r="RF175" s="38"/>
      <c r="RG175" s="38"/>
      <c r="RH175" s="38"/>
      <c r="RI175" s="38"/>
      <c r="RJ175" s="38"/>
      <c r="RK175" s="38"/>
      <c r="RL175" s="38"/>
      <c r="RM175" s="38"/>
      <c r="RN175" s="38"/>
      <c r="RO175" s="38"/>
      <c r="RP175" s="38"/>
      <c r="RQ175" s="38"/>
      <c r="RR175" s="38"/>
      <c r="RS175" s="38"/>
      <c r="RT175" s="38"/>
      <c r="RU175" s="38"/>
      <c r="RV175" s="38"/>
      <c r="RW175" s="38"/>
      <c r="RX175" s="38"/>
      <c r="RY175" s="38"/>
      <c r="RZ175" s="38"/>
      <c r="SA175" s="38"/>
      <c r="SB175" s="38"/>
      <c r="SC175" s="38"/>
      <c r="SD175" s="38"/>
      <c r="SE175" s="38"/>
      <c r="SF175" s="38"/>
      <c r="SG175" s="38"/>
      <c r="SH175" s="38"/>
      <c r="SI175" s="38"/>
      <c r="SJ175" s="38"/>
      <c r="SK175" s="38"/>
      <c r="SL175" s="38"/>
      <c r="SM175" s="38"/>
      <c r="SN175" s="38"/>
      <c r="SO175" s="38"/>
      <c r="SP175" s="38"/>
      <c r="SQ175" s="38"/>
      <c r="SR175" s="38"/>
      <c r="SS175" s="38"/>
      <c r="ST175" s="38"/>
      <c r="SU175" s="38"/>
      <c r="SV175" s="38"/>
      <c r="SW175" s="38"/>
      <c r="SX175" s="38"/>
      <c r="SY175" s="38"/>
      <c r="SZ175" s="38"/>
      <c r="TA175" s="38"/>
      <c r="TB175" s="38"/>
      <c r="TC175" s="38"/>
      <c r="TD175" s="38"/>
      <c r="TE175" s="38"/>
      <c r="TF175" s="38"/>
      <c r="TG175" s="38"/>
      <c r="TH175" s="38"/>
      <c r="TI175" s="38"/>
    </row>
    <row r="176" spans="1:529" s="40" customFormat="1" ht="21.75" customHeight="1" x14ac:dyDescent="0.25">
      <c r="A176" s="73" t="s">
        <v>209</v>
      </c>
      <c r="B176" s="72"/>
      <c r="C176" s="72"/>
      <c r="D176" s="33" t="s">
        <v>370</v>
      </c>
      <c r="E176" s="65">
        <f>E177+E178+E179+E181+E182++E183+E180+E184</f>
        <v>65061115</v>
      </c>
      <c r="F176" s="65">
        <f t="shared" ref="F176:P176" si="77">F177+F178+F179+F181+F182++F183+F180+F184</f>
        <v>65061115</v>
      </c>
      <c r="G176" s="65">
        <f t="shared" si="77"/>
        <v>47805300</v>
      </c>
      <c r="H176" s="65">
        <f t="shared" si="77"/>
        <v>2002760</v>
      </c>
      <c r="I176" s="65">
        <f t="shared" si="77"/>
        <v>0</v>
      </c>
      <c r="J176" s="65">
        <f t="shared" si="77"/>
        <v>4109635</v>
      </c>
      <c r="K176" s="65">
        <f>K177+K178+K179+K181+K182++K183+K180+K184</f>
        <v>1290995</v>
      </c>
      <c r="L176" s="65">
        <f t="shared" si="77"/>
        <v>2813920</v>
      </c>
      <c r="M176" s="65">
        <f t="shared" si="77"/>
        <v>2279416</v>
      </c>
      <c r="N176" s="65">
        <f t="shared" si="77"/>
        <v>3300</v>
      </c>
      <c r="O176" s="65">
        <f t="shared" si="77"/>
        <v>1295715</v>
      </c>
      <c r="P176" s="65">
        <f t="shared" si="77"/>
        <v>69170750</v>
      </c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  <c r="IW176" s="39"/>
      <c r="IX176" s="39"/>
      <c r="IY176" s="39"/>
      <c r="IZ176" s="39"/>
      <c r="JA176" s="39"/>
      <c r="JB176" s="39"/>
      <c r="JC176" s="39"/>
      <c r="JD176" s="39"/>
      <c r="JE176" s="39"/>
      <c r="JF176" s="39"/>
      <c r="JG176" s="39"/>
      <c r="JH176" s="39"/>
      <c r="JI176" s="39"/>
      <c r="JJ176" s="39"/>
      <c r="JK176" s="39"/>
      <c r="JL176" s="39"/>
      <c r="JM176" s="39"/>
      <c r="JN176" s="39"/>
      <c r="JO176" s="39"/>
      <c r="JP176" s="39"/>
      <c r="JQ176" s="39"/>
      <c r="JR176" s="39"/>
      <c r="JS176" s="39"/>
      <c r="JT176" s="39"/>
      <c r="JU176" s="39"/>
      <c r="JV176" s="39"/>
      <c r="JW176" s="39"/>
      <c r="JX176" s="39"/>
      <c r="JY176" s="39"/>
      <c r="JZ176" s="39"/>
      <c r="KA176" s="39"/>
      <c r="KB176" s="39"/>
      <c r="KC176" s="39"/>
      <c r="KD176" s="39"/>
      <c r="KE176" s="39"/>
      <c r="KF176" s="39"/>
      <c r="KG176" s="39"/>
      <c r="KH176" s="39"/>
      <c r="KI176" s="39"/>
      <c r="KJ176" s="39"/>
      <c r="KK176" s="39"/>
      <c r="KL176" s="39"/>
      <c r="KM176" s="39"/>
      <c r="KN176" s="39"/>
      <c r="KO176" s="39"/>
      <c r="KP176" s="39"/>
      <c r="KQ176" s="39"/>
      <c r="KR176" s="39"/>
      <c r="KS176" s="39"/>
      <c r="KT176" s="39"/>
      <c r="KU176" s="39"/>
      <c r="KV176" s="39"/>
      <c r="KW176" s="39"/>
      <c r="KX176" s="39"/>
      <c r="KY176" s="39"/>
      <c r="KZ176" s="39"/>
      <c r="LA176" s="39"/>
      <c r="LB176" s="39"/>
      <c r="LC176" s="39"/>
      <c r="LD176" s="39"/>
      <c r="LE176" s="39"/>
      <c r="LF176" s="39"/>
      <c r="LG176" s="39"/>
      <c r="LH176" s="39"/>
      <c r="LI176" s="39"/>
      <c r="LJ176" s="39"/>
      <c r="LK176" s="39"/>
      <c r="LL176" s="39"/>
      <c r="LM176" s="39"/>
      <c r="LN176" s="39"/>
      <c r="LO176" s="39"/>
      <c r="LP176" s="39"/>
      <c r="LQ176" s="39"/>
      <c r="LR176" s="39"/>
      <c r="LS176" s="39"/>
      <c r="LT176" s="39"/>
      <c r="LU176" s="39"/>
      <c r="LV176" s="39"/>
      <c r="LW176" s="39"/>
      <c r="LX176" s="39"/>
      <c r="LY176" s="39"/>
      <c r="LZ176" s="39"/>
      <c r="MA176" s="39"/>
      <c r="MB176" s="39"/>
      <c r="MC176" s="39"/>
      <c r="MD176" s="39"/>
      <c r="ME176" s="39"/>
      <c r="MF176" s="39"/>
      <c r="MG176" s="39"/>
      <c r="MH176" s="39"/>
      <c r="MI176" s="39"/>
      <c r="MJ176" s="39"/>
      <c r="MK176" s="39"/>
      <c r="ML176" s="39"/>
      <c r="MM176" s="39"/>
      <c r="MN176" s="39"/>
      <c r="MO176" s="39"/>
      <c r="MP176" s="39"/>
      <c r="MQ176" s="39"/>
      <c r="MR176" s="39"/>
      <c r="MS176" s="39"/>
      <c r="MT176" s="39"/>
      <c r="MU176" s="39"/>
      <c r="MV176" s="39"/>
      <c r="MW176" s="39"/>
      <c r="MX176" s="39"/>
      <c r="MY176" s="39"/>
      <c r="MZ176" s="39"/>
      <c r="NA176" s="39"/>
      <c r="NB176" s="39"/>
      <c r="NC176" s="39"/>
      <c r="ND176" s="39"/>
      <c r="NE176" s="39"/>
      <c r="NF176" s="39"/>
      <c r="NG176" s="39"/>
      <c r="NH176" s="39"/>
      <c r="NI176" s="39"/>
      <c r="NJ176" s="39"/>
      <c r="NK176" s="39"/>
      <c r="NL176" s="39"/>
      <c r="NM176" s="39"/>
      <c r="NN176" s="39"/>
      <c r="NO176" s="39"/>
      <c r="NP176" s="39"/>
      <c r="NQ176" s="39"/>
      <c r="NR176" s="39"/>
      <c r="NS176" s="39"/>
      <c r="NT176" s="39"/>
      <c r="NU176" s="39"/>
      <c r="NV176" s="39"/>
      <c r="NW176" s="39"/>
      <c r="NX176" s="39"/>
      <c r="NY176" s="39"/>
      <c r="NZ176" s="39"/>
      <c r="OA176" s="39"/>
      <c r="OB176" s="39"/>
      <c r="OC176" s="39"/>
      <c r="OD176" s="39"/>
      <c r="OE176" s="39"/>
      <c r="OF176" s="39"/>
      <c r="OG176" s="39"/>
      <c r="OH176" s="39"/>
      <c r="OI176" s="39"/>
      <c r="OJ176" s="39"/>
      <c r="OK176" s="39"/>
      <c r="OL176" s="39"/>
      <c r="OM176" s="39"/>
      <c r="ON176" s="39"/>
      <c r="OO176" s="39"/>
      <c r="OP176" s="39"/>
      <c r="OQ176" s="39"/>
      <c r="OR176" s="39"/>
      <c r="OS176" s="39"/>
      <c r="OT176" s="39"/>
      <c r="OU176" s="39"/>
      <c r="OV176" s="39"/>
      <c r="OW176" s="39"/>
      <c r="OX176" s="39"/>
      <c r="OY176" s="39"/>
      <c r="OZ176" s="39"/>
      <c r="PA176" s="39"/>
      <c r="PB176" s="39"/>
      <c r="PC176" s="39"/>
      <c r="PD176" s="39"/>
      <c r="PE176" s="39"/>
      <c r="PF176" s="39"/>
      <c r="PG176" s="39"/>
      <c r="PH176" s="39"/>
      <c r="PI176" s="39"/>
      <c r="PJ176" s="39"/>
      <c r="PK176" s="39"/>
      <c r="PL176" s="39"/>
      <c r="PM176" s="39"/>
      <c r="PN176" s="39"/>
      <c r="PO176" s="39"/>
      <c r="PP176" s="39"/>
      <c r="PQ176" s="39"/>
      <c r="PR176" s="39"/>
      <c r="PS176" s="39"/>
      <c r="PT176" s="39"/>
      <c r="PU176" s="39"/>
      <c r="PV176" s="39"/>
      <c r="PW176" s="39"/>
      <c r="PX176" s="39"/>
      <c r="PY176" s="39"/>
      <c r="PZ176" s="39"/>
      <c r="QA176" s="39"/>
      <c r="QB176" s="39"/>
      <c r="QC176" s="39"/>
      <c r="QD176" s="39"/>
      <c r="QE176" s="39"/>
      <c r="QF176" s="39"/>
      <c r="QG176" s="39"/>
      <c r="QH176" s="39"/>
      <c r="QI176" s="39"/>
      <c r="QJ176" s="39"/>
      <c r="QK176" s="39"/>
      <c r="QL176" s="39"/>
      <c r="QM176" s="39"/>
      <c r="QN176" s="39"/>
      <c r="QO176" s="39"/>
      <c r="QP176" s="39"/>
      <c r="QQ176" s="39"/>
      <c r="QR176" s="39"/>
      <c r="QS176" s="39"/>
      <c r="QT176" s="39"/>
      <c r="QU176" s="39"/>
      <c r="QV176" s="39"/>
      <c r="QW176" s="39"/>
      <c r="QX176" s="39"/>
      <c r="QY176" s="39"/>
      <c r="QZ176" s="39"/>
      <c r="RA176" s="39"/>
      <c r="RB176" s="39"/>
      <c r="RC176" s="39"/>
      <c r="RD176" s="39"/>
      <c r="RE176" s="39"/>
      <c r="RF176" s="39"/>
      <c r="RG176" s="39"/>
      <c r="RH176" s="39"/>
      <c r="RI176" s="39"/>
      <c r="RJ176" s="39"/>
      <c r="RK176" s="39"/>
      <c r="RL176" s="39"/>
      <c r="RM176" s="39"/>
      <c r="RN176" s="39"/>
      <c r="RO176" s="39"/>
      <c r="RP176" s="39"/>
      <c r="RQ176" s="39"/>
      <c r="RR176" s="39"/>
      <c r="RS176" s="39"/>
      <c r="RT176" s="39"/>
      <c r="RU176" s="39"/>
      <c r="RV176" s="39"/>
      <c r="RW176" s="39"/>
      <c r="RX176" s="39"/>
      <c r="RY176" s="39"/>
      <c r="RZ176" s="39"/>
      <c r="SA176" s="39"/>
      <c r="SB176" s="39"/>
      <c r="SC176" s="39"/>
      <c r="SD176" s="39"/>
      <c r="SE176" s="39"/>
      <c r="SF176" s="39"/>
      <c r="SG176" s="39"/>
      <c r="SH176" s="39"/>
      <c r="SI176" s="39"/>
      <c r="SJ176" s="39"/>
      <c r="SK176" s="39"/>
      <c r="SL176" s="39"/>
      <c r="SM176" s="39"/>
      <c r="SN176" s="39"/>
      <c r="SO176" s="39"/>
      <c r="SP176" s="39"/>
      <c r="SQ176" s="39"/>
      <c r="SR176" s="39"/>
      <c r="SS176" s="39"/>
      <c r="ST176" s="39"/>
      <c r="SU176" s="39"/>
      <c r="SV176" s="39"/>
      <c r="SW176" s="39"/>
      <c r="SX176" s="39"/>
      <c r="SY176" s="39"/>
      <c r="SZ176" s="39"/>
      <c r="TA176" s="39"/>
      <c r="TB176" s="39"/>
      <c r="TC176" s="39"/>
      <c r="TD176" s="39"/>
      <c r="TE176" s="39"/>
      <c r="TF176" s="39"/>
      <c r="TG176" s="39"/>
      <c r="TH176" s="39"/>
      <c r="TI176" s="39"/>
    </row>
    <row r="177" spans="1:529" s="23" customFormat="1" ht="48" customHeight="1" x14ac:dyDescent="0.25">
      <c r="A177" s="43" t="s">
        <v>150</v>
      </c>
      <c r="B177" s="44" t="str">
        <f>'дод 4'!A20</f>
        <v>0160</v>
      </c>
      <c r="C177" s="44" t="str">
        <f>'дод 4'!B20</f>
        <v>0111</v>
      </c>
      <c r="D177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77" s="66">
        <f t="shared" ref="E177:E184" si="78">F177+I177</f>
        <v>1921000</v>
      </c>
      <c r="F177" s="66">
        <f>1862800+4400-90500+134000-5000+15300</f>
        <v>1921000</v>
      </c>
      <c r="G177" s="66">
        <f>1461200-74200-4100</f>
        <v>1382900</v>
      </c>
      <c r="H177" s="66">
        <v>17700</v>
      </c>
      <c r="I177" s="66"/>
      <c r="J177" s="66">
        <f>L177+O177</f>
        <v>0</v>
      </c>
      <c r="K177" s="66"/>
      <c r="L177" s="66"/>
      <c r="M177" s="66"/>
      <c r="N177" s="66"/>
      <c r="O177" s="66"/>
      <c r="P177" s="66">
        <f t="shared" ref="P177:P184" si="79">E177+J177</f>
        <v>1921000</v>
      </c>
      <c r="Q177" s="26"/>
      <c r="R177" s="166">
        <f>P178+P179+P180+P181+P182+P183+P184</f>
        <v>67249750</v>
      </c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  <c r="IW177" s="26"/>
      <c r="IX177" s="26"/>
      <c r="IY177" s="26"/>
      <c r="IZ177" s="26"/>
      <c r="JA177" s="26"/>
      <c r="JB177" s="26"/>
      <c r="JC177" s="26"/>
      <c r="JD177" s="26"/>
      <c r="JE177" s="26"/>
      <c r="JF177" s="26"/>
      <c r="JG177" s="26"/>
      <c r="JH177" s="26"/>
      <c r="JI177" s="26"/>
      <c r="JJ177" s="26"/>
      <c r="JK177" s="26"/>
      <c r="JL177" s="26"/>
      <c r="JM177" s="26"/>
      <c r="JN177" s="26"/>
      <c r="JO177" s="26"/>
      <c r="JP177" s="26"/>
      <c r="JQ177" s="26"/>
      <c r="JR177" s="26"/>
      <c r="JS177" s="26"/>
      <c r="JT177" s="26"/>
      <c r="JU177" s="26"/>
      <c r="JV177" s="26"/>
      <c r="JW177" s="26"/>
      <c r="JX177" s="26"/>
      <c r="JY177" s="26"/>
      <c r="JZ177" s="26"/>
      <c r="KA177" s="26"/>
      <c r="KB177" s="26"/>
      <c r="KC177" s="26"/>
      <c r="KD177" s="26"/>
      <c r="KE177" s="26"/>
      <c r="KF177" s="26"/>
      <c r="KG177" s="26"/>
      <c r="KH177" s="26"/>
      <c r="KI177" s="26"/>
      <c r="KJ177" s="26"/>
      <c r="KK177" s="26"/>
      <c r="KL177" s="26"/>
      <c r="KM177" s="26"/>
      <c r="KN177" s="26"/>
      <c r="KO177" s="26"/>
      <c r="KP177" s="26"/>
      <c r="KQ177" s="26"/>
      <c r="KR177" s="26"/>
      <c r="KS177" s="26"/>
      <c r="KT177" s="26"/>
      <c r="KU177" s="26"/>
      <c r="KV177" s="26"/>
      <c r="KW177" s="26"/>
      <c r="KX177" s="26"/>
      <c r="KY177" s="26"/>
      <c r="KZ177" s="26"/>
      <c r="LA177" s="26"/>
      <c r="LB177" s="26"/>
      <c r="LC177" s="26"/>
      <c r="LD177" s="26"/>
      <c r="LE177" s="26"/>
      <c r="LF177" s="26"/>
      <c r="LG177" s="26"/>
      <c r="LH177" s="26"/>
      <c r="LI177" s="26"/>
      <c r="LJ177" s="26"/>
      <c r="LK177" s="26"/>
      <c r="LL177" s="26"/>
      <c r="LM177" s="26"/>
      <c r="LN177" s="26"/>
      <c r="LO177" s="26"/>
      <c r="LP177" s="26"/>
      <c r="LQ177" s="26"/>
      <c r="LR177" s="26"/>
      <c r="LS177" s="26"/>
      <c r="LT177" s="26"/>
      <c r="LU177" s="26"/>
      <c r="LV177" s="26"/>
      <c r="LW177" s="26"/>
      <c r="LX177" s="26"/>
      <c r="LY177" s="26"/>
      <c r="LZ177" s="26"/>
      <c r="MA177" s="26"/>
      <c r="MB177" s="26"/>
      <c r="MC177" s="26"/>
      <c r="MD177" s="26"/>
      <c r="ME177" s="26"/>
      <c r="MF177" s="26"/>
      <c r="MG177" s="26"/>
      <c r="MH177" s="26"/>
      <c r="MI177" s="26"/>
      <c r="MJ177" s="26"/>
      <c r="MK177" s="26"/>
      <c r="ML177" s="26"/>
      <c r="MM177" s="26"/>
      <c r="MN177" s="26"/>
      <c r="MO177" s="26"/>
      <c r="MP177" s="26"/>
      <c r="MQ177" s="26"/>
      <c r="MR177" s="26"/>
      <c r="MS177" s="26"/>
      <c r="MT177" s="26"/>
      <c r="MU177" s="26"/>
      <c r="MV177" s="26"/>
      <c r="MW177" s="26"/>
      <c r="MX177" s="26"/>
      <c r="MY177" s="26"/>
      <c r="MZ177" s="26"/>
      <c r="NA177" s="26"/>
      <c r="NB177" s="26"/>
      <c r="NC177" s="26"/>
      <c r="ND177" s="26"/>
      <c r="NE177" s="26"/>
      <c r="NF177" s="26"/>
      <c r="NG177" s="26"/>
      <c r="NH177" s="26"/>
      <c r="NI177" s="26"/>
      <c r="NJ177" s="26"/>
      <c r="NK177" s="26"/>
      <c r="NL177" s="26"/>
      <c r="NM177" s="26"/>
      <c r="NN177" s="26"/>
      <c r="NO177" s="26"/>
      <c r="NP177" s="26"/>
      <c r="NQ177" s="26"/>
      <c r="NR177" s="26"/>
      <c r="NS177" s="26"/>
      <c r="NT177" s="26"/>
      <c r="NU177" s="26"/>
      <c r="NV177" s="26"/>
      <c r="NW177" s="26"/>
      <c r="NX177" s="26"/>
      <c r="NY177" s="26"/>
      <c r="NZ177" s="26"/>
      <c r="OA177" s="26"/>
      <c r="OB177" s="26"/>
      <c r="OC177" s="26"/>
      <c r="OD177" s="26"/>
      <c r="OE177" s="26"/>
      <c r="OF177" s="26"/>
      <c r="OG177" s="26"/>
      <c r="OH177" s="26"/>
      <c r="OI177" s="26"/>
      <c r="OJ177" s="26"/>
      <c r="OK177" s="26"/>
      <c r="OL177" s="26"/>
      <c r="OM177" s="26"/>
      <c r="ON177" s="26"/>
      <c r="OO177" s="26"/>
      <c r="OP177" s="26"/>
      <c r="OQ177" s="26"/>
      <c r="OR177" s="26"/>
      <c r="OS177" s="26"/>
      <c r="OT177" s="26"/>
      <c r="OU177" s="26"/>
      <c r="OV177" s="26"/>
      <c r="OW177" s="26"/>
      <c r="OX177" s="26"/>
      <c r="OY177" s="26"/>
      <c r="OZ177" s="26"/>
      <c r="PA177" s="26"/>
      <c r="PB177" s="26"/>
      <c r="PC177" s="26"/>
      <c r="PD177" s="26"/>
      <c r="PE177" s="26"/>
      <c r="PF177" s="26"/>
      <c r="PG177" s="26"/>
      <c r="PH177" s="26"/>
      <c r="PI177" s="26"/>
      <c r="PJ177" s="26"/>
      <c r="PK177" s="26"/>
      <c r="PL177" s="26"/>
      <c r="PM177" s="26"/>
      <c r="PN177" s="26"/>
      <c r="PO177" s="26"/>
      <c r="PP177" s="26"/>
      <c r="PQ177" s="26"/>
      <c r="PR177" s="26"/>
      <c r="PS177" s="26"/>
      <c r="PT177" s="26"/>
      <c r="PU177" s="26"/>
      <c r="PV177" s="26"/>
      <c r="PW177" s="26"/>
      <c r="PX177" s="26"/>
      <c r="PY177" s="26"/>
      <c r="PZ177" s="26"/>
      <c r="QA177" s="26"/>
      <c r="QB177" s="26"/>
      <c r="QC177" s="26"/>
      <c r="QD177" s="26"/>
      <c r="QE177" s="26"/>
      <c r="QF177" s="26"/>
      <c r="QG177" s="26"/>
      <c r="QH177" s="26"/>
      <c r="QI177" s="26"/>
      <c r="QJ177" s="26"/>
      <c r="QK177" s="26"/>
      <c r="QL177" s="26"/>
      <c r="QM177" s="26"/>
      <c r="QN177" s="26"/>
      <c r="QO177" s="26"/>
      <c r="QP177" s="26"/>
      <c r="QQ177" s="26"/>
      <c r="QR177" s="26"/>
      <c r="QS177" s="26"/>
      <c r="QT177" s="26"/>
      <c r="QU177" s="26"/>
      <c r="QV177" s="26"/>
      <c r="QW177" s="26"/>
      <c r="QX177" s="26"/>
      <c r="QY177" s="26"/>
      <c r="QZ177" s="26"/>
      <c r="RA177" s="26"/>
      <c r="RB177" s="26"/>
      <c r="RC177" s="26"/>
      <c r="RD177" s="26"/>
      <c r="RE177" s="26"/>
      <c r="RF177" s="26"/>
      <c r="RG177" s="26"/>
      <c r="RH177" s="26"/>
      <c r="RI177" s="26"/>
      <c r="RJ177" s="26"/>
      <c r="RK177" s="26"/>
      <c r="RL177" s="26"/>
      <c r="RM177" s="26"/>
      <c r="RN177" s="26"/>
      <c r="RO177" s="26"/>
      <c r="RP177" s="26"/>
      <c r="RQ177" s="26"/>
      <c r="RR177" s="26"/>
      <c r="RS177" s="26"/>
      <c r="RT177" s="26"/>
      <c r="RU177" s="26"/>
      <c r="RV177" s="26"/>
      <c r="RW177" s="26"/>
      <c r="RX177" s="26"/>
      <c r="RY177" s="26"/>
      <c r="RZ177" s="26"/>
      <c r="SA177" s="26"/>
      <c r="SB177" s="26"/>
      <c r="SC177" s="26"/>
      <c r="SD177" s="26"/>
      <c r="SE177" s="26"/>
      <c r="SF177" s="26"/>
      <c r="SG177" s="26"/>
      <c r="SH177" s="26"/>
      <c r="SI177" s="26"/>
      <c r="SJ177" s="26"/>
      <c r="SK177" s="26"/>
      <c r="SL177" s="26"/>
      <c r="SM177" s="26"/>
      <c r="SN177" s="26"/>
      <c r="SO177" s="26"/>
      <c r="SP177" s="26"/>
      <c r="SQ177" s="26"/>
      <c r="SR177" s="26"/>
      <c r="SS177" s="26"/>
      <c r="ST177" s="26"/>
      <c r="SU177" s="26"/>
      <c r="SV177" s="26"/>
      <c r="SW177" s="26"/>
      <c r="SX177" s="26"/>
      <c r="SY177" s="26"/>
      <c r="SZ177" s="26"/>
      <c r="TA177" s="26"/>
      <c r="TB177" s="26"/>
      <c r="TC177" s="26"/>
      <c r="TD177" s="26"/>
      <c r="TE177" s="26"/>
      <c r="TF177" s="26"/>
      <c r="TG177" s="26"/>
      <c r="TH177" s="26"/>
      <c r="TI177" s="26"/>
    </row>
    <row r="178" spans="1:529" s="23" customFormat="1" ht="22.5" customHeight="1" x14ac:dyDescent="0.25">
      <c r="A178" s="43" t="s">
        <v>240</v>
      </c>
      <c r="B178" s="44" t="str">
        <f>'дод 4'!A43</f>
        <v>1100</v>
      </c>
      <c r="C178" s="44" t="str">
        <f>'дод 4'!B43</f>
        <v>0960</v>
      </c>
      <c r="D178" s="24" t="str">
        <f>'дод 4'!C43</f>
        <v>Надання спеціальної освіти мистецькими школами</v>
      </c>
      <c r="E178" s="66">
        <f t="shared" si="78"/>
        <v>39034600</v>
      </c>
      <c r="F178" s="66">
        <f>38963600+75000+63000+13000-80000</f>
        <v>39034600</v>
      </c>
      <c r="G178" s="66">
        <v>30830000</v>
      </c>
      <c r="H178" s="66">
        <f>793600-80000</f>
        <v>713600</v>
      </c>
      <c r="I178" s="66"/>
      <c r="J178" s="66">
        <f t="shared" ref="J178:J184" si="80">L178+O178</f>
        <v>3336640</v>
      </c>
      <c r="K178" s="66">
        <f>100000+400000+7000+5000+30000+15000</f>
        <v>557000</v>
      </c>
      <c r="L178" s="66">
        <v>2774920</v>
      </c>
      <c r="M178" s="66">
        <v>2267316</v>
      </c>
      <c r="N178" s="66"/>
      <c r="O178" s="66">
        <f>4720+500000+7000+5000+30000+15000</f>
        <v>561720</v>
      </c>
      <c r="P178" s="66">
        <f t="shared" si="79"/>
        <v>42371240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  <c r="IW178" s="26"/>
      <c r="IX178" s="26"/>
      <c r="IY178" s="26"/>
      <c r="IZ178" s="26"/>
      <c r="JA178" s="26"/>
      <c r="JB178" s="26"/>
      <c r="JC178" s="26"/>
      <c r="JD178" s="26"/>
      <c r="JE178" s="26"/>
      <c r="JF178" s="26"/>
      <c r="JG178" s="26"/>
      <c r="JH178" s="26"/>
      <c r="JI178" s="26"/>
      <c r="JJ178" s="26"/>
      <c r="JK178" s="26"/>
      <c r="JL178" s="26"/>
      <c r="JM178" s="26"/>
      <c r="JN178" s="26"/>
      <c r="JO178" s="26"/>
      <c r="JP178" s="26"/>
      <c r="JQ178" s="26"/>
      <c r="JR178" s="26"/>
      <c r="JS178" s="26"/>
      <c r="JT178" s="26"/>
      <c r="JU178" s="26"/>
      <c r="JV178" s="26"/>
      <c r="JW178" s="26"/>
      <c r="JX178" s="26"/>
      <c r="JY178" s="26"/>
      <c r="JZ178" s="26"/>
      <c r="KA178" s="26"/>
      <c r="KB178" s="26"/>
      <c r="KC178" s="26"/>
      <c r="KD178" s="26"/>
      <c r="KE178" s="26"/>
      <c r="KF178" s="26"/>
      <c r="KG178" s="26"/>
      <c r="KH178" s="26"/>
      <c r="KI178" s="26"/>
      <c r="KJ178" s="26"/>
      <c r="KK178" s="26"/>
      <c r="KL178" s="26"/>
      <c r="KM178" s="26"/>
      <c r="KN178" s="26"/>
      <c r="KO178" s="26"/>
      <c r="KP178" s="26"/>
      <c r="KQ178" s="26"/>
      <c r="KR178" s="26"/>
      <c r="KS178" s="26"/>
      <c r="KT178" s="26"/>
      <c r="KU178" s="26"/>
      <c r="KV178" s="26"/>
      <c r="KW178" s="26"/>
      <c r="KX178" s="26"/>
      <c r="KY178" s="26"/>
      <c r="KZ178" s="26"/>
      <c r="LA178" s="26"/>
      <c r="LB178" s="26"/>
      <c r="LC178" s="26"/>
      <c r="LD178" s="26"/>
      <c r="LE178" s="26"/>
      <c r="LF178" s="26"/>
      <c r="LG178" s="26"/>
      <c r="LH178" s="26"/>
      <c r="LI178" s="26"/>
      <c r="LJ178" s="26"/>
      <c r="LK178" s="26"/>
      <c r="LL178" s="26"/>
      <c r="LM178" s="26"/>
      <c r="LN178" s="26"/>
      <c r="LO178" s="26"/>
      <c r="LP178" s="26"/>
      <c r="LQ178" s="26"/>
      <c r="LR178" s="26"/>
      <c r="LS178" s="26"/>
      <c r="LT178" s="26"/>
      <c r="LU178" s="26"/>
      <c r="LV178" s="26"/>
      <c r="LW178" s="26"/>
      <c r="LX178" s="26"/>
      <c r="LY178" s="26"/>
      <c r="LZ178" s="26"/>
      <c r="MA178" s="26"/>
      <c r="MB178" s="26"/>
      <c r="MC178" s="26"/>
      <c r="MD178" s="26"/>
      <c r="ME178" s="26"/>
      <c r="MF178" s="26"/>
      <c r="MG178" s="26"/>
      <c r="MH178" s="26"/>
      <c r="MI178" s="26"/>
      <c r="MJ178" s="26"/>
      <c r="MK178" s="26"/>
      <c r="ML178" s="26"/>
      <c r="MM178" s="26"/>
      <c r="MN178" s="26"/>
      <c r="MO178" s="26"/>
      <c r="MP178" s="26"/>
      <c r="MQ178" s="26"/>
      <c r="MR178" s="26"/>
      <c r="MS178" s="26"/>
      <c r="MT178" s="26"/>
      <c r="MU178" s="26"/>
      <c r="MV178" s="26"/>
      <c r="MW178" s="26"/>
      <c r="MX178" s="26"/>
      <c r="MY178" s="26"/>
      <c r="MZ178" s="26"/>
      <c r="NA178" s="26"/>
      <c r="NB178" s="26"/>
      <c r="NC178" s="26"/>
      <c r="ND178" s="26"/>
      <c r="NE178" s="26"/>
      <c r="NF178" s="26"/>
      <c r="NG178" s="26"/>
      <c r="NH178" s="26"/>
      <c r="NI178" s="26"/>
      <c r="NJ178" s="26"/>
      <c r="NK178" s="26"/>
      <c r="NL178" s="26"/>
      <c r="NM178" s="26"/>
      <c r="NN178" s="26"/>
      <c r="NO178" s="26"/>
      <c r="NP178" s="26"/>
      <c r="NQ178" s="26"/>
      <c r="NR178" s="26"/>
      <c r="NS178" s="26"/>
      <c r="NT178" s="26"/>
      <c r="NU178" s="26"/>
      <c r="NV178" s="26"/>
      <c r="NW178" s="26"/>
      <c r="NX178" s="26"/>
      <c r="NY178" s="26"/>
      <c r="NZ178" s="26"/>
      <c r="OA178" s="26"/>
      <c r="OB178" s="26"/>
      <c r="OC178" s="26"/>
      <c r="OD178" s="26"/>
      <c r="OE178" s="26"/>
      <c r="OF178" s="26"/>
      <c r="OG178" s="26"/>
      <c r="OH178" s="26"/>
      <c r="OI178" s="26"/>
      <c r="OJ178" s="26"/>
      <c r="OK178" s="26"/>
      <c r="OL178" s="26"/>
      <c r="OM178" s="26"/>
      <c r="ON178" s="26"/>
      <c r="OO178" s="26"/>
      <c r="OP178" s="26"/>
      <c r="OQ178" s="26"/>
      <c r="OR178" s="26"/>
      <c r="OS178" s="26"/>
      <c r="OT178" s="26"/>
      <c r="OU178" s="26"/>
      <c r="OV178" s="26"/>
      <c r="OW178" s="26"/>
      <c r="OX178" s="26"/>
      <c r="OY178" s="26"/>
      <c r="OZ178" s="26"/>
      <c r="PA178" s="26"/>
      <c r="PB178" s="26"/>
      <c r="PC178" s="26"/>
      <c r="PD178" s="26"/>
      <c r="PE178" s="26"/>
      <c r="PF178" s="26"/>
      <c r="PG178" s="26"/>
      <c r="PH178" s="26"/>
      <c r="PI178" s="26"/>
      <c r="PJ178" s="26"/>
      <c r="PK178" s="26"/>
      <c r="PL178" s="26"/>
      <c r="PM178" s="26"/>
      <c r="PN178" s="26"/>
      <c r="PO178" s="26"/>
      <c r="PP178" s="26"/>
      <c r="PQ178" s="26"/>
      <c r="PR178" s="26"/>
      <c r="PS178" s="26"/>
      <c r="PT178" s="26"/>
      <c r="PU178" s="26"/>
      <c r="PV178" s="26"/>
      <c r="PW178" s="26"/>
      <c r="PX178" s="26"/>
      <c r="PY178" s="26"/>
      <c r="PZ178" s="26"/>
      <c r="QA178" s="26"/>
      <c r="QB178" s="26"/>
      <c r="QC178" s="26"/>
      <c r="QD178" s="26"/>
      <c r="QE178" s="26"/>
      <c r="QF178" s="26"/>
      <c r="QG178" s="26"/>
      <c r="QH178" s="26"/>
      <c r="QI178" s="26"/>
      <c r="QJ178" s="26"/>
      <c r="QK178" s="26"/>
      <c r="QL178" s="26"/>
      <c r="QM178" s="26"/>
      <c r="QN178" s="26"/>
      <c r="QO178" s="26"/>
      <c r="QP178" s="26"/>
      <c r="QQ178" s="26"/>
      <c r="QR178" s="26"/>
      <c r="QS178" s="26"/>
      <c r="QT178" s="26"/>
      <c r="QU178" s="26"/>
      <c r="QV178" s="26"/>
      <c r="QW178" s="26"/>
      <c r="QX178" s="26"/>
      <c r="QY178" s="26"/>
      <c r="QZ178" s="26"/>
      <c r="RA178" s="26"/>
      <c r="RB178" s="26"/>
      <c r="RC178" s="26"/>
      <c r="RD178" s="26"/>
      <c r="RE178" s="26"/>
      <c r="RF178" s="26"/>
      <c r="RG178" s="26"/>
      <c r="RH178" s="26"/>
      <c r="RI178" s="26"/>
      <c r="RJ178" s="26"/>
      <c r="RK178" s="26"/>
      <c r="RL178" s="26"/>
      <c r="RM178" s="26"/>
      <c r="RN178" s="26"/>
      <c r="RO178" s="26"/>
      <c r="RP178" s="26"/>
      <c r="RQ178" s="26"/>
      <c r="RR178" s="26"/>
      <c r="RS178" s="26"/>
      <c r="RT178" s="26"/>
      <c r="RU178" s="26"/>
      <c r="RV178" s="26"/>
      <c r="RW178" s="26"/>
      <c r="RX178" s="26"/>
      <c r="RY178" s="26"/>
      <c r="RZ178" s="26"/>
      <c r="SA178" s="26"/>
      <c r="SB178" s="26"/>
      <c r="SC178" s="26"/>
      <c r="SD178" s="26"/>
      <c r="SE178" s="26"/>
      <c r="SF178" s="26"/>
      <c r="SG178" s="26"/>
      <c r="SH178" s="26"/>
      <c r="SI178" s="26"/>
      <c r="SJ178" s="26"/>
      <c r="SK178" s="26"/>
      <c r="SL178" s="26"/>
      <c r="SM178" s="26"/>
      <c r="SN178" s="26"/>
      <c r="SO178" s="26"/>
      <c r="SP178" s="26"/>
      <c r="SQ178" s="26"/>
      <c r="SR178" s="26"/>
      <c r="SS178" s="26"/>
      <c r="ST178" s="26"/>
      <c r="SU178" s="26"/>
      <c r="SV178" s="26"/>
      <c r="SW178" s="26"/>
      <c r="SX178" s="26"/>
      <c r="SY178" s="26"/>
      <c r="SZ178" s="26"/>
      <c r="TA178" s="26"/>
      <c r="TB178" s="26"/>
      <c r="TC178" s="26"/>
      <c r="TD178" s="26"/>
      <c r="TE178" s="26"/>
      <c r="TF178" s="26"/>
      <c r="TG178" s="26"/>
      <c r="TH178" s="26"/>
      <c r="TI178" s="26"/>
    </row>
    <row r="179" spans="1:529" s="23" customFormat="1" ht="21" customHeight="1" x14ac:dyDescent="0.25">
      <c r="A179" s="43" t="s">
        <v>210</v>
      </c>
      <c r="B179" s="44" t="str">
        <f>'дод 4'!A112</f>
        <v>4030</v>
      </c>
      <c r="C179" s="44" t="str">
        <f>'дод 4'!B112</f>
        <v>0824</v>
      </c>
      <c r="D179" s="24" t="str">
        <f>'дод 4'!C112</f>
        <v>Забезпечення діяльності бібліотек</v>
      </c>
      <c r="E179" s="66">
        <f t="shared" si="78"/>
        <v>19198964</v>
      </c>
      <c r="F179" s="66">
        <f>19098200+20000+169535+7000+8350-18671+18550-119000+15000</f>
        <v>19198964</v>
      </c>
      <c r="G179" s="66">
        <f>13804000-15304</f>
        <v>13788696</v>
      </c>
      <c r="H179" s="66">
        <f>1346200-119000</f>
        <v>1227200</v>
      </c>
      <c r="I179" s="66"/>
      <c r="J179" s="66">
        <f t="shared" si="80"/>
        <v>346795</v>
      </c>
      <c r="K179" s="66">
        <f>100000+216795</f>
        <v>316795</v>
      </c>
      <c r="L179" s="66">
        <v>30000</v>
      </c>
      <c r="M179" s="66">
        <v>12100</v>
      </c>
      <c r="N179" s="66"/>
      <c r="O179" s="66">
        <f>100000+216795</f>
        <v>316795</v>
      </c>
      <c r="P179" s="66">
        <f t="shared" si="79"/>
        <v>19545759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  <c r="IW179" s="26"/>
      <c r="IX179" s="26"/>
      <c r="IY179" s="26"/>
      <c r="IZ179" s="26"/>
      <c r="JA179" s="26"/>
      <c r="JB179" s="26"/>
      <c r="JC179" s="26"/>
      <c r="JD179" s="26"/>
      <c r="JE179" s="26"/>
      <c r="JF179" s="26"/>
      <c r="JG179" s="26"/>
      <c r="JH179" s="26"/>
      <c r="JI179" s="26"/>
      <c r="JJ179" s="26"/>
      <c r="JK179" s="26"/>
      <c r="JL179" s="26"/>
      <c r="JM179" s="26"/>
      <c r="JN179" s="26"/>
      <c r="JO179" s="26"/>
      <c r="JP179" s="26"/>
      <c r="JQ179" s="26"/>
      <c r="JR179" s="26"/>
      <c r="JS179" s="26"/>
      <c r="JT179" s="26"/>
      <c r="JU179" s="26"/>
      <c r="JV179" s="26"/>
      <c r="JW179" s="26"/>
      <c r="JX179" s="26"/>
      <c r="JY179" s="26"/>
      <c r="JZ179" s="26"/>
      <c r="KA179" s="26"/>
      <c r="KB179" s="26"/>
      <c r="KC179" s="26"/>
      <c r="KD179" s="26"/>
      <c r="KE179" s="26"/>
      <c r="KF179" s="26"/>
      <c r="KG179" s="26"/>
      <c r="KH179" s="26"/>
      <c r="KI179" s="26"/>
      <c r="KJ179" s="26"/>
      <c r="KK179" s="26"/>
      <c r="KL179" s="26"/>
      <c r="KM179" s="26"/>
      <c r="KN179" s="26"/>
      <c r="KO179" s="26"/>
      <c r="KP179" s="26"/>
      <c r="KQ179" s="26"/>
      <c r="KR179" s="26"/>
      <c r="KS179" s="26"/>
      <c r="KT179" s="26"/>
      <c r="KU179" s="26"/>
      <c r="KV179" s="26"/>
      <c r="KW179" s="26"/>
      <c r="KX179" s="26"/>
      <c r="KY179" s="26"/>
      <c r="KZ179" s="26"/>
      <c r="LA179" s="26"/>
      <c r="LB179" s="26"/>
      <c r="LC179" s="26"/>
      <c r="LD179" s="26"/>
      <c r="LE179" s="26"/>
      <c r="LF179" s="26"/>
      <c r="LG179" s="26"/>
      <c r="LH179" s="26"/>
      <c r="LI179" s="26"/>
      <c r="LJ179" s="26"/>
      <c r="LK179" s="26"/>
      <c r="LL179" s="26"/>
      <c r="LM179" s="26"/>
      <c r="LN179" s="26"/>
      <c r="LO179" s="26"/>
      <c r="LP179" s="26"/>
      <c r="LQ179" s="26"/>
      <c r="LR179" s="26"/>
      <c r="LS179" s="26"/>
      <c r="LT179" s="26"/>
      <c r="LU179" s="26"/>
      <c r="LV179" s="26"/>
      <c r="LW179" s="26"/>
      <c r="LX179" s="26"/>
      <c r="LY179" s="26"/>
      <c r="LZ179" s="26"/>
      <c r="MA179" s="26"/>
      <c r="MB179" s="26"/>
      <c r="MC179" s="26"/>
      <c r="MD179" s="26"/>
      <c r="ME179" s="26"/>
      <c r="MF179" s="26"/>
      <c r="MG179" s="26"/>
      <c r="MH179" s="26"/>
      <c r="MI179" s="26"/>
      <c r="MJ179" s="26"/>
      <c r="MK179" s="26"/>
      <c r="ML179" s="26"/>
      <c r="MM179" s="26"/>
      <c r="MN179" s="26"/>
      <c r="MO179" s="26"/>
      <c r="MP179" s="26"/>
      <c r="MQ179" s="26"/>
      <c r="MR179" s="26"/>
      <c r="MS179" s="26"/>
      <c r="MT179" s="26"/>
      <c r="MU179" s="26"/>
      <c r="MV179" s="26"/>
      <c r="MW179" s="26"/>
      <c r="MX179" s="26"/>
      <c r="MY179" s="26"/>
      <c r="MZ179" s="26"/>
      <c r="NA179" s="26"/>
      <c r="NB179" s="26"/>
      <c r="NC179" s="26"/>
      <c r="ND179" s="26"/>
      <c r="NE179" s="26"/>
      <c r="NF179" s="26"/>
      <c r="NG179" s="26"/>
      <c r="NH179" s="26"/>
      <c r="NI179" s="26"/>
      <c r="NJ179" s="26"/>
      <c r="NK179" s="26"/>
      <c r="NL179" s="26"/>
      <c r="NM179" s="26"/>
      <c r="NN179" s="26"/>
      <c r="NO179" s="26"/>
      <c r="NP179" s="26"/>
      <c r="NQ179" s="26"/>
      <c r="NR179" s="26"/>
      <c r="NS179" s="26"/>
      <c r="NT179" s="26"/>
      <c r="NU179" s="26"/>
      <c r="NV179" s="26"/>
      <c r="NW179" s="26"/>
      <c r="NX179" s="26"/>
      <c r="NY179" s="26"/>
      <c r="NZ179" s="26"/>
      <c r="OA179" s="26"/>
      <c r="OB179" s="26"/>
      <c r="OC179" s="26"/>
      <c r="OD179" s="26"/>
      <c r="OE179" s="26"/>
      <c r="OF179" s="26"/>
      <c r="OG179" s="26"/>
      <c r="OH179" s="26"/>
      <c r="OI179" s="26"/>
      <c r="OJ179" s="26"/>
      <c r="OK179" s="26"/>
      <c r="OL179" s="26"/>
      <c r="OM179" s="26"/>
      <c r="ON179" s="26"/>
      <c r="OO179" s="26"/>
      <c r="OP179" s="26"/>
      <c r="OQ179" s="26"/>
      <c r="OR179" s="26"/>
      <c r="OS179" s="26"/>
      <c r="OT179" s="26"/>
      <c r="OU179" s="26"/>
      <c r="OV179" s="26"/>
      <c r="OW179" s="26"/>
      <c r="OX179" s="26"/>
      <c r="OY179" s="26"/>
      <c r="OZ179" s="26"/>
      <c r="PA179" s="26"/>
      <c r="PB179" s="26"/>
      <c r="PC179" s="26"/>
      <c r="PD179" s="26"/>
      <c r="PE179" s="26"/>
      <c r="PF179" s="26"/>
      <c r="PG179" s="26"/>
      <c r="PH179" s="26"/>
      <c r="PI179" s="26"/>
      <c r="PJ179" s="26"/>
      <c r="PK179" s="26"/>
      <c r="PL179" s="26"/>
      <c r="PM179" s="26"/>
      <c r="PN179" s="26"/>
      <c r="PO179" s="26"/>
      <c r="PP179" s="26"/>
      <c r="PQ179" s="26"/>
      <c r="PR179" s="26"/>
      <c r="PS179" s="26"/>
      <c r="PT179" s="26"/>
      <c r="PU179" s="26"/>
      <c r="PV179" s="26"/>
      <c r="PW179" s="26"/>
      <c r="PX179" s="26"/>
      <c r="PY179" s="26"/>
      <c r="PZ179" s="26"/>
      <c r="QA179" s="26"/>
      <c r="QB179" s="26"/>
      <c r="QC179" s="26"/>
      <c r="QD179" s="26"/>
      <c r="QE179" s="26"/>
      <c r="QF179" s="26"/>
      <c r="QG179" s="26"/>
      <c r="QH179" s="26"/>
      <c r="QI179" s="26"/>
      <c r="QJ179" s="26"/>
      <c r="QK179" s="26"/>
      <c r="QL179" s="26"/>
      <c r="QM179" s="26"/>
      <c r="QN179" s="26"/>
      <c r="QO179" s="26"/>
      <c r="QP179" s="26"/>
      <c r="QQ179" s="26"/>
      <c r="QR179" s="26"/>
      <c r="QS179" s="26"/>
      <c r="QT179" s="26"/>
      <c r="QU179" s="26"/>
      <c r="QV179" s="26"/>
      <c r="QW179" s="26"/>
      <c r="QX179" s="26"/>
      <c r="QY179" s="26"/>
      <c r="QZ179" s="26"/>
      <c r="RA179" s="26"/>
      <c r="RB179" s="26"/>
      <c r="RC179" s="26"/>
      <c r="RD179" s="26"/>
      <c r="RE179" s="26"/>
      <c r="RF179" s="26"/>
      <c r="RG179" s="26"/>
      <c r="RH179" s="26"/>
      <c r="RI179" s="26"/>
      <c r="RJ179" s="26"/>
      <c r="RK179" s="26"/>
      <c r="RL179" s="26"/>
      <c r="RM179" s="26"/>
      <c r="RN179" s="26"/>
      <c r="RO179" s="26"/>
      <c r="RP179" s="26"/>
      <c r="RQ179" s="26"/>
      <c r="RR179" s="26"/>
      <c r="RS179" s="26"/>
      <c r="RT179" s="26"/>
      <c r="RU179" s="26"/>
      <c r="RV179" s="26"/>
      <c r="RW179" s="26"/>
      <c r="RX179" s="26"/>
      <c r="RY179" s="26"/>
      <c r="RZ179" s="26"/>
      <c r="SA179" s="26"/>
      <c r="SB179" s="26"/>
      <c r="SC179" s="26"/>
      <c r="SD179" s="26"/>
      <c r="SE179" s="26"/>
      <c r="SF179" s="26"/>
      <c r="SG179" s="26"/>
      <c r="SH179" s="26"/>
      <c r="SI179" s="26"/>
      <c r="SJ179" s="26"/>
      <c r="SK179" s="26"/>
      <c r="SL179" s="26"/>
      <c r="SM179" s="26"/>
      <c r="SN179" s="26"/>
      <c r="SO179" s="26"/>
      <c r="SP179" s="26"/>
      <c r="SQ179" s="26"/>
      <c r="SR179" s="26"/>
      <c r="SS179" s="26"/>
      <c r="ST179" s="26"/>
      <c r="SU179" s="26"/>
      <c r="SV179" s="26"/>
      <c r="SW179" s="26"/>
      <c r="SX179" s="26"/>
      <c r="SY179" s="26"/>
      <c r="SZ179" s="26"/>
      <c r="TA179" s="26"/>
      <c r="TB179" s="26"/>
      <c r="TC179" s="26"/>
      <c r="TD179" s="26"/>
      <c r="TE179" s="26"/>
      <c r="TF179" s="26"/>
      <c r="TG179" s="26"/>
      <c r="TH179" s="26"/>
      <c r="TI179" s="26"/>
    </row>
    <row r="180" spans="1:529" s="23" customFormat="1" ht="27.75" customHeight="1" x14ac:dyDescent="0.25">
      <c r="A180" s="43">
        <v>1014060</v>
      </c>
      <c r="B180" s="44" t="str">
        <f>'дод 4'!A113</f>
        <v>4060</v>
      </c>
      <c r="C180" s="44" t="str">
        <f>'дод 4'!B113</f>
        <v>0828</v>
      </c>
      <c r="D180" s="24" t="str">
        <f>'дод 4'!C113</f>
        <v>Забезпечення діяльності палаців i будинків культури, клубів, центрів дозвілля та iнших клубних закладів</v>
      </c>
      <c r="E180" s="66">
        <f t="shared" si="78"/>
        <v>628280</v>
      </c>
      <c r="F180" s="66">
        <f>546680+61800+19800</f>
        <v>628280</v>
      </c>
      <c r="G180" s="66">
        <v>424400</v>
      </c>
      <c r="H180" s="66">
        <v>11360</v>
      </c>
      <c r="I180" s="66"/>
      <c r="J180" s="66">
        <f t="shared" si="80"/>
        <v>27200</v>
      </c>
      <c r="K180" s="66">
        <v>21200</v>
      </c>
      <c r="L180" s="66">
        <v>6000</v>
      </c>
      <c r="M180" s="66"/>
      <c r="N180" s="66">
        <v>3300</v>
      </c>
      <c r="O180" s="66">
        <v>21200</v>
      </c>
      <c r="P180" s="66">
        <f t="shared" si="79"/>
        <v>655480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  <c r="IW180" s="26"/>
      <c r="IX180" s="26"/>
      <c r="IY180" s="26"/>
      <c r="IZ180" s="26"/>
      <c r="JA180" s="26"/>
      <c r="JB180" s="26"/>
      <c r="JC180" s="26"/>
      <c r="JD180" s="26"/>
      <c r="JE180" s="26"/>
      <c r="JF180" s="26"/>
      <c r="JG180" s="26"/>
      <c r="JH180" s="26"/>
      <c r="JI180" s="26"/>
      <c r="JJ180" s="26"/>
      <c r="JK180" s="26"/>
      <c r="JL180" s="26"/>
      <c r="JM180" s="26"/>
      <c r="JN180" s="26"/>
      <c r="JO180" s="26"/>
      <c r="JP180" s="26"/>
      <c r="JQ180" s="26"/>
      <c r="JR180" s="26"/>
      <c r="JS180" s="26"/>
      <c r="JT180" s="26"/>
      <c r="JU180" s="26"/>
      <c r="JV180" s="26"/>
      <c r="JW180" s="26"/>
      <c r="JX180" s="26"/>
      <c r="JY180" s="26"/>
      <c r="JZ180" s="26"/>
      <c r="KA180" s="26"/>
      <c r="KB180" s="26"/>
      <c r="KC180" s="26"/>
      <c r="KD180" s="26"/>
      <c r="KE180" s="26"/>
      <c r="KF180" s="26"/>
      <c r="KG180" s="26"/>
      <c r="KH180" s="26"/>
      <c r="KI180" s="26"/>
      <c r="KJ180" s="26"/>
      <c r="KK180" s="26"/>
      <c r="KL180" s="26"/>
      <c r="KM180" s="26"/>
      <c r="KN180" s="26"/>
      <c r="KO180" s="26"/>
      <c r="KP180" s="26"/>
      <c r="KQ180" s="26"/>
      <c r="KR180" s="26"/>
      <c r="KS180" s="26"/>
      <c r="KT180" s="26"/>
      <c r="KU180" s="26"/>
      <c r="KV180" s="26"/>
      <c r="KW180" s="26"/>
      <c r="KX180" s="26"/>
      <c r="KY180" s="26"/>
      <c r="KZ180" s="26"/>
      <c r="LA180" s="26"/>
      <c r="LB180" s="26"/>
      <c r="LC180" s="26"/>
      <c r="LD180" s="26"/>
      <c r="LE180" s="26"/>
      <c r="LF180" s="26"/>
      <c r="LG180" s="26"/>
      <c r="LH180" s="26"/>
      <c r="LI180" s="26"/>
      <c r="LJ180" s="26"/>
      <c r="LK180" s="26"/>
      <c r="LL180" s="26"/>
      <c r="LM180" s="26"/>
      <c r="LN180" s="26"/>
      <c r="LO180" s="26"/>
      <c r="LP180" s="26"/>
      <c r="LQ180" s="26"/>
      <c r="LR180" s="26"/>
      <c r="LS180" s="26"/>
      <c r="LT180" s="26"/>
      <c r="LU180" s="26"/>
      <c r="LV180" s="26"/>
      <c r="LW180" s="26"/>
      <c r="LX180" s="26"/>
      <c r="LY180" s="26"/>
      <c r="LZ180" s="26"/>
      <c r="MA180" s="26"/>
      <c r="MB180" s="26"/>
      <c r="MC180" s="26"/>
      <c r="MD180" s="26"/>
      <c r="ME180" s="26"/>
      <c r="MF180" s="26"/>
      <c r="MG180" s="26"/>
      <c r="MH180" s="26"/>
      <c r="MI180" s="26"/>
      <c r="MJ180" s="26"/>
      <c r="MK180" s="26"/>
      <c r="ML180" s="26"/>
      <c r="MM180" s="26"/>
      <c r="MN180" s="26"/>
      <c r="MO180" s="26"/>
      <c r="MP180" s="26"/>
      <c r="MQ180" s="26"/>
      <c r="MR180" s="26"/>
      <c r="MS180" s="26"/>
      <c r="MT180" s="26"/>
      <c r="MU180" s="26"/>
      <c r="MV180" s="26"/>
      <c r="MW180" s="26"/>
      <c r="MX180" s="26"/>
      <c r="MY180" s="26"/>
      <c r="MZ180" s="26"/>
      <c r="NA180" s="26"/>
      <c r="NB180" s="26"/>
      <c r="NC180" s="26"/>
      <c r="ND180" s="26"/>
      <c r="NE180" s="26"/>
      <c r="NF180" s="26"/>
      <c r="NG180" s="26"/>
      <c r="NH180" s="26"/>
      <c r="NI180" s="26"/>
      <c r="NJ180" s="26"/>
      <c r="NK180" s="26"/>
      <c r="NL180" s="26"/>
      <c r="NM180" s="26"/>
      <c r="NN180" s="26"/>
      <c r="NO180" s="26"/>
      <c r="NP180" s="26"/>
      <c r="NQ180" s="26"/>
      <c r="NR180" s="26"/>
      <c r="NS180" s="26"/>
      <c r="NT180" s="26"/>
      <c r="NU180" s="26"/>
      <c r="NV180" s="26"/>
      <c r="NW180" s="26"/>
      <c r="NX180" s="26"/>
      <c r="NY180" s="26"/>
      <c r="NZ180" s="26"/>
      <c r="OA180" s="26"/>
      <c r="OB180" s="26"/>
      <c r="OC180" s="26"/>
      <c r="OD180" s="26"/>
      <c r="OE180" s="26"/>
      <c r="OF180" s="26"/>
      <c r="OG180" s="26"/>
      <c r="OH180" s="26"/>
      <c r="OI180" s="26"/>
      <c r="OJ180" s="26"/>
      <c r="OK180" s="26"/>
      <c r="OL180" s="26"/>
      <c r="OM180" s="26"/>
      <c r="ON180" s="26"/>
      <c r="OO180" s="26"/>
      <c r="OP180" s="26"/>
      <c r="OQ180" s="26"/>
      <c r="OR180" s="26"/>
      <c r="OS180" s="26"/>
      <c r="OT180" s="26"/>
      <c r="OU180" s="26"/>
      <c r="OV180" s="26"/>
      <c r="OW180" s="26"/>
      <c r="OX180" s="26"/>
      <c r="OY180" s="26"/>
      <c r="OZ180" s="26"/>
      <c r="PA180" s="26"/>
      <c r="PB180" s="26"/>
      <c r="PC180" s="26"/>
      <c r="PD180" s="26"/>
      <c r="PE180" s="26"/>
      <c r="PF180" s="26"/>
      <c r="PG180" s="26"/>
      <c r="PH180" s="26"/>
      <c r="PI180" s="26"/>
      <c r="PJ180" s="26"/>
      <c r="PK180" s="26"/>
      <c r="PL180" s="26"/>
      <c r="PM180" s="26"/>
      <c r="PN180" s="26"/>
      <c r="PO180" s="26"/>
      <c r="PP180" s="26"/>
      <c r="PQ180" s="26"/>
      <c r="PR180" s="26"/>
      <c r="PS180" s="26"/>
      <c r="PT180" s="26"/>
      <c r="PU180" s="26"/>
      <c r="PV180" s="26"/>
      <c r="PW180" s="26"/>
      <c r="PX180" s="26"/>
      <c r="PY180" s="26"/>
      <c r="PZ180" s="26"/>
      <c r="QA180" s="26"/>
      <c r="QB180" s="26"/>
      <c r="QC180" s="26"/>
      <c r="QD180" s="26"/>
      <c r="QE180" s="26"/>
      <c r="QF180" s="26"/>
      <c r="QG180" s="26"/>
      <c r="QH180" s="26"/>
      <c r="QI180" s="26"/>
      <c r="QJ180" s="26"/>
      <c r="QK180" s="26"/>
      <c r="QL180" s="26"/>
      <c r="QM180" s="26"/>
      <c r="QN180" s="26"/>
      <c r="QO180" s="26"/>
      <c r="QP180" s="26"/>
      <c r="QQ180" s="26"/>
      <c r="QR180" s="26"/>
      <c r="QS180" s="26"/>
      <c r="QT180" s="26"/>
      <c r="QU180" s="26"/>
      <c r="QV180" s="26"/>
      <c r="QW180" s="26"/>
      <c r="QX180" s="26"/>
      <c r="QY180" s="26"/>
      <c r="QZ180" s="26"/>
      <c r="RA180" s="26"/>
      <c r="RB180" s="26"/>
      <c r="RC180" s="26"/>
      <c r="RD180" s="26"/>
      <c r="RE180" s="26"/>
      <c r="RF180" s="26"/>
      <c r="RG180" s="26"/>
      <c r="RH180" s="26"/>
      <c r="RI180" s="26"/>
      <c r="RJ180" s="26"/>
      <c r="RK180" s="26"/>
      <c r="RL180" s="26"/>
      <c r="RM180" s="26"/>
      <c r="RN180" s="26"/>
      <c r="RO180" s="26"/>
      <c r="RP180" s="26"/>
      <c r="RQ180" s="26"/>
      <c r="RR180" s="26"/>
      <c r="RS180" s="26"/>
      <c r="RT180" s="26"/>
      <c r="RU180" s="26"/>
      <c r="RV180" s="26"/>
      <c r="RW180" s="26"/>
      <c r="RX180" s="26"/>
      <c r="RY180" s="26"/>
      <c r="RZ180" s="26"/>
      <c r="SA180" s="26"/>
      <c r="SB180" s="26"/>
      <c r="SC180" s="26"/>
      <c r="SD180" s="26"/>
      <c r="SE180" s="26"/>
      <c r="SF180" s="26"/>
      <c r="SG180" s="26"/>
      <c r="SH180" s="26"/>
      <c r="SI180" s="26"/>
      <c r="SJ180" s="26"/>
      <c r="SK180" s="26"/>
      <c r="SL180" s="26"/>
      <c r="SM180" s="26"/>
      <c r="SN180" s="26"/>
      <c r="SO180" s="26"/>
      <c r="SP180" s="26"/>
      <c r="SQ180" s="26"/>
      <c r="SR180" s="26"/>
      <c r="SS180" s="26"/>
      <c r="ST180" s="26"/>
      <c r="SU180" s="26"/>
      <c r="SV180" s="26"/>
      <c r="SW180" s="26"/>
      <c r="SX180" s="26"/>
      <c r="SY180" s="26"/>
      <c r="SZ180" s="26"/>
      <c r="TA180" s="26"/>
      <c r="TB180" s="26"/>
      <c r="TC180" s="26"/>
      <c r="TD180" s="26"/>
      <c r="TE180" s="26"/>
      <c r="TF180" s="26"/>
      <c r="TG180" s="26"/>
      <c r="TH180" s="26"/>
      <c r="TI180" s="26"/>
    </row>
    <row r="181" spans="1:529" s="27" customFormat="1" ht="33.75" customHeight="1" x14ac:dyDescent="0.25">
      <c r="A181" s="43">
        <v>1014081</v>
      </c>
      <c r="B181" s="44" t="str">
        <f>'дод 4'!A114</f>
        <v>4081</v>
      </c>
      <c r="C181" s="44" t="str">
        <f>'дод 4'!B114</f>
        <v>0829</v>
      </c>
      <c r="D181" s="24" t="str">
        <f>'дод 4'!C114</f>
        <v>Забезпечення діяльності інших закладів в галузі культури і мистецтва</v>
      </c>
      <c r="E181" s="66">
        <f t="shared" si="78"/>
        <v>1821671</v>
      </c>
      <c r="F181" s="66">
        <f>1803000+18671</f>
        <v>1821671</v>
      </c>
      <c r="G181" s="66">
        <f>1364000+15304</f>
        <v>1379304</v>
      </c>
      <c r="H181" s="66">
        <v>32900</v>
      </c>
      <c r="I181" s="66"/>
      <c r="J181" s="66">
        <f t="shared" si="80"/>
        <v>0</v>
      </c>
      <c r="K181" s="66"/>
      <c r="L181" s="66"/>
      <c r="M181" s="66"/>
      <c r="N181" s="66"/>
      <c r="O181" s="66"/>
      <c r="P181" s="66">
        <f t="shared" si="79"/>
        <v>1821671</v>
      </c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36"/>
      <c r="IA181" s="36"/>
      <c r="IB181" s="36"/>
      <c r="IC181" s="36"/>
      <c r="ID181" s="36"/>
      <c r="IE181" s="36"/>
      <c r="IF181" s="36"/>
      <c r="IG181" s="36"/>
      <c r="IH181" s="36"/>
      <c r="II181" s="36"/>
      <c r="IJ181" s="36"/>
      <c r="IK181" s="36"/>
      <c r="IL181" s="36"/>
      <c r="IM181" s="36"/>
      <c r="IN181" s="36"/>
      <c r="IO181" s="36"/>
      <c r="IP181" s="36"/>
      <c r="IQ181" s="36"/>
      <c r="IR181" s="36"/>
      <c r="IS181" s="36"/>
      <c r="IT181" s="36"/>
      <c r="IU181" s="36"/>
      <c r="IV181" s="36"/>
      <c r="IW181" s="36"/>
      <c r="IX181" s="36"/>
      <c r="IY181" s="36"/>
      <c r="IZ181" s="36"/>
      <c r="JA181" s="36"/>
      <c r="JB181" s="36"/>
      <c r="JC181" s="36"/>
      <c r="JD181" s="36"/>
      <c r="JE181" s="36"/>
      <c r="JF181" s="36"/>
      <c r="JG181" s="36"/>
      <c r="JH181" s="36"/>
      <c r="JI181" s="36"/>
      <c r="JJ181" s="36"/>
      <c r="JK181" s="36"/>
      <c r="JL181" s="36"/>
      <c r="JM181" s="36"/>
      <c r="JN181" s="36"/>
      <c r="JO181" s="36"/>
      <c r="JP181" s="36"/>
      <c r="JQ181" s="36"/>
      <c r="JR181" s="36"/>
      <c r="JS181" s="36"/>
      <c r="JT181" s="36"/>
      <c r="JU181" s="36"/>
      <c r="JV181" s="36"/>
      <c r="JW181" s="36"/>
      <c r="JX181" s="36"/>
      <c r="JY181" s="36"/>
      <c r="JZ181" s="36"/>
      <c r="KA181" s="36"/>
      <c r="KB181" s="36"/>
      <c r="KC181" s="36"/>
      <c r="KD181" s="36"/>
      <c r="KE181" s="36"/>
      <c r="KF181" s="36"/>
      <c r="KG181" s="36"/>
      <c r="KH181" s="36"/>
      <c r="KI181" s="36"/>
      <c r="KJ181" s="36"/>
      <c r="KK181" s="36"/>
      <c r="KL181" s="36"/>
      <c r="KM181" s="36"/>
      <c r="KN181" s="36"/>
      <c r="KO181" s="36"/>
      <c r="KP181" s="36"/>
      <c r="KQ181" s="36"/>
      <c r="KR181" s="36"/>
      <c r="KS181" s="36"/>
      <c r="KT181" s="36"/>
      <c r="KU181" s="36"/>
      <c r="KV181" s="36"/>
      <c r="KW181" s="36"/>
      <c r="KX181" s="36"/>
      <c r="KY181" s="36"/>
      <c r="KZ181" s="36"/>
      <c r="LA181" s="36"/>
      <c r="LB181" s="36"/>
      <c r="LC181" s="36"/>
      <c r="LD181" s="36"/>
      <c r="LE181" s="36"/>
      <c r="LF181" s="36"/>
      <c r="LG181" s="36"/>
      <c r="LH181" s="36"/>
      <c r="LI181" s="36"/>
      <c r="LJ181" s="36"/>
      <c r="LK181" s="36"/>
      <c r="LL181" s="36"/>
      <c r="LM181" s="36"/>
      <c r="LN181" s="36"/>
      <c r="LO181" s="36"/>
      <c r="LP181" s="36"/>
      <c r="LQ181" s="36"/>
      <c r="LR181" s="36"/>
      <c r="LS181" s="36"/>
      <c r="LT181" s="36"/>
      <c r="LU181" s="36"/>
      <c r="LV181" s="36"/>
      <c r="LW181" s="36"/>
      <c r="LX181" s="36"/>
      <c r="LY181" s="36"/>
      <c r="LZ181" s="36"/>
      <c r="MA181" s="36"/>
      <c r="MB181" s="36"/>
      <c r="MC181" s="36"/>
      <c r="MD181" s="36"/>
      <c r="ME181" s="36"/>
      <c r="MF181" s="36"/>
      <c r="MG181" s="36"/>
      <c r="MH181" s="36"/>
      <c r="MI181" s="36"/>
      <c r="MJ181" s="36"/>
      <c r="MK181" s="36"/>
      <c r="ML181" s="36"/>
      <c r="MM181" s="36"/>
      <c r="MN181" s="36"/>
      <c r="MO181" s="36"/>
      <c r="MP181" s="36"/>
      <c r="MQ181" s="36"/>
      <c r="MR181" s="36"/>
      <c r="MS181" s="36"/>
      <c r="MT181" s="36"/>
      <c r="MU181" s="36"/>
      <c r="MV181" s="36"/>
      <c r="MW181" s="36"/>
      <c r="MX181" s="36"/>
      <c r="MY181" s="36"/>
      <c r="MZ181" s="36"/>
      <c r="NA181" s="36"/>
      <c r="NB181" s="36"/>
      <c r="NC181" s="36"/>
      <c r="ND181" s="36"/>
      <c r="NE181" s="36"/>
      <c r="NF181" s="36"/>
      <c r="NG181" s="36"/>
      <c r="NH181" s="36"/>
      <c r="NI181" s="36"/>
      <c r="NJ181" s="36"/>
      <c r="NK181" s="36"/>
      <c r="NL181" s="36"/>
      <c r="NM181" s="36"/>
      <c r="NN181" s="36"/>
      <c r="NO181" s="36"/>
      <c r="NP181" s="36"/>
      <c r="NQ181" s="36"/>
      <c r="NR181" s="36"/>
      <c r="NS181" s="36"/>
      <c r="NT181" s="36"/>
      <c r="NU181" s="36"/>
      <c r="NV181" s="36"/>
      <c r="NW181" s="36"/>
      <c r="NX181" s="36"/>
      <c r="NY181" s="36"/>
      <c r="NZ181" s="36"/>
      <c r="OA181" s="36"/>
      <c r="OB181" s="36"/>
      <c r="OC181" s="36"/>
      <c r="OD181" s="36"/>
      <c r="OE181" s="36"/>
      <c r="OF181" s="36"/>
      <c r="OG181" s="36"/>
      <c r="OH181" s="36"/>
      <c r="OI181" s="36"/>
      <c r="OJ181" s="36"/>
      <c r="OK181" s="36"/>
      <c r="OL181" s="36"/>
      <c r="OM181" s="36"/>
      <c r="ON181" s="36"/>
      <c r="OO181" s="36"/>
      <c r="OP181" s="36"/>
      <c r="OQ181" s="36"/>
      <c r="OR181" s="36"/>
      <c r="OS181" s="36"/>
      <c r="OT181" s="36"/>
      <c r="OU181" s="36"/>
      <c r="OV181" s="36"/>
      <c r="OW181" s="36"/>
      <c r="OX181" s="36"/>
      <c r="OY181" s="36"/>
      <c r="OZ181" s="36"/>
      <c r="PA181" s="36"/>
      <c r="PB181" s="36"/>
      <c r="PC181" s="36"/>
      <c r="PD181" s="36"/>
      <c r="PE181" s="36"/>
      <c r="PF181" s="36"/>
      <c r="PG181" s="36"/>
      <c r="PH181" s="36"/>
      <c r="PI181" s="36"/>
      <c r="PJ181" s="36"/>
      <c r="PK181" s="36"/>
      <c r="PL181" s="36"/>
      <c r="PM181" s="36"/>
      <c r="PN181" s="36"/>
      <c r="PO181" s="36"/>
      <c r="PP181" s="36"/>
      <c r="PQ181" s="36"/>
      <c r="PR181" s="36"/>
      <c r="PS181" s="36"/>
      <c r="PT181" s="36"/>
      <c r="PU181" s="36"/>
      <c r="PV181" s="36"/>
      <c r="PW181" s="36"/>
      <c r="PX181" s="36"/>
      <c r="PY181" s="36"/>
      <c r="PZ181" s="36"/>
      <c r="QA181" s="36"/>
      <c r="QB181" s="36"/>
      <c r="QC181" s="36"/>
      <c r="QD181" s="36"/>
      <c r="QE181" s="36"/>
      <c r="QF181" s="36"/>
      <c r="QG181" s="36"/>
      <c r="QH181" s="36"/>
      <c r="QI181" s="36"/>
      <c r="QJ181" s="36"/>
      <c r="QK181" s="36"/>
      <c r="QL181" s="36"/>
      <c r="QM181" s="36"/>
      <c r="QN181" s="36"/>
      <c r="QO181" s="36"/>
      <c r="QP181" s="36"/>
      <c r="QQ181" s="36"/>
      <c r="QR181" s="36"/>
      <c r="QS181" s="36"/>
      <c r="QT181" s="36"/>
      <c r="QU181" s="36"/>
      <c r="QV181" s="36"/>
      <c r="QW181" s="36"/>
      <c r="QX181" s="36"/>
      <c r="QY181" s="36"/>
      <c r="QZ181" s="36"/>
      <c r="RA181" s="36"/>
      <c r="RB181" s="36"/>
      <c r="RC181" s="36"/>
      <c r="RD181" s="36"/>
      <c r="RE181" s="36"/>
      <c r="RF181" s="36"/>
      <c r="RG181" s="36"/>
      <c r="RH181" s="36"/>
      <c r="RI181" s="36"/>
      <c r="RJ181" s="36"/>
      <c r="RK181" s="36"/>
      <c r="RL181" s="36"/>
      <c r="RM181" s="36"/>
      <c r="RN181" s="36"/>
      <c r="RO181" s="36"/>
      <c r="RP181" s="36"/>
      <c r="RQ181" s="36"/>
      <c r="RR181" s="36"/>
      <c r="RS181" s="36"/>
      <c r="RT181" s="36"/>
      <c r="RU181" s="36"/>
      <c r="RV181" s="36"/>
      <c r="RW181" s="36"/>
      <c r="RX181" s="36"/>
      <c r="RY181" s="36"/>
      <c r="RZ181" s="36"/>
      <c r="SA181" s="36"/>
      <c r="SB181" s="36"/>
      <c r="SC181" s="36"/>
      <c r="SD181" s="36"/>
      <c r="SE181" s="36"/>
      <c r="SF181" s="36"/>
      <c r="SG181" s="36"/>
      <c r="SH181" s="36"/>
      <c r="SI181" s="36"/>
      <c r="SJ181" s="36"/>
      <c r="SK181" s="36"/>
      <c r="SL181" s="36"/>
      <c r="SM181" s="36"/>
      <c r="SN181" s="36"/>
      <c r="SO181" s="36"/>
      <c r="SP181" s="36"/>
      <c r="SQ181" s="36"/>
      <c r="SR181" s="36"/>
      <c r="SS181" s="36"/>
      <c r="ST181" s="36"/>
      <c r="SU181" s="36"/>
      <c r="SV181" s="36"/>
      <c r="SW181" s="36"/>
      <c r="SX181" s="36"/>
      <c r="SY181" s="36"/>
      <c r="SZ181" s="36"/>
      <c r="TA181" s="36"/>
      <c r="TB181" s="36"/>
      <c r="TC181" s="36"/>
      <c r="TD181" s="36"/>
      <c r="TE181" s="36"/>
      <c r="TF181" s="36"/>
      <c r="TG181" s="36"/>
      <c r="TH181" s="36"/>
      <c r="TI181" s="36"/>
    </row>
    <row r="182" spans="1:529" s="27" customFormat="1" ht="25.5" customHeight="1" x14ac:dyDescent="0.25">
      <c r="A182" s="43">
        <v>1014082</v>
      </c>
      <c r="B182" s="44" t="str">
        <f>'дод 4'!A115</f>
        <v>4082</v>
      </c>
      <c r="C182" s="44" t="str">
        <f>'дод 4'!B115</f>
        <v>0829</v>
      </c>
      <c r="D182" s="24" t="str">
        <f>'дод 4'!C115</f>
        <v>Інші заходи в галузі культури і мистецтва</v>
      </c>
      <c r="E182" s="66">
        <f t="shared" si="78"/>
        <v>2456600</v>
      </c>
      <c r="F182" s="66">
        <f>2265700+15000+100000+120000-44100</f>
        <v>2456600</v>
      </c>
      <c r="G182" s="66"/>
      <c r="H182" s="66"/>
      <c r="I182" s="66"/>
      <c r="J182" s="66">
        <f t="shared" si="80"/>
        <v>0</v>
      </c>
      <c r="K182" s="66"/>
      <c r="L182" s="66"/>
      <c r="M182" s="66"/>
      <c r="N182" s="66"/>
      <c r="O182" s="66"/>
      <c r="P182" s="66">
        <f t="shared" si="79"/>
        <v>2456600</v>
      </c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  <c r="HI182" s="36"/>
      <c r="HJ182" s="36"/>
      <c r="HK182" s="36"/>
      <c r="HL182" s="36"/>
      <c r="HM182" s="36"/>
      <c r="HN182" s="36"/>
      <c r="HO182" s="36"/>
      <c r="HP182" s="36"/>
      <c r="HQ182" s="36"/>
      <c r="HR182" s="36"/>
      <c r="HS182" s="36"/>
      <c r="HT182" s="36"/>
      <c r="HU182" s="36"/>
      <c r="HV182" s="36"/>
      <c r="HW182" s="36"/>
      <c r="HX182" s="36"/>
      <c r="HY182" s="36"/>
      <c r="HZ182" s="36"/>
      <c r="IA182" s="36"/>
      <c r="IB182" s="36"/>
      <c r="IC182" s="36"/>
      <c r="ID182" s="36"/>
      <c r="IE182" s="36"/>
      <c r="IF182" s="36"/>
      <c r="IG182" s="36"/>
      <c r="IH182" s="36"/>
      <c r="II182" s="36"/>
      <c r="IJ182" s="36"/>
      <c r="IK182" s="36"/>
      <c r="IL182" s="36"/>
      <c r="IM182" s="36"/>
      <c r="IN182" s="36"/>
      <c r="IO182" s="36"/>
      <c r="IP182" s="36"/>
      <c r="IQ182" s="36"/>
      <c r="IR182" s="36"/>
      <c r="IS182" s="36"/>
      <c r="IT182" s="36"/>
      <c r="IU182" s="36"/>
      <c r="IV182" s="36"/>
      <c r="IW182" s="36"/>
      <c r="IX182" s="36"/>
      <c r="IY182" s="36"/>
      <c r="IZ182" s="36"/>
      <c r="JA182" s="36"/>
      <c r="JB182" s="36"/>
      <c r="JC182" s="36"/>
      <c r="JD182" s="36"/>
      <c r="JE182" s="36"/>
      <c r="JF182" s="36"/>
      <c r="JG182" s="36"/>
      <c r="JH182" s="36"/>
      <c r="JI182" s="36"/>
      <c r="JJ182" s="36"/>
      <c r="JK182" s="36"/>
      <c r="JL182" s="36"/>
      <c r="JM182" s="36"/>
      <c r="JN182" s="36"/>
      <c r="JO182" s="36"/>
      <c r="JP182" s="36"/>
      <c r="JQ182" s="36"/>
      <c r="JR182" s="36"/>
      <c r="JS182" s="36"/>
      <c r="JT182" s="36"/>
      <c r="JU182" s="36"/>
      <c r="JV182" s="36"/>
      <c r="JW182" s="36"/>
      <c r="JX182" s="36"/>
      <c r="JY182" s="36"/>
      <c r="JZ182" s="36"/>
      <c r="KA182" s="36"/>
      <c r="KB182" s="36"/>
      <c r="KC182" s="36"/>
      <c r="KD182" s="36"/>
      <c r="KE182" s="36"/>
      <c r="KF182" s="36"/>
      <c r="KG182" s="36"/>
      <c r="KH182" s="36"/>
      <c r="KI182" s="36"/>
      <c r="KJ182" s="36"/>
      <c r="KK182" s="36"/>
      <c r="KL182" s="36"/>
      <c r="KM182" s="36"/>
      <c r="KN182" s="36"/>
      <c r="KO182" s="36"/>
      <c r="KP182" s="36"/>
      <c r="KQ182" s="36"/>
      <c r="KR182" s="36"/>
      <c r="KS182" s="36"/>
      <c r="KT182" s="36"/>
      <c r="KU182" s="36"/>
      <c r="KV182" s="36"/>
      <c r="KW182" s="36"/>
      <c r="KX182" s="36"/>
      <c r="KY182" s="36"/>
      <c r="KZ182" s="36"/>
      <c r="LA182" s="36"/>
      <c r="LB182" s="36"/>
      <c r="LC182" s="36"/>
      <c r="LD182" s="36"/>
      <c r="LE182" s="36"/>
      <c r="LF182" s="36"/>
      <c r="LG182" s="36"/>
      <c r="LH182" s="36"/>
      <c r="LI182" s="36"/>
      <c r="LJ182" s="36"/>
      <c r="LK182" s="36"/>
      <c r="LL182" s="36"/>
      <c r="LM182" s="36"/>
      <c r="LN182" s="36"/>
      <c r="LO182" s="36"/>
      <c r="LP182" s="36"/>
      <c r="LQ182" s="36"/>
      <c r="LR182" s="36"/>
      <c r="LS182" s="36"/>
      <c r="LT182" s="36"/>
      <c r="LU182" s="36"/>
      <c r="LV182" s="36"/>
      <c r="LW182" s="36"/>
      <c r="LX182" s="36"/>
      <c r="LY182" s="36"/>
      <c r="LZ182" s="36"/>
      <c r="MA182" s="36"/>
      <c r="MB182" s="36"/>
      <c r="MC182" s="36"/>
      <c r="MD182" s="36"/>
      <c r="ME182" s="36"/>
      <c r="MF182" s="36"/>
      <c r="MG182" s="36"/>
      <c r="MH182" s="36"/>
      <c r="MI182" s="36"/>
      <c r="MJ182" s="36"/>
      <c r="MK182" s="36"/>
      <c r="ML182" s="36"/>
      <c r="MM182" s="36"/>
      <c r="MN182" s="36"/>
      <c r="MO182" s="36"/>
      <c r="MP182" s="36"/>
      <c r="MQ182" s="36"/>
      <c r="MR182" s="36"/>
      <c r="MS182" s="36"/>
      <c r="MT182" s="36"/>
      <c r="MU182" s="36"/>
      <c r="MV182" s="36"/>
      <c r="MW182" s="36"/>
      <c r="MX182" s="36"/>
      <c r="MY182" s="36"/>
      <c r="MZ182" s="36"/>
      <c r="NA182" s="36"/>
      <c r="NB182" s="36"/>
      <c r="NC182" s="36"/>
      <c r="ND182" s="36"/>
      <c r="NE182" s="36"/>
      <c r="NF182" s="36"/>
      <c r="NG182" s="36"/>
      <c r="NH182" s="36"/>
      <c r="NI182" s="36"/>
      <c r="NJ182" s="36"/>
      <c r="NK182" s="36"/>
      <c r="NL182" s="36"/>
      <c r="NM182" s="36"/>
      <c r="NN182" s="36"/>
      <c r="NO182" s="36"/>
      <c r="NP182" s="36"/>
      <c r="NQ182" s="36"/>
      <c r="NR182" s="36"/>
      <c r="NS182" s="36"/>
      <c r="NT182" s="36"/>
      <c r="NU182" s="36"/>
      <c r="NV182" s="36"/>
      <c r="NW182" s="36"/>
      <c r="NX182" s="36"/>
      <c r="NY182" s="36"/>
      <c r="NZ182" s="36"/>
      <c r="OA182" s="36"/>
      <c r="OB182" s="36"/>
      <c r="OC182" s="36"/>
      <c r="OD182" s="36"/>
      <c r="OE182" s="36"/>
      <c r="OF182" s="36"/>
      <c r="OG182" s="36"/>
      <c r="OH182" s="36"/>
      <c r="OI182" s="36"/>
      <c r="OJ182" s="36"/>
      <c r="OK182" s="36"/>
      <c r="OL182" s="36"/>
      <c r="OM182" s="36"/>
      <c r="ON182" s="36"/>
      <c r="OO182" s="36"/>
      <c r="OP182" s="36"/>
      <c r="OQ182" s="36"/>
      <c r="OR182" s="36"/>
      <c r="OS182" s="36"/>
      <c r="OT182" s="36"/>
      <c r="OU182" s="36"/>
      <c r="OV182" s="36"/>
      <c r="OW182" s="36"/>
      <c r="OX182" s="36"/>
      <c r="OY182" s="36"/>
      <c r="OZ182" s="36"/>
      <c r="PA182" s="36"/>
      <c r="PB182" s="36"/>
      <c r="PC182" s="36"/>
      <c r="PD182" s="36"/>
      <c r="PE182" s="36"/>
      <c r="PF182" s="36"/>
      <c r="PG182" s="36"/>
      <c r="PH182" s="36"/>
      <c r="PI182" s="36"/>
      <c r="PJ182" s="36"/>
      <c r="PK182" s="36"/>
      <c r="PL182" s="36"/>
      <c r="PM182" s="36"/>
      <c r="PN182" s="36"/>
      <c r="PO182" s="36"/>
      <c r="PP182" s="36"/>
      <c r="PQ182" s="36"/>
      <c r="PR182" s="36"/>
      <c r="PS182" s="36"/>
      <c r="PT182" s="36"/>
      <c r="PU182" s="36"/>
      <c r="PV182" s="36"/>
      <c r="PW182" s="36"/>
      <c r="PX182" s="36"/>
      <c r="PY182" s="36"/>
      <c r="PZ182" s="36"/>
      <c r="QA182" s="36"/>
      <c r="QB182" s="36"/>
      <c r="QC182" s="36"/>
      <c r="QD182" s="36"/>
      <c r="QE182" s="36"/>
      <c r="QF182" s="36"/>
      <c r="QG182" s="36"/>
      <c r="QH182" s="36"/>
      <c r="QI182" s="36"/>
      <c r="QJ182" s="36"/>
      <c r="QK182" s="36"/>
      <c r="QL182" s="36"/>
      <c r="QM182" s="36"/>
      <c r="QN182" s="36"/>
      <c r="QO182" s="36"/>
      <c r="QP182" s="36"/>
      <c r="QQ182" s="36"/>
      <c r="QR182" s="36"/>
      <c r="QS182" s="36"/>
      <c r="QT182" s="36"/>
      <c r="QU182" s="36"/>
      <c r="QV182" s="36"/>
      <c r="QW182" s="36"/>
      <c r="QX182" s="36"/>
      <c r="QY182" s="36"/>
      <c r="QZ182" s="36"/>
      <c r="RA182" s="36"/>
      <c r="RB182" s="36"/>
      <c r="RC182" s="36"/>
      <c r="RD182" s="36"/>
      <c r="RE182" s="36"/>
      <c r="RF182" s="36"/>
      <c r="RG182" s="36"/>
      <c r="RH182" s="36"/>
      <c r="RI182" s="36"/>
      <c r="RJ182" s="36"/>
      <c r="RK182" s="36"/>
      <c r="RL182" s="36"/>
      <c r="RM182" s="36"/>
      <c r="RN182" s="36"/>
      <c r="RO182" s="36"/>
      <c r="RP182" s="36"/>
      <c r="RQ182" s="36"/>
      <c r="RR182" s="36"/>
      <c r="RS182" s="36"/>
      <c r="RT182" s="36"/>
      <c r="RU182" s="36"/>
      <c r="RV182" s="36"/>
      <c r="RW182" s="36"/>
      <c r="RX182" s="36"/>
      <c r="RY182" s="36"/>
      <c r="RZ182" s="36"/>
      <c r="SA182" s="36"/>
      <c r="SB182" s="36"/>
      <c r="SC182" s="36"/>
      <c r="SD182" s="36"/>
      <c r="SE182" s="36"/>
      <c r="SF182" s="36"/>
      <c r="SG182" s="36"/>
      <c r="SH182" s="36"/>
      <c r="SI182" s="36"/>
      <c r="SJ182" s="36"/>
      <c r="SK182" s="36"/>
      <c r="SL182" s="36"/>
      <c r="SM182" s="36"/>
      <c r="SN182" s="36"/>
      <c r="SO182" s="36"/>
      <c r="SP182" s="36"/>
      <c r="SQ182" s="36"/>
      <c r="SR182" s="36"/>
      <c r="SS182" s="36"/>
      <c r="ST182" s="36"/>
      <c r="SU182" s="36"/>
      <c r="SV182" s="36"/>
      <c r="SW182" s="36"/>
      <c r="SX182" s="36"/>
      <c r="SY182" s="36"/>
      <c r="SZ182" s="36"/>
      <c r="TA182" s="36"/>
      <c r="TB182" s="36"/>
      <c r="TC182" s="36"/>
      <c r="TD182" s="36"/>
      <c r="TE182" s="36"/>
      <c r="TF182" s="36"/>
      <c r="TG182" s="36"/>
      <c r="TH182" s="36"/>
      <c r="TI182" s="36"/>
    </row>
    <row r="183" spans="1:529" s="23" customFormat="1" ht="22.5" customHeight="1" x14ac:dyDescent="0.25">
      <c r="A183" s="43" t="s">
        <v>156</v>
      </c>
      <c r="B183" s="44" t="str">
        <f>'дод 4'!A163</f>
        <v>7640</v>
      </c>
      <c r="C183" s="44" t="str">
        <f>'дод 4'!B163</f>
        <v>0470</v>
      </c>
      <c r="D183" s="24" t="s">
        <v>513</v>
      </c>
      <c r="E183" s="66">
        <f t="shared" si="78"/>
        <v>0</v>
      </c>
      <c r="F183" s="66"/>
      <c r="G183" s="66"/>
      <c r="H183" s="66"/>
      <c r="I183" s="66"/>
      <c r="J183" s="66">
        <f t="shared" si="80"/>
        <v>396000</v>
      </c>
      <c r="K183" s="66">
        <v>396000</v>
      </c>
      <c r="L183" s="66"/>
      <c r="M183" s="66"/>
      <c r="N183" s="66"/>
      <c r="O183" s="66">
        <v>396000</v>
      </c>
      <c r="P183" s="66">
        <f t="shared" si="79"/>
        <v>396000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  <c r="IW183" s="26"/>
      <c r="IX183" s="26"/>
      <c r="IY183" s="26"/>
      <c r="IZ183" s="26"/>
      <c r="JA183" s="26"/>
      <c r="JB183" s="26"/>
      <c r="JC183" s="26"/>
      <c r="JD183" s="26"/>
      <c r="JE183" s="26"/>
      <c r="JF183" s="26"/>
      <c r="JG183" s="26"/>
      <c r="JH183" s="26"/>
      <c r="JI183" s="26"/>
      <c r="JJ183" s="26"/>
      <c r="JK183" s="26"/>
      <c r="JL183" s="26"/>
      <c r="JM183" s="26"/>
      <c r="JN183" s="26"/>
      <c r="JO183" s="26"/>
      <c r="JP183" s="26"/>
      <c r="JQ183" s="26"/>
      <c r="JR183" s="26"/>
      <c r="JS183" s="26"/>
      <c r="JT183" s="26"/>
      <c r="JU183" s="26"/>
      <c r="JV183" s="26"/>
      <c r="JW183" s="26"/>
      <c r="JX183" s="26"/>
      <c r="JY183" s="26"/>
      <c r="JZ183" s="26"/>
      <c r="KA183" s="26"/>
      <c r="KB183" s="26"/>
      <c r="KC183" s="26"/>
      <c r="KD183" s="26"/>
      <c r="KE183" s="26"/>
      <c r="KF183" s="26"/>
      <c r="KG183" s="26"/>
      <c r="KH183" s="26"/>
      <c r="KI183" s="26"/>
      <c r="KJ183" s="26"/>
      <c r="KK183" s="26"/>
      <c r="KL183" s="26"/>
      <c r="KM183" s="26"/>
      <c r="KN183" s="26"/>
      <c r="KO183" s="26"/>
      <c r="KP183" s="26"/>
      <c r="KQ183" s="26"/>
      <c r="KR183" s="26"/>
      <c r="KS183" s="26"/>
      <c r="KT183" s="26"/>
      <c r="KU183" s="26"/>
      <c r="KV183" s="26"/>
      <c r="KW183" s="26"/>
      <c r="KX183" s="26"/>
      <c r="KY183" s="26"/>
      <c r="KZ183" s="26"/>
      <c r="LA183" s="26"/>
      <c r="LB183" s="26"/>
      <c r="LC183" s="26"/>
      <c r="LD183" s="26"/>
      <c r="LE183" s="26"/>
      <c r="LF183" s="26"/>
      <c r="LG183" s="26"/>
      <c r="LH183" s="26"/>
      <c r="LI183" s="26"/>
      <c r="LJ183" s="26"/>
      <c r="LK183" s="26"/>
      <c r="LL183" s="26"/>
      <c r="LM183" s="26"/>
      <c r="LN183" s="26"/>
      <c r="LO183" s="26"/>
      <c r="LP183" s="26"/>
      <c r="LQ183" s="26"/>
      <c r="LR183" s="26"/>
      <c r="LS183" s="26"/>
      <c r="LT183" s="26"/>
      <c r="LU183" s="26"/>
      <c r="LV183" s="26"/>
      <c r="LW183" s="26"/>
      <c r="LX183" s="26"/>
      <c r="LY183" s="26"/>
      <c r="LZ183" s="26"/>
      <c r="MA183" s="26"/>
      <c r="MB183" s="26"/>
      <c r="MC183" s="26"/>
      <c r="MD183" s="26"/>
      <c r="ME183" s="26"/>
      <c r="MF183" s="26"/>
      <c r="MG183" s="26"/>
      <c r="MH183" s="26"/>
      <c r="MI183" s="26"/>
      <c r="MJ183" s="26"/>
      <c r="MK183" s="26"/>
      <c r="ML183" s="26"/>
      <c r="MM183" s="26"/>
      <c r="MN183" s="26"/>
      <c r="MO183" s="26"/>
      <c r="MP183" s="26"/>
      <c r="MQ183" s="26"/>
      <c r="MR183" s="26"/>
      <c r="MS183" s="26"/>
      <c r="MT183" s="26"/>
      <c r="MU183" s="26"/>
      <c r="MV183" s="26"/>
      <c r="MW183" s="26"/>
      <c r="MX183" s="26"/>
      <c r="MY183" s="26"/>
      <c r="MZ183" s="26"/>
      <c r="NA183" s="26"/>
      <c r="NB183" s="26"/>
      <c r="NC183" s="26"/>
      <c r="ND183" s="26"/>
      <c r="NE183" s="26"/>
      <c r="NF183" s="26"/>
      <c r="NG183" s="26"/>
      <c r="NH183" s="26"/>
      <c r="NI183" s="26"/>
      <c r="NJ183" s="26"/>
      <c r="NK183" s="26"/>
      <c r="NL183" s="26"/>
      <c r="NM183" s="26"/>
      <c r="NN183" s="26"/>
      <c r="NO183" s="26"/>
      <c r="NP183" s="26"/>
      <c r="NQ183" s="26"/>
      <c r="NR183" s="26"/>
      <c r="NS183" s="26"/>
      <c r="NT183" s="26"/>
      <c r="NU183" s="26"/>
      <c r="NV183" s="26"/>
      <c r="NW183" s="26"/>
      <c r="NX183" s="26"/>
      <c r="NY183" s="26"/>
      <c r="NZ183" s="26"/>
      <c r="OA183" s="26"/>
      <c r="OB183" s="26"/>
      <c r="OC183" s="26"/>
      <c r="OD183" s="26"/>
      <c r="OE183" s="26"/>
      <c r="OF183" s="26"/>
      <c r="OG183" s="26"/>
      <c r="OH183" s="26"/>
      <c r="OI183" s="26"/>
      <c r="OJ183" s="26"/>
      <c r="OK183" s="26"/>
      <c r="OL183" s="26"/>
      <c r="OM183" s="26"/>
      <c r="ON183" s="26"/>
      <c r="OO183" s="26"/>
      <c r="OP183" s="26"/>
      <c r="OQ183" s="26"/>
      <c r="OR183" s="26"/>
      <c r="OS183" s="26"/>
      <c r="OT183" s="26"/>
      <c r="OU183" s="26"/>
      <c r="OV183" s="26"/>
      <c r="OW183" s="26"/>
      <c r="OX183" s="26"/>
      <c r="OY183" s="26"/>
      <c r="OZ183" s="26"/>
      <c r="PA183" s="26"/>
      <c r="PB183" s="26"/>
      <c r="PC183" s="26"/>
      <c r="PD183" s="26"/>
      <c r="PE183" s="26"/>
      <c r="PF183" s="26"/>
      <c r="PG183" s="26"/>
      <c r="PH183" s="26"/>
      <c r="PI183" s="26"/>
      <c r="PJ183" s="26"/>
      <c r="PK183" s="26"/>
      <c r="PL183" s="26"/>
      <c r="PM183" s="26"/>
      <c r="PN183" s="26"/>
      <c r="PO183" s="26"/>
      <c r="PP183" s="26"/>
      <c r="PQ183" s="26"/>
      <c r="PR183" s="26"/>
      <c r="PS183" s="26"/>
      <c r="PT183" s="26"/>
      <c r="PU183" s="26"/>
      <c r="PV183" s="26"/>
      <c r="PW183" s="26"/>
      <c r="PX183" s="26"/>
      <c r="PY183" s="26"/>
      <c r="PZ183" s="26"/>
      <c r="QA183" s="26"/>
      <c r="QB183" s="26"/>
      <c r="QC183" s="26"/>
      <c r="QD183" s="26"/>
      <c r="QE183" s="26"/>
      <c r="QF183" s="26"/>
      <c r="QG183" s="26"/>
      <c r="QH183" s="26"/>
      <c r="QI183" s="26"/>
      <c r="QJ183" s="26"/>
      <c r="QK183" s="26"/>
      <c r="QL183" s="26"/>
      <c r="QM183" s="26"/>
      <c r="QN183" s="26"/>
      <c r="QO183" s="26"/>
      <c r="QP183" s="26"/>
      <c r="QQ183" s="26"/>
      <c r="QR183" s="26"/>
      <c r="QS183" s="26"/>
      <c r="QT183" s="26"/>
      <c r="QU183" s="26"/>
      <c r="QV183" s="26"/>
      <c r="QW183" s="26"/>
      <c r="QX183" s="26"/>
      <c r="QY183" s="26"/>
      <c r="QZ183" s="26"/>
      <c r="RA183" s="26"/>
      <c r="RB183" s="26"/>
      <c r="RC183" s="26"/>
      <c r="RD183" s="26"/>
      <c r="RE183" s="26"/>
      <c r="RF183" s="26"/>
      <c r="RG183" s="26"/>
      <c r="RH183" s="26"/>
      <c r="RI183" s="26"/>
      <c r="RJ183" s="26"/>
      <c r="RK183" s="26"/>
      <c r="RL183" s="26"/>
      <c r="RM183" s="26"/>
      <c r="RN183" s="26"/>
      <c r="RO183" s="26"/>
      <c r="RP183" s="26"/>
      <c r="RQ183" s="26"/>
      <c r="RR183" s="26"/>
      <c r="RS183" s="26"/>
      <c r="RT183" s="26"/>
      <c r="RU183" s="26"/>
      <c r="RV183" s="26"/>
      <c r="RW183" s="26"/>
      <c r="RX183" s="26"/>
      <c r="RY183" s="26"/>
      <c r="RZ183" s="26"/>
      <c r="SA183" s="26"/>
      <c r="SB183" s="26"/>
      <c r="SC183" s="26"/>
      <c r="SD183" s="26"/>
      <c r="SE183" s="26"/>
      <c r="SF183" s="26"/>
      <c r="SG183" s="26"/>
      <c r="SH183" s="26"/>
      <c r="SI183" s="26"/>
      <c r="SJ183" s="26"/>
      <c r="SK183" s="26"/>
      <c r="SL183" s="26"/>
      <c r="SM183" s="26"/>
      <c r="SN183" s="26"/>
      <c r="SO183" s="26"/>
      <c r="SP183" s="26"/>
      <c r="SQ183" s="26"/>
      <c r="SR183" s="26"/>
      <c r="SS183" s="26"/>
      <c r="ST183" s="26"/>
      <c r="SU183" s="26"/>
      <c r="SV183" s="26"/>
      <c r="SW183" s="26"/>
      <c r="SX183" s="26"/>
      <c r="SY183" s="26"/>
      <c r="SZ183" s="26"/>
      <c r="TA183" s="26"/>
      <c r="TB183" s="26"/>
      <c r="TC183" s="26"/>
      <c r="TD183" s="26"/>
      <c r="TE183" s="26"/>
      <c r="TF183" s="26"/>
      <c r="TG183" s="26"/>
      <c r="TH183" s="26"/>
      <c r="TI183" s="26"/>
    </row>
    <row r="184" spans="1:529" s="23" customFormat="1" ht="22.5" customHeight="1" x14ac:dyDescent="0.25">
      <c r="A184" s="43">
        <v>1018340</v>
      </c>
      <c r="B184" s="44" t="str">
        <f>'дод 4'!A184</f>
        <v>8340</v>
      </c>
      <c r="C184" s="44" t="str">
        <f>'дод 4'!B184</f>
        <v>0540</v>
      </c>
      <c r="D184" s="74" t="str">
        <f>'дод 4'!C184</f>
        <v>Природоохоронні заходи за рахунок цільових фондів</v>
      </c>
      <c r="E184" s="66">
        <f t="shared" si="78"/>
        <v>0</v>
      </c>
      <c r="F184" s="66"/>
      <c r="G184" s="66"/>
      <c r="H184" s="66"/>
      <c r="I184" s="66"/>
      <c r="J184" s="66">
        <f t="shared" si="80"/>
        <v>3000</v>
      </c>
      <c r="K184" s="66"/>
      <c r="L184" s="66">
        <v>3000</v>
      </c>
      <c r="M184" s="66"/>
      <c r="N184" s="66"/>
      <c r="O184" s="66"/>
      <c r="P184" s="66">
        <f t="shared" si="79"/>
        <v>3000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  <c r="IW184" s="26"/>
      <c r="IX184" s="26"/>
      <c r="IY184" s="26"/>
      <c r="IZ184" s="26"/>
      <c r="JA184" s="26"/>
      <c r="JB184" s="26"/>
      <c r="JC184" s="26"/>
      <c r="JD184" s="26"/>
      <c r="JE184" s="26"/>
      <c r="JF184" s="26"/>
      <c r="JG184" s="26"/>
      <c r="JH184" s="26"/>
      <c r="JI184" s="26"/>
      <c r="JJ184" s="26"/>
      <c r="JK184" s="26"/>
      <c r="JL184" s="26"/>
      <c r="JM184" s="26"/>
      <c r="JN184" s="26"/>
      <c r="JO184" s="26"/>
      <c r="JP184" s="26"/>
      <c r="JQ184" s="26"/>
      <c r="JR184" s="26"/>
      <c r="JS184" s="26"/>
      <c r="JT184" s="26"/>
      <c r="JU184" s="26"/>
      <c r="JV184" s="26"/>
      <c r="JW184" s="26"/>
      <c r="JX184" s="26"/>
      <c r="JY184" s="26"/>
      <c r="JZ184" s="26"/>
      <c r="KA184" s="26"/>
      <c r="KB184" s="26"/>
      <c r="KC184" s="26"/>
      <c r="KD184" s="26"/>
      <c r="KE184" s="26"/>
      <c r="KF184" s="26"/>
      <c r="KG184" s="26"/>
      <c r="KH184" s="26"/>
      <c r="KI184" s="26"/>
      <c r="KJ184" s="26"/>
      <c r="KK184" s="26"/>
      <c r="KL184" s="26"/>
      <c r="KM184" s="26"/>
      <c r="KN184" s="26"/>
      <c r="KO184" s="26"/>
      <c r="KP184" s="26"/>
      <c r="KQ184" s="26"/>
      <c r="KR184" s="26"/>
      <c r="KS184" s="26"/>
      <c r="KT184" s="26"/>
      <c r="KU184" s="26"/>
      <c r="KV184" s="26"/>
      <c r="KW184" s="26"/>
      <c r="KX184" s="26"/>
      <c r="KY184" s="26"/>
      <c r="KZ184" s="26"/>
      <c r="LA184" s="26"/>
      <c r="LB184" s="26"/>
      <c r="LC184" s="26"/>
      <c r="LD184" s="26"/>
      <c r="LE184" s="26"/>
      <c r="LF184" s="26"/>
      <c r="LG184" s="26"/>
      <c r="LH184" s="26"/>
      <c r="LI184" s="26"/>
      <c r="LJ184" s="26"/>
      <c r="LK184" s="26"/>
      <c r="LL184" s="26"/>
      <c r="LM184" s="26"/>
      <c r="LN184" s="26"/>
      <c r="LO184" s="26"/>
      <c r="LP184" s="26"/>
      <c r="LQ184" s="26"/>
      <c r="LR184" s="26"/>
      <c r="LS184" s="26"/>
      <c r="LT184" s="26"/>
      <c r="LU184" s="26"/>
      <c r="LV184" s="26"/>
      <c r="LW184" s="26"/>
      <c r="LX184" s="26"/>
      <c r="LY184" s="26"/>
      <c r="LZ184" s="26"/>
      <c r="MA184" s="26"/>
      <c r="MB184" s="26"/>
      <c r="MC184" s="26"/>
      <c r="MD184" s="26"/>
      <c r="ME184" s="26"/>
      <c r="MF184" s="26"/>
      <c r="MG184" s="26"/>
      <c r="MH184" s="26"/>
      <c r="MI184" s="26"/>
      <c r="MJ184" s="26"/>
      <c r="MK184" s="26"/>
      <c r="ML184" s="26"/>
      <c r="MM184" s="26"/>
      <c r="MN184" s="26"/>
      <c r="MO184" s="26"/>
      <c r="MP184" s="26"/>
      <c r="MQ184" s="26"/>
      <c r="MR184" s="26"/>
      <c r="MS184" s="26"/>
      <c r="MT184" s="26"/>
      <c r="MU184" s="26"/>
      <c r="MV184" s="26"/>
      <c r="MW184" s="26"/>
      <c r="MX184" s="26"/>
      <c r="MY184" s="26"/>
      <c r="MZ184" s="26"/>
      <c r="NA184" s="26"/>
      <c r="NB184" s="26"/>
      <c r="NC184" s="26"/>
      <c r="ND184" s="26"/>
      <c r="NE184" s="26"/>
      <c r="NF184" s="26"/>
      <c r="NG184" s="26"/>
      <c r="NH184" s="26"/>
      <c r="NI184" s="26"/>
      <c r="NJ184" s="26"/>
      <c r="NK184" s="26"/>
      <c r="NL184" s="26"/>
      <c r="NM184" s="26"/>
      <c r="NN184" s="26"/>
      <c r="NO184" s="26"/>
      <c r="NP184" s="26"/>
      <c r="NQ184" s="26"/>
      <c r="NR184" s="26"/>
      <c r="NS184" s="26"/>
      <c r="NT184" s="26"/>
      <c r="NU184" s="26"/>
      <c r="NV184" s="26"/>
      <c r="NW184" s="26"/>
      <c r="NX184" s="26"/>
      <c r="NY184" s="26"/>
      <c r="NZ184" s="26"/>
      <c r="OA184" s="26"/>
      <c r="OB184" s="26"/>
      <c r="OC184" s="26"/>
      <c r="OD184" s="26"/>
      <c r="OE184" s="26"/>
      <c r="OF184" s="26"/>
      <c r="OG184" s="26"/>
      <c r="OH184" s="26"/>
      <c r="OI184" s="26"/>
      <c r="OJ184" s="26"/>
      <c r="OK184" s="26"/>
      <c r="OL184" s="26"/>
      <c r="OM184" s="26"/>
      <c r="ON184" s="26"/>
      <c r="OO184" s="26"/>
      <c r="OP184" s="26"/>
      <c r="OQ184" s="26"/>
      <c r="OR184" s="26"/>
      <c r="OS184" s="26"/>
      <c r="OT184" s="26"/>
      <c r="OU184" s="26"/>
      <c r="OV184" s="26"/>
      <c r="OW184" s="26"/>
      <c r="OX184" s="26"/>
      <c r="OY184" s="26"/>
      <c r="OZ184" s="26"/>
      <c r="PA184" s="26"/>
      <c r="PB184" s="26"/>
      <c r="PC184" s="26"/>
      <c r="PD184" s="26"/>
      <c r="PE184" s="26"/>
      <c r="PF184" s="26"/>
      <c r="PG184" s="26"/>
      <c r="PH184" s="26"/>
      <c r="PI184" s="26"/>
      <c r="PJ184" s="26"/>
      <c r="PK184" s="26"/>
      <c r="PL184" s="26"/>
      <c r="PM184" s="26"/>
      <c r="PN184" s="26"/>
      <c r="PO184" s="26"/>
      <c r="PP184" s="26"/>
      <c r="PQ184" s="26"/>
      <c r="PR184" s="26"/>
      <c r="PS184" s="26"/>
      <c r="PT184" s="26"/>
      <c r="PU184" s="26"/>
      <c r="PV184" s="26"/>
      <c r="PW184" s="26"/>
      <c r="PX184" s="26"/>
      <c r="PY184" s="26"/>
      <c r="PZ184" s="26"/>
      <c r="QA184" s="26"/>
      <c r="QB184" s="26"/>
      <c r="QC184" s="26"/>
      <c r="QD184" s="26"/>
      <c r="QE184" s="26"/>
      <c r="QF184" s="26"/>
      <c r="QG184" s="26"/>
      <c r="QH184" s="26"/>
      <c r="QI184" s="26"/>
      <c r="QJ184" s="26"/>
      <c r="QK184" s="26"/>
      <c r="QL184" s="26"/>
      <c r="QM184" s="26"/>
      <c r="QN184" s="26"/>
      <c r="QO184" s="26"/>
      <c r="QP184" s="26"/>
      <c r="QQ184" s="26"/>
      <c r="QR184" s="26"/>
      <c r="QS184" s="26"/>
      <c r="QT184" s="26"/>
      <c r="QU184" s="26"/>
      <c r="QV184" s="26"/>
      <c r="QW184" s="26"/>
      <c r="QX184" s="26"/>
      <c r="QY184" s="26"/>
      <c r="QZ184" s="26"/>
      <c r="RA184" s="26"/>
      <c r="RB184" s="26"/>
      <c r="RC184" s="26"/>
      <c r="RD184" s="26"/>
      <c r="RE184" s="26"/>
      <c r="RF184" s="26"/>
      <c r="RG184" s="26"/>
      <c r="RH184" s="26"/>
      <c r="RI184" s="26"/>
      <c r="RJ184" s="26"/>
      <c r="RK184" s="26"/>
      <c r="RL184" s="26"/>
      <c r="RM184" s="26"/>
      <c r="RN184" s="26"/>
      <c r="RO184" s="26"/>
      <c r="RP184" s="26"/>
      <c r="RQ184" s="26"/>
      <c r="RR184" s="26"/>
      <c r="RS184" s="26"/>
      <c r="RT184" s="26"/>
      <c r="RU184" s="26"/>
      <c r="RV184" s="26"/>
      <c r="RW184" s="26"/>
      <c r="RX184" s="26"/>
      <c r="RY184" s="26"/>
      <c r="RZ184" s="26"/>
      <c r="SA184" s="26"/>
      <c r="SB184" s="26"/>
      <c r="SC184" s="26"/>
      <c r="SD184" s="26"/>
      <c r="SE184" s="26"/>
      <c r="SF184" s="26"/>
      <c r="SG184" s="26"/>
      <c r="SH184" s="26"/>
      <c r="SI184" s="26"/>
      <c r="SJ184" s="26"/>
      <c r="SK184" s="26"/>
      <c r="SL184" s="26"/>
      <c r="SM184" s="26"/>
      <c r="SN184" s="26"/>
      <c r="SO184" s="26"/>
      <c r="SP184" s="26"/>
      <c r="SQ184" s="26"/>
      <c r="SR184" s="26"/>
      <c r="SS184" s="26"/>
      <c r="ST184" s="26"/>
      <c r="SU184" s="26"/>
      <c r="SV184" s="26"/>
      <c r="SW184" s="26"/>
      <c r="SX184" s="26"/>
      <c r="SY184" s="26"/>
      <c r="SZ184" s="26"/>
      <c r="TA184" s="26"/>
      <c r="TB184" s="26"/>
      <c r="TC184" s="26"/>
      <c r="TD184" s="26"/>
      <c r="TE184" s="26"/>
      <c r="TF184" s="26"/>
      <c r="TG184" s="26"/>
      <c r="TH184" s="26"/>
      <c r="TI184" s="26"/>
    </row>
    <row r="185" spans="1:529" s="31" customFormat="1" ht="34.5" customHeight="1" x14ac:dyDescent="0.2">
      <c r="A185" s="178" t="s">
        <v>211</v>
      </c>
      <c r="B185" s="71"/>
      <c r="C185" s="71"/>
      <c r="D185" s="30" t="s">
        <v>36</v>
      </c>
      <c r="E185" s="63">
        <f>E186</f>
        <v>265358782.20999998</v>
      </c>
      <c r="F185" s="63">
        <f t="shared" ref="F185:J185" si="81">F186</f>
        <v>222749250.20999998</v>
      </c>
      <c r="G185" s="63">
        <f t="shared" si="81"/>
        <v>10410700</v>
      </c>
      <c r="H185" s="63">
        <f t="shared" si="81"/>
        <v>28376106</v>
      </c>
      <c r="I185" s="63">
        <f t="shared" si="81"/>
        <v>42609532</v>
      </c>
      <c r="J185" s="63">
        <f t="shared" si="81"/>
        <v>223485738.38999996</v>
      </c>
      <c r="K185" s="63">
        <f t="shared" ref="K185" si="82">K186</f>
        <v>137516604.66999996</v>
      </c>
      <c r="L185" s="63">
        <f t="shared" ref="L185" si="83">L186</f>
        <v>81486890.269999996</v>
      </c>
      <c r="M185" s="63">
        <f t="shared" ref="M185" si="84">M186</f>
        <v>0</v>
      </c>
      <c r="N185" s="63">
        <f t="shared" ref="N185" si="85">N186</f>
        <v>0</v>
      </c>
      <c r="O185" s="63">
        <f t="shared" ref="O185:P185" si="86">O186</f>
        <v>141998848.11999997</v>
      </c>
      <c r="P185" s="63">
        <f t="shared" si="86"/>
        <v>488844520.59999996</v>
      </c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  <c r="IV185" s="38"/>
      <c r="IW185" s="38"/>
      <c r="IX185" s="38"/>
      <c r="IY185" s="38"/>
      <c r="IZ185" s="38"/>
      <c r="JA185" s="38"/>
      <c r="JB185" s="38"/>
      <c r="JC185" s="38"/>
      <c r="JD185" s="38"/>
      <c r="JE185" s="38"/>
      <c r="JF185" s="38"/>
      <c r="JG185" s="38"/>
      <c r="JH185" s="38"/>
      <c r="JI185" s="38"/>
      <c r="JJ185" s="38"/>
      <c r="JK185" s="38"/>
      <c r="JL185" s="38"/>
      <c r="JM185" s="38"/>
      <c r="JN185" s="38"/>
      <c r="JO185" s="38"/>
      <c r="JP185" s="38"/>
      <c r="JQ185" s="38"/>
      <c r="JR185" s="38"/>
      <c r="JS185" s="38"/>
      <c r="JT185" s="38"/>
      <c r="JU185" s="38"/>
      <c r="JV185" s="38"/>
      <c r="JW185" s="38"/>
      <c r="JX185" s="38"/>
      <c r="JY185" s="38"/>
      <c r="JZ185" s="38"/>
      <c r="KA185" s="38"/>
      <c r="KB185" s="38"/>
      <c r="KC185" s="38"/>
      <c r="KD185" s="38"/>
      <c r="KE185" s="38"/>
      <c r="KF185" s="38"/>
      <c r="KG185" s="38"/>
      <c r="KH185" s="38"/>
      <c r="KI185" s="38"/>
      <c r="KJ185" s="38"/>
      <c r="KK185" s="38"/>
      <c r="KL185" s="38"/>
      <c r="KM185" s="38"/>
      <c r="KN185" s="38"/>
      <c r="KO185" s="38"/>
      <c r="KP185" s="38"/>
      <c r="KQ185" s="38"/>
      <c r="KR185" s="38"/>
      <c r="KS185" s="38"/>
      <c r="KT185" s="38"/>
      <c r="KU185" s="38"/>
      <c r="KV185" s="38"/>
      <c r="KW185" s="38"/>
      <c r="KX185" s="38"/>
      <c r="KY185" s="38"/>
      <c r="KZ185" s="38"/>
      <c r="LA185" s="38"/>
      <c r="LB185" s="38"/>
      <c r="LC185" s="38"/>
      <c r="LD185" s="38"/>
      <c r="LE185" s="38"/>
      <c r="LF185" s="38"/>
      <c r="LG185" s="38"/>
      <c r="LH185" s="38"/>
      <c r="LI185" s="38"/>
      <c r="LJ185" s="38"/>
      <c r="LK185" s="38"/>
      <c r="LL185" s="38"/>
      <c r="LM185" s="38"/>
      <c r="LN185" s="38"/>
      <c r="LO185" s="38"/>
      <c r="LP185" s="38"/>
      <c r="LQ185" s="38"/>
      <c r="LR185" s="38"/>
      <c r="LS185" s="38"/>
      <c r="LT185" s="38"/>
      <c r="LU185" s="38"/>
      <c r="LV185" s="38"/>
      <c r="LW185" s="38"/>
      <c r="LX185" s="38"/>
      <c r="LY185" s="38"/>
      <c r="LZ185" s="38"/>
      <c r="MA185" s="38"/>
      <c r="MB185" s="38"/>
      <c r="MC185" s="38"/>
      <c r="MD185" s="38"/>
      <c r="ME185" s="38"/>
      <c r="MF185" s="38"/>
      <c r="MG185" s="38"/>
      <c r="MH185" s="38"/>
      <c r="MI185" s="38"/>
      <c r="MJ185" s="38"/>
      <c r="MK185" s="38"/>
      <c r="ML185" s="38"/>
      <c r="MM185" s="38"/>
      <c r="MN185" s="38"/>
      <c r="MO185" s="38"/>
      <c r="MP185" s="38"/>
      <c r="MQ185" s="38"/>
      <c r="MR185" s="38"/>
      <c r="MS185" s="38"/>
      <c r="MT185" s="38"/>
      <c r="MU185" s="38"/>
      <c r="MV185" s="38"/>
      <c r="MW185" s="38"/>
      <c r="MX185" s="38"/>
      <c r="MY185" s="38"/>
      <c r="MZ185" s="38"/>
      <c r="NA185" s="38"/>
      <c r="NB185" s="38"/>
      <c r="NC185" s="38"/>
      <c r="ND185" s="38"/>
      <c r="NE185" s="38"/>
      <c r="NF185" s="38"/>
      <c r="NG185" s="38"/>
      <c r="NH185" s="38"/>
      <c r="NI185" s="38"/>
      <c r="NJ185" s="38"/>
      <c r="NK185" s="38"/>
      <c r="NL185" s="38"/>
      <c r="NM185" s="38"/>
      <c r="NN185" s="38"/>
      <c r="NO185" s="38"/>
      <c r="NP185" s="38"/>
      <c r="NQ185" s="38"/>
      <c r="NR185" s="38"/>
      <c r="NS185" s="38"/>
      <c r="NT185" s="38"/>
      <c r="NU185" s="38"/>
      <c r="NV185" s="38"/>
      <c r="NW185" s="38"/>
      <c r="NX185" s="38"/>
      <c r="NY185" s="38"/>
      <c r="NZ185" s="38"/>
      <c r="OA185" s="38"/>
      <c r="OB185" s="38"/>
      <c r="OC185" s="38"/>
      <c r="OD185" s="38"/>
      <c r="OE185" s="38"/>
      <c r="OF185" s="38"/>
      <c r="OG185" s="38"/>
      <c r="OH185" s="38"/>
      <c r="OI185" s="38"/>
      <c r="OJ185" s="38"/>
      <c r="OK185" s="38"/>
      <c r="OL185" s="38"/>
      <c r="OM185" s="38"/>
      <c r="ON185" s="38"/>
      <c r="OO185" s="38"/>
      <c r="OP185" s="38"/>
      <c r="OQ185" s="38"/>
      <c r="OR185" s="38"/>
      <c r="OS185" s="38"/>
      <c r="OT185" s="38"/>
      <c r="OU185" s="38"/>
      <c r="OV185" s="38"/>
      <c r="OW185" s="38"/>
      <c r="OX185" s="38"/>
      <c r="OY185" s="38"/>
      <c r="OZ185" s="38"/>
      <c r="PA185" s="38"/>
      <c r="PB185" s="38"/>
      <c r="PC185" s="38"/>
      <c r="PD185" s="38"/>
      <c r="PE185" s="38"/>
      <c r="PF185" s="38"/>
      <c r="PG185" s="38"/>
      <c r="PH185" s="38"/>
      <c r="PI185" s="38"/>
      <c r="PJ185" s="38"/>
      <c r="PK185" s="38"/>
      <c r="PL185" s="38"/>
      <c r="PM185" s="38"/>
      <c r="PN185" s="38"/>
      <c r="PO185" s="38"/>
      <c r="PP185" s="38"/>
      <c r="PQ185" s="38"/>
      <c r="PR185" s="38"/>
      <c r="PS185" s="38"/>
      <c r="PT185" s="38"/>
      <c r="PU185" s="38"/>
      <c r="PV185" s="38"/>
      <c r="PW185" s="38"/>
      <c r="PX185" s="38"/>
      <c r="PY185" s="38"/>
      <c r="PZ185" s="38"/>
      <c r="QA185" s="38"/>
      <c r="QB185" s="38"/>
      <c r="QC185" s="38"/>
      <c r="QD185" s="38"/>
      <c r="QE185" s="38"/>
      <c r="QF185" s="38"/>
      <c r="QG185" s="38"/>
      <c r="QH185" s="38"/>
      <c r="QI185" s="38"/>
      <c r="QJ185" s="38"/>
      <c r="QK185" s="38"/>
      <c r="QL185" s="38"/>
      <c r="QM185" s="38"/>
      <c r="QN185" s="38"/>
      <c r="QO185" s="38"/>
      <c r="QP185" s="38"/>
      <c r="QQ185" s="38"/>
      <c r="QR185" s="38"/>
      <c r="QS185" s="38"/>
      <c r="QT185" s="38"/>
      <c r="QU185" s="38"/>
      <c r="QV185" s="38"/>
      <c r="QW185" s="38"/>
      <c r="QX185" s="38"/>
      <c r="QY185" s="38"/>
      <c r="QZ185" s="38"/>
      <c r="RA185" s="38"/>
      <c r="RB185" s="38"/>
      <c r="RC185" s="38"/>
      <c r="RD185" s="38"/>
      <c r="RE185" s="38"/>
      <c r="RF185" s="38"/>
      <c r="RG185" s="38"/>
      <c r="RH185" s="38"/>
      <c r="RI185" s="38"/>
      <c r="RJ185" s="38"/>
      <c r="RK185" s="38"/>
      <c r="RL185" s="38"/>
      <c r="RM185" s="38"/>
      <c r="RN185" s="38"/>
      <c r="RO185" s="38"/>
      <c r="RP185" s="38"/>
      <c r="RQ185" s="38"/>
      <c r="RR185" s="38"/>
      <c r="RS185" s="38"/>
      <c r="RT185" s="38"/>
      <c r="RU185" s="38"/>
      <c r="RV185" s="38"/>
      <c r="RW185" s="38"/>
      <c r="RX185" s="38"/>
      <c r="RY185" s="38"/>
      <c r="RZ185" s="38"/>
      <c r="SA185" s="38"/>
      <c r="SB185" s="38"/>
      <c r="SC185" s="38"/>
      <c r="SD185" s="38"/>
      <c r="SE185" s="38"/>
      <c r="SF185" s="38"/>
      <c r="SG185" s="38"/>
      <c r="SH185" s="38"/>
      <c r="SI185" s="38"/>
      <c r="SJ185" s="38"/>
      <c r="SK185" s="38"/>
      <c r="SL185" s="38"/>
      <c r="SM185" s="38"/>
      <c r="SN185" s="38"/>
      <c r="SO185" s="38"/>
      <c r="SP185" s="38"/>
      <c r="SQ185" s="38"/>
      <c r="SR185" s="38"/>
      <c r="SS185" s="38"/>
      <c r="ST185" s="38"/>
      <c r="SU185" s="38"/>
      <c r="SV185" s="38"/>
      <c r="SW185" s="38"/>
      <c r="SX185" s="38"/>
      <c r="SY185" s="38"/>
      <c r="SZ185" s="38"/>
      <c r="TA185" s="38"/>
      <c r="TB185" s="38"/>
      <c r="TC185" s="38"/>
      <c r="TD185" s="38"/>
      <c r="TE185" s="38"/>
      <c r="TF185" s="38"/>
      <c r="TG185" s="38"/>
      <c r="TH185" s="38"/>
      <c r="TI185" s="38"/>
    </row>
    <row r="186" spans="1:529" s="40" customFormat="1" ht="36.75" customHeight="1" x14ac:dyDescent="0.25">
      <c r="A186" s="73" t="s">
        <v>212</v>
      </c>
      <c r="B186" s="72"/>
      <c r="C186" s="72"/>
      <c r="D186" s="33" t="s">
        <v>460</v>
      </c>
      <c r="E186" s="65">
        <f>E189+E190+E191+E192+E193+E194+E195+E196+E197+E198+E199+E201+E200+E203+E207+E208+E209+E210+E213+E214+E202+E205+E212+E211</f>
        <v>265358782.20999998</v>
      </c>
      <c r="F186" s="65">
        <f t="shared" ref="F186:P186" si="87">F189+F190+F191+F192+F193+F194+F195+F196+F197+F198+F199+F201+F200+F203+F207+F208+F209+F210+F213+F214+F202+F205+F212+F211</f>
        <v>222749250.20999998</v>
      </c>
      <c r="G186" s="65">
        <f t="shared" si="87"/>
        <v>10410700</v>
      </c>
      <c r="H186" s="65">
        <f t="shared" si="87"/>
        <v>28376106</v>
      </c>
      <c r="I186" s="65">
        <f t="shared" si="87"/>
        <v>42609532</v>
      </c>
      <c r="J186" s="65">
        <f t="shared" si="87"/>
        <v>223485738.38999996</v>
      </c>
      <c r="K186" s="65">
        <f t="shared" si="87"/>
        <v>137516604.66999996</v>
      </c>
      <c r="L186" s="65">
        <f t="shared" si="87"/>
        <v>81486890.269999996</v>
      </c>
      <c r="M186" s="65">
        <f t="shared" si="87"/>
        <v>0</v>
      </c>
      <c r="N186" s="65">
        <f t="shared" si="87"/>
        <v>0</v>
      </c>
      <c r="O186" s="65">
        <f t="shared" si="87"/>
        <v>141998848.11999997</v>
      </c>
      <c r="P186" s="65">
        <f t="shared" si="87"/>
        <v>488844520.59999996</v>
      </c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  <c r="IV186" s="39"/>
      <c r="IW186" s="39"/>
      <c r="IX186" s="39"/>
      <c r="IY186" s="39"/>
      <c r="IZ186" s="39"/>
      <c r="JA186" s="39"/>
      <c r="JB186" s="39"/>
      <c r="JC186" s="39"/>
      <c r="JD186" s="39"/>
      <c r="JE186" s="39"/>
      <c r="JF186" s="39"/>
      <c r="JG186" s="39"/>
      <c r="JH186" s="39"/>
      <c r="JI186" s="39"/>
      <c r="JJ186" s="39"/>
      <c r="JK186" s="39"/>
      <c r="JL186" s="39"/>
      <c r="JM186" s="39"/>
      <c r="JN186" s="39"/>
      <c r="JO186" s="39"/>
      <c r="JP186" s="39"/>
      <c r="JQ186" s="39"/>
      <c r="JR186" s="39"/>
      <c r="JS186" s="39"/>
      <c r="JT186" s="39"/>
      <c r="JU186" s="39"/>
      <c r="JV186" s="39"/>
      <c r="JW186" s="39"/>
      <c r="JX186" s="39"/>
      <c r="JY186" s="39"/>
      <c r="JZ186" s="39"/>
      <c r="KA186" s="39"/>
      <c r="KB186" s="39"/>
      <c r="KC186" s="39"/>
      <c r="KD186" s="39"/>
      <c r="KE186" s="39"/>
      <c r="KF186" s="39"/>
      <c r="KG186" s="39"/>
      <c r="KH186" s="39"/>
      <c r="KI186" s="39"/>
      <c r="KJ186" s="39"/>
      <c r="KK186" s="39"/>
      <c r="KL186" s="39"/>
      <c r="KM186" s="39"/>
      <c r="KN186" s="39"/>
      <c r="KO186" s="39"/>
      <c r="KP186" s="39"/>
      <c r="KQ186" s="39"/>
      <c r="KR186" s="39"/>
      <c r="KS186" s="39"/>
      <c r="KT186" s="39"/>
      <c r="KU186" s="39"/>
      <c r="KV186" s="39"/>
      <c r="KW186" s="39"/>
      <c r="KX186" s="39"/>
      <c r="KY186" s="39"/>
      <c r="KZ186" s="39"/>
      <c r="LA186" s="39"/>
      <c r="LB186" s="39"/>
      <c r="LC186" s="39"/>
      <c r="LD186" s="39"/>
      <c r="LE186" s="39"/>
      <c r="LF186" s="39"/>
      <c r="LG186" s="39"/>
      <c r="LH186" s="39"/>
      <c r="LI186" s="39"/>
      <c r="LJ186" s="39"/>
      <c r="LK186" s="39"/>
      <c r="LL186" s="39"/>
      <c r="LM186" s="39"/>
      <c r="LN186" s="39"/>
      <c r="LO186" s="39"/>
      <c r="LP186" s="39"/>
      <c r="LQ186" s="39"/>
      <c r="LR186" s="39"/>
      <c r="LS186" s="39"/>
      <c r="LT186" s="39"/>
      <c r="LU186" s="39"/>
      <c r="LV186" s="39"/>
      <c r="LW186" s="39"/>
      <c r="LX186" s="39"/>
      <c r="LY186" s="39"/>
      <c r="LZ186" s="39"/>
      <c r="MA186" s="39"/>
      <c r="MB186" s="39"/>
      <c r="MC186" s="39"/>
      <c r="MD186" s="39"/>
      <c r="ME186" s="39"/>
      <c r="MF186" s="39"/>
      <c r="MG186" s="39"/>
      <c r="MH186" s="39"/>
      <c r="MI186" s="39"/>
      <c r="MJ186" s="39"/>
      <c r="MK186" s="39"/>
      <c r="ML186" s="39"/>
      <c r="MM186" s="39"/>
      <c r="MN186" s="39"/>
      <c r="MO186" s="39"/>
      <c r="MP186" s="39"/>
      <c r="MQ186" s="39"/>
      <c r="MR186" s="39"/>
      <c r="MS186" s="39"/>
      <c r="MT186" s="39"/>
      <c r="MU186" s="39"/>
      <c r="MV186" s="39"/>
      <c r="MW186" s="39"/>
      <c r="MX186" s="39"/>
      <c r="MY186" s="39"/>
      <c r="MZ186" s="39"/>
      <c r="NA186" s="39"/>
      <c r="NB186" s="39"/>
      <c r="NC186" s="39"/>
      <c r="ND186" s="39"/>
      <c r="NE186" s="39"/>
      <c r="NF186" s="39"/>
      <c r="NG186" s="39"/>
      <c r="NH186" s="39"/>
      <c r="NI186" s="39"/>
      <c r="NJ186" s="39"/>
      <c r="NK186" s="39"/>
      <c r="NL186" s="39"/>
      <c r="NM186" s="39"/>
      <c r="NN186" s="39"/>
      <c r="NO186" s="39"/>
      <c r="NP186" s="39"/>
      <c r="NQ186" s="39"/>
      <c r="NR186" s="39"/>
      <c r="NS186" s="39"/>
      <c r="NT186" s="39"/>
      <c r="NU186" s="39"/>
      <c r="NV186" s="39"/>
      <c r="NW186" s="39"/>
      <c r="NX186" s="39"/>
      <c r="NY186" s="39"/>
      <c r="NZ186" s="39"/>
      <c r="OA186" s="39"/>
      <c r="OB186" s="39"/>
      <c r="OC186" s="39"/>
      <c r="OD186" s="39"/>
      <c r="OE186" s="39"/>
      <c r="OF186" s="39"/>
      <c r="OG186" s="39"/>
      <c r="OH186" s="39"/>
      <c r="OI186" s="39"/>
      <c r="OJ186" s="39"/>
      <c r="OK186" s="39"/>
      <c r="OL186" s="39"/>
      <c r="OM186" s="39"/>
      <c r="ON186" s="39"/>
      <c r="OO186" s="39"/>
      <c r="OP186" s="39"/>
      <c r="OQ186" s="39"/>
      <c r="OR186" s="39"/>
      <c r="OS186" s="39"/>
      <c r="OT186" s="39"/>
      <c r="OU186" s="39"/>
      <c r="OV186" s="39"/>
      <c r="OW186" s="39"/>
      <c r="OX186" s="39"/>
      <c r="OY186" s="39"/>
      <c r="OZ186" s="39"/>
      <c r="PA186" s="39"/>
      <c r="PB186" s="39"/>
      <c r="PC186" s="39"/>
      <c r="PD186" s="39"/>
      <c r="PE186" s="39"/>
      <c r="PF186" s="39"/>
      <c r="PG186" s="39"/>
      <c r="PH186" s="39"/>
      <c r="PI186" s="39"/>
      <c r="PJ186" s="39"/>
      <c r="PK186" s="39"/>
      <c r="PL186" s="39"/>
      <c r="PM186" s="39"/>
      <c r="PN186" s="39"/>
      <c r="PO186" s="39"/>
      <c r="PP186" s="39"/>
      <c r="PQ186" s="39"/>
      <c r="PR186" s="39"/>
      <c r="PS186" s="39"/>
      <c r="PT186" s="39"/>
      <c r="PU186" s="39"/>
      <c r="PV186" s="39"/>
      <c r="PW186" s="39"/>
      <c r="PX186" s="39"/>
      <c r="PY186" s="39"/>
      <c r="PZ186" s="39"/>
      <c r="QA186" s="39"/>
      <c r="QB186" s="39"/>
      <c r="QC186" s="39"/>
      <c r="QD186" s="39"/>
      <c r="QE186" s="39"/>
      <c r="QF186" s="39"/>
      <c r="QG186" s="39"/>
      <c r="QH186" s="39"/>
      <c r="QI186" s="39"/>
      <c r="QJ186" s="39"/>
      <c r="QK186" s="39"/>
      <c r="QL186" s="39"/>
      <c r="QM186" s="39"/>
      <c r="QN186" s="39"/>
      <c r="QO186" s="39"/>
      <c r="QP186" s="39"/>
      <c r="QQ186" s="39"/>
      <c r="QR186" s="39"/>
      <c r="QS186" s="39"/>
      <c r="QT186" s="39"/>
      <c r="QU186" s="39"/>
      <c r="QV186" s="39"/>
      <c r="QW186" s="39"/>
      <c r="QX186" s="39"/>
      <c r="QY186" s="39"/>
      <c r="QZ186" s="39"/>
      <c r="RA186" s="39"/>
      <c r="RB186" s="39"/>
      <c r="RC186" s="39"/>
      <c r="RD186" s="39"/>
      <c r="RE186" s="39"/>
      <c r="RF186" s="39"/>
      <c r="RG186" s="39"/>
      <c r="RH186" s="39"/>
      <c r="RI186" s="39"/>
      <c r="RJ186" s="39"/>
      <c r="RK186" s="39"/>
      <c r="RL186" s="39"/>
      <c r="RM186" s="39"/>
      <c r="RN186" s="39"/>
      <c r="RO186" s="39"/>
      <c r="RP186" s="39"/>
      <c r="RQ186" s="39"/>
      <c r="RR186" s="39"/>
      <c r="RS186" s="39"/>
      <c r="RT186" s="39"/>
      <c r="RU186" s="39"/>
      <c r="RV186" s="39"/>
      <c r="RW186" s="39"/>
      <c r="RX186" s="39"/>
      <c r="RY186" s="39"/>
      <c r="RZ186" s="39"/>
      <c r="SA186" s="39"/>
      <c r="SB186" s="39"/>
      <c r="SC186" s="39"/>
      <c r="SD186" s="39"/>
      <c r="SE186" s="39"/>
      <c r="SF186" s="39"/>
      <c r="SG186" s="39"/>
      <c r="SH186" s="39"/>
      <c r="SI186" s="39"/>
      <c r="SJ186" s="39"/>
      <c r="SK186" s="39"/>
      <c r="SL186" s="39"/>
      <c r="SM186" s="39"/>
      <c r="SN186" s="39"/>
      <c r="SO186" s="39"/>
      <c r="SP186" s="39"/>
      <c r="SQ186" s="39"/>
      <c r="SR186" s="39"/>
      <c r="SS186" s="39"/>
      <c r="ST186" s="39"/>
      <c r="SU186" s="39"/>
      <c r="SV186" s="39"/>
      <c r="SW186" s="39"/>
      <c r="SX186" s="39"/>
      <c r="SY186" s="39"/>
      <c r="SZ186" s="39"/>
      <c r="TA186" s="39"/>
      <c r="TB186" s="39"/>
      <c r="TC186" s="39"/>
      <c r="TD186" s="39"/>
      <c r="TE186" s="39"/>
      <c r="TF186" s="39"/>
      <c r="TG186" s="39"/>
      <c r="TH186" s="39"/>
      <c r="TI186" s="39"/>
    </row>
    <row r="187" spans="1:529" s="40" customFormat="1" ht="45" x14ac:dyDescent="0.25">
      <c r="A187" s="73"/>
      <c r="B187" s="72"/>
      <c r="C187" s="72"/>
      <c r="D187" s="33" t="s">
        <v>452</v>
      </c>
      <c r="E187" s="65">
        <f>E204</f>
        <v>0</v>
      </c>
      <c r="F187" s="65">
        <f t="shared" ref="F187:P187" si="88">F204</f>
        <v>0</v>
      </c>
      <c r="G187" s="65">
        <f t="shared" si="88"/>
        <v>0</v>
      </c>
      <c r="H187" s="65">
        <f t="shared" si="88"/>
        <v>0</v>
      </c>
      <c r="I187" s="65">
        <f t="shared" si="88"/>
        <v>0</v>
      </c>
      <c r="J187" s="65">
        <f t="shared" si="88"/>
        <v>937420.38</v>
      </c>
      <c r="K187" s="65">
        <f t="shared" si="88"/>
        <v>937420.38</v>
      </c>
      <c r="L187" s="65">
        <f t="shared" si="88"/>
        <v>0</v>
      </c>
      <c r="M187" s="65">
        <f t="shared" si="88"/>
        <v>0</v>
      </c>
      <c r="N187" s="65">
        <f t="shared" si="88"/>
        <v>0</v>
      </c>
      <c r="O187" s="65">
        <f t="shared" si="88"/>
        <v>937420.38</v>
      </c>
      <c r="P187" s="65">
        <f t="shared" si="88"/>
        <v>937420.38</v>
      </c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  <c r="HT187" s="39"/>
      <c r="HU187" s="39"/>
      <c r="HV187" s="39"/>
      <c r="HW187" s="39"/>
      <c r="HX187" s="39"/>
      <c r="HY187" s="39"/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  <c r="IV187" s="39"/>
      <c r="IW187" s="39"/>
      <c r="IX187" s="39"/>
      <c r="IY187" s="39"/>
      <c r="IZ187" s="39"/>
      <c r="JA187" s="39"/>
      <c r="JB187" s="39"/>
      <c r="JC187" s="39"/>
      <c r="JD187" s="39"/>
      <c r="JE187" s="39"/>
      <c r="JF187" s="39"/>
      <c r="JG187" s="39"/>
      <c r="JH187" s="39"/>
      <c r="JI187" s="39"/>
      <c r="JJ187" s="39"/>
      <c r="JK187" s="39"/>
      <c r="JL187" s="39"/>
      <c r="JM187" s="39"/>
      <c r="JN187" s="39"/>
      <c r="JO187" s="39"/>
      <c r="JP187" s="39"/>
      <c r="JQ187" s="39"/>
      <c r="JR187" s="39"/>
      <c r="JS187" s="39"/>
      <c r="JT187" s="39"/>
      <c r="JU187" s="39"/>
      <c r="JV187" s="39"/>
      <c r="JW187" s="39"/>
      <c r="JX187" s="39"/>
      <c r="JY187" s="39"/>
      <c r="JZ187" s="39"/>
      <c r="KA187" s="39"/>
      <c r="KB187" s="39"/>
      <c r="KC187" s="39"/>
      <c r="KD187" s="39"/>
      <c r="KE187" s="39"/>
      <c r="KF187" s="39"/>
      <c r="KG187" s="39"/>
      <c r="KH187" s="39"/>
      <c r="KI187" s="39"/>
      <c r="KJ187" s="39"/>
      <c r="KK187" s="39"/>
      <c r="KL187" s="39"/>
      <c r="KM187" s="39"/>
      <c r="KN187" s="39"/>
      <c r="KO187" s="39"/>
      <c r="KP187" s="39"/>
      <c r="KQ187" s="39"/>
      <c r="KR187" s="39"/>
      <c r="KS187" s="39"/>
      <c r="KT187" s="39"/>
      <c r="KU187" s="39"/>
      <c r="KV187" s="39"/>
      <c r="KW187" s="39"/>
      <c r="KX187" s="39"/>
      <c r="KY187" s="39"/>
      <c r="KZ187" s="39"/>
      <c r="LA187" s="39"/>
      <c r="LB187" s="39"/>
      <c r="LC187" s="39"/>
      <c r="LD187" s="39"/>
      <c r="LE187" s="39"/>
      <c r="LF187" s="39"/>
      <c r="LG187" s="39"/>
      <c r="LH187" s="39"/>
      <c r="LI187" s="39"/>
      <c r="LJ187" s="39"/>
      <c r="LK187" s="39"/>
      <c r="LL187" s="39"/>
      <c r="LM187" s="39"/>
      <c r="LN187" s="39"/>
      <c r="LO187" s="39"/>
      <c r="LP187" s="39"/>
      <c r="LQ187" s="39"/>
      <c r="LR187" s="39"/>
      <c r="LS187" s="39"/>
      <c r="LT187" s="39"/>
      <c r="LU187" s="39"/>
      <c r="LV187" s="39"/>
      <c r="LW187" s="39"/>
      <c r="LX187" s="39"/>
      <c r="LY187" s="39"/>
      <c r="LZ187" s="39"/>
      <c r="MA187" s="39"/>
      <c r="MB187" s="39"/>
      <c r="MC187" s="39"/>
      <c r="MD187" s="39"/>
      <c r="ME187" s="39"/>
      <c r="MF187" s="39"/>
      <c r="MG187" s="39"/>
      <c r="MH187" s="39"/>
      <c r="MI187" s="39"/>
      <c r="MJ187" s="39"/>
      <c r="MK187" s="39"/>
      <c r="ML187" s="39"/>
      <c r="MM187" s="39"/>
      <c r="MN187" s="39"/>
      <c r="MO187" s="39"/>
      <c r="MP187" s="39"/>
      <c r="MQ187" s="39"/>
      <c r="MR187" s="39"/>
      <c r="MS187" s="39"/>
      <c r="MT187" s="39"/>
      <c r="MU187" s="39"/>
      <c r="MV187" s="39"/>
      <c r="MW187" s="39"/>
      <c r="MX187" s="39"/>
      <c r="MY187" s="39"/>
      <c r="MZ187" s="39"/>
      <c r="NA187" s="39"/>
      <c r="NB187" s="39"/>
      <c r="NC187" s="39"/>
      <c r="ND187" s="39"/>
      <c r="NE187" s="39"/>
      <c r="NF187" s="39"/>
      <c r="NG187" s="39"/>
      <c r="NH187" s="39"/>
      <c r="NI187" s="39"/>
      <c r="NJ187" s="39"/>
      <c r="NK187" s="39"/>
      <c r="NL187" s="39"/>
      <c r="NM187" s="39"/>
      <c r="NN187" s="39"/>
      <c r="NO187" s="39"/>
      <c r="NP187" s="39"/>
      <c r="NQ187" s="39"/>
      <c r="NR187" s="39"/>
      <c r="NS187" s="39"/>
      <c r="NT187" s="39"/>
      <c r="NU187" s="39"/>
      <c r="NV187" s="39"/>
      <c r="NW187" s="39"/>
      <c r="NX187" s="39"/>
      <c r="NY187" s="39"/>
      <c r="NZ187" s="39"/>
      <c r="OA187" s="39"/>
      <c r="OB187" s="39"/>
      <c r="OC187" s="39"/>
      <c r="OD187" s="39"/>
      <c r="OE187" s="39"/>
      <c r="OF187" s="39"/>
      <c r="OG187" s="39"/>
      <c r="OH187" s="39"/>
      <c r="OI187" s="39"/>
      <c r="OJ187" s="39"/>
      <c r="OK187" s="39"/>
      <c r="OL187" s="39"/>
      <c r="OM187" s="39"/>
      <c r="ON187" s="39"/>
      <c r="OO187" s="39"/>
      <c r="OP187" s="39"/>
      <c r="OQ187" s="39"/>
      <c r="OR187" s="39"/>
      <c r="OS187" s="39"/>
      <c r="OT187" s="39"/>
      <c r="OU187" s="39"/>
      <c r="OV187" s="39"/>
      <c r="OW187" s="39"/>
      <c r="OX187" s="39"/>
      <c r="OY187" s="39"/>
      <c r="OZ187" s="39"/>
      <c r="PA187" s="39"/>
      <c r="PB187" s="39"/>
      <c r="PC187" s="39"/>
      <c r="PD187" s="39"/>
      <c r="PE187" s="39"/>
      <c r="PF187" s="39"/>
      <c r="PG187" s="39"/>
      <c r="PH187" s="39"/>
      <c r="PI187" s="39"/>
      <c r="PJ187" s="39"/>
      <c r="PK187" s="39"/>
      <c r="PL187" s="39"/>
      <c r="PM187" s="39"/>
      <c r="PN187" s="39"/>
      <c r="PO187" s="39"/>
      <c r="PP187" s="39"/>
      <c r="PQ187" s="39"/>
      <c r="PR187" s="39"/>
      <c r="PS187" s="39"/>
      <c r="PT187" s="39"/>
      <c r="PU187" s="39"/>
      <c r="PV187" s="39"/>
      <c r="PW187" s="39"/>
      <c r="PX187" s="39"/>
      <c r="PY187" s="39"/>
      <c r="PZ187" s="39"/>
      <c r="QA187" s="39"/>
      <c r="QB187" s="39"/>
      <c r="QC187" s="39"/>
      <c r="QD187" s="39"/>
      <c r="QE187" s="39"/>
      <c r="QF187" s="39"/>
      <c r="QG187" s="39"/>
      <c r="QH187" s="39"/>
      <c r="QI187" s="39"/>
      <c r="QJ187" s="39"/>
      <c r="QK187" s="39"/>
      <c r="QL187" s="39"/>
      <c r="QM187" s="39"/>
      <c r="QN187" s="39"/>
      <c r="QO187" s="39"/>
      <c r="QP187" s="39"/>
      <c r="QQ187" s="39"/>
      <c r="QR187" s="39"/>
      <c r="QS187" s="39"/>
      <c r="QT187" s="39"/>
      <c r="QU187" s="39"/>
      <c r="QV187" s="39"/>
      <c r="QW187" s="39"/>
      <c r="QX187" s="39"/>
      <c r="QY187" s="39"/>
      <c r="QZ187" s="39"/>
      <c r="RA187" s="39"/>
      <c r="RB187" s="39"/>
      <c r="RC187" s="39"/>
      <c r="RD187" s="39"/>
      <c r="RE187" s="39"/>
      <c r="RF187" s="39"/>
      <c r="RG187" s="39"/>
      <c r="RH187" s="39"/>
      <c r="RI187" s="39"/>
      <c r="RJ187" s="39"/>
      <c r="RK187" s="39"/>
      <c r="RL187" s="39"/>
      <c r="RM187" s="39"/>
      <c r="RN187" s="39"/>
      <c r="RO187" s="39"/>
      <c r="RP187" s="39"/>
      <c r="RQ187" s="39"/>
      <c r="RR187" s="39"/>
      <c r="RS187" s="39"/>
      <c r="RT187" s="39"/>
      <c r="RU187" s="39"/>
      <c r="RV187" s="39"/>
      <c r="RW187" s="39"/>
      <c r="RX187" s="39"/>
      <c r="RY187" s="39"/>
      <c r="RZ187" s="39"/>
      <c r="SA187" s="39"/>
      <c r="SB187" s="39"/>
      <c r="SC187" s="39"/>
      <c r="SD187" s="39"/>
      <c r="SE187" s="39"/>
      <c r="SF187" s="39"/>
      <c r="SG187" s="39"/>
      <c r="SH187" s="39"/>
      <c r="SI187" s="39"/>
      <c r="SJ187" s="39"/>
      <c r="SK187" s="39"/>
      <c r="SL187" s="39"/>
      <c r="SM187" s="39"/>
      <c r="SN187" s="39"/>
      <c r="SO187" s="39"/>
      <c r="SP187" s="39"/>
      <c r="SQ187" s="39"/>
      <c r="SR187" s="39"/>
      <c r="SS187" s="39"/>
      <c r="ST187" s="39"/>
      <c r="SU187" s="39"/>
      <c r="SV187" s="39"/>
      <c r="SW187" s="39"/>
      <c r="SX187" s="39"/>
      <c r="SY187" s="39"/>
      <c r="SZ187" s="39"/>
      <c r="TA187" s="39"/>
      <c r="TB187" s="39"/>
      <c r="TC187" s="39"/>
      <c r="TD187" s="39"/>
      <c r="TE187" s="39"/>
      <c r="TF187" s="39"/>
      <c r="TG187" s="39"/>
      <c r="TH187" s="39"/>
      <c r="TI187" s="39"/>
    </row>
    <row r="188" spans="1:529" s="40" customFormat="1" ht="96.75" customHeight="1" x14ac:dyDescent="0.25">
      <c r="A188" s="73"/>
      <c r="B188" s="72"/>
      <c r="C188" s="72"/>
      <c r="D188" s="33" t="s">
        <v>461</v>
      </c>
      <c r="E188" s="65">
        <f>E206</f>
        <v>0</v>
      </c>
      <c r="F188" s="65">
        <f t="shared" ref="F188:P188" si="89">F206</f>
        <v>0</v>
      </c>
      <c r="G188" s="65">
        <f t="shared" si="89"/>
        <v>0</v>
      </c>
      <c r="H188" s="65">
        <f t="shared" si="89"/>
        <v>0</v>
      </c>
      <c r="I188" s="65">
        <f t="shared" si="89"/>
        <v>0</v>
      </c>
      <c r="J188" s="65">
        <f t="shared" si="89"/>
        <v>80000000</v>
      </c>
      <c r="K188" s="65">
        <f t="shared" si="89"/>
        <v>0</v>
      </c>
      <c r="L188" s="65">
        <f t="shared" si="89"/>
        <v>80000000</v>
      </c>
      <c r="M188" s="65">
        <f t="shared" si="89"/>
        <v>0</v>
      </c>
      <c r="N188" s="65">
        <f t="shared" si="89"/>
        <v>0</v>
      </c>
      <c r="O188" s="65">
        <f t="shared" si="89"/>
        <v>0</v>
      </c>
      <c r="P188" s="65">
        <f t="shared" si="89"/>
        <v>80000000</v>
      </c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/>
      <c r="IU188" s="39"/>
      <c r="IV188" s="39"/>
      <c r="IW188" s="39"/>
      <c r="IX188" s="39"/>
      <c r="IY188" s="39"/>
      <c r="IZ188" s="39"/>
      <c r="JA188" s="39"/>
      <c r="JB188" s="39"/>
      <c r="JC188" s="39"/>
      <c r="JD188" s="39"/>
      <c r="JE188" s="39"/>
      <c r="JF188" s="39"/>
      <c r="JG188" s="39"/>
      <c r="JH188" s="39"/>
      <c r="JI188" s="39"/>
      <c r="JJ188" s="39"/>
      <c r="JK188" s="39"/>
      <c r="JL188" s="39"/>
      <c r="JM188" s="39"/>
      <c r="JN188" s="39"/>
      <c r="JO188" s="39"/>
      <c r="JP188" s="39"/>
      <c r="JQ188" s="39"/>
      <c r="JR188" s="39"/>
      <c r="JS188" s="39"/>
      <c r="JT188" s="39"/>
      <c r="JU188" s="39"/>
      <c r="JV188" s="39"/>
      <c r="JW188" s="39"/>
      <c r="JX188" s="39"/>
      <c r="JY188" s="39"/>
      <c r="JZ188" s="39"/>
      <c r="KA188" s="39"/>
      <c r="KB188" s="39"/>
      <c r="KC188" s="39"/>
      <c r="KD188" s="39"/>
      <c r="KE188" s="39"/>
      <c r="KF188" s="39"/>
      <c r="KG188" s="39"/>
      <c r="KH188" s="39"/>
      <c r="KI188" s="39"/>
      <c r="KJ188" s="39"/>
      <c r="KK188" s="39"/>
      <c r="KL188" s="39"/>
      <c r="KM188" s="39"/>
      <c r="KN188" s="39"/>
      <c r="KO188" s="39"/>
      <c r="KP188" s="39"/>
      <c r="KQ188" s="39"/>
      <c r="KR188" s="39"/>
      <c r="KS188" s="39"/>
      <c r="KT188" s="39"/>
      <c r="KU188" s="39"/>
      <c r="KV188" s="39"/>
      <c r="KW188" s="39"/>
      <c r="KX188" s="39"/>
      <c r="KY188" s="39"/>
      <c r="KZ188" s="39"/>
      <c r="LA188" s="39"/>
      <c r="LB188" s="39"/>
      <c r="LC188" s="39"/>
      <c r="LD188" s="39"/>
      <c r="LE188" s="39"/>
      <c r="LF188" s="39"/>
      <c r="LG188" s="39"/>
      <c r="LH188" s="39"/>
      <c r="LI188" s="39"/>
      <c r="LJ188" s="39"/>
      <c r="LK188" s="39"/>
      <c r="LL188" s="39"/>
      <c r="LM188" s="39"/>
      <c r="LN188" s="39"/>
      <c r="LO188" s="39"/>
      <c r="LP188" s="39"/>
      <c r="LQ188" s="39"/>
      <c r="LR188" s="39"/>
      <c r="LS188" s="39"/>
      <c r="LT188" s="39"/>
      <c r="LU188" s="39"/>
      <c r="LV188" s="39"/>
      <c r="LW188" s="39"/>
      <c r="LX188" s="39"/>
      <c r="LY188" s="39"/>
      <c r="LZ188" s="39"/>
      <c r="MA188" s="39"/>
      <c r="MB188" s="39"/>
      <c r="MC188" s="39"/>
      <c r="MD188" s="39"/>
      <c r="ME188" s="39"/>
      <c r="MF188" s="39"/>
      <c r="MG188" s="39"/>
      <c r="MH188" s="39"/>
      <c r="MI188" s="39"/>
      <c r="MJ188" s="39"/>
      <c r="MK188" s="39"/>
      <c r="ML188" s="39"/>
      <c r="MM188" s="39"/>
      <c r="MN188" s="39"/>
      <c r="MO188" s="39"/>
      <c r="MP188" s="39"/>
      <c r="MQ188" s="39"/>
      <c r="MR188" s="39"/>
      <c r="MS188" s="39"/>
      <c r="MT188" s="39"/>
      <c r="MU188" s="39"/>
      <c r="MV188" s="39"/>
      <c r="MW188" s="39"/>
      <c r="MX188" s="39"/>
      <c r="MY188" s="39"/>
      <c r="MZ188" s="39"/>
      <c r="NA188" s="39"/>
      <c r="NB188" s="39"/>
      <c r="NC188" s="39"/>
      <c r="ND188" s="39"/>
      <c r="NE188" s="39"/>
      <c r="NF188" s="39"/>
      <c r="NG188" s="39"/>
      <c r="NH188" s="39"/>
      <c r="NI188" s="39"/>
      <c r="NJ188" s="39"/>
      <c r="NK188" s="39"/>
      <c r="NL188" s="39"/>
      <c r="NM188" s="39"/>
      <c r="NN188" s="39"/>
      <c r="NO188" s="39"/>
      <c r="NP188" s="39"/>
      <c r="NQ188" s="39"/>
      <c r="NR188" s="39"/>
      <c r="NS188" s="39"/>
      <c r="NT188" s="39"/>
      <c r="NU188" s="39"/>
      <c r="NV188" s="39"/>
      <c r="NW188" s="39"/>
      <c r="NX188" s="39"/>
      <c r="NY188" s="39"/>
      <c r="NZ188" s="39"/>
      <c r="OA188" s="39"/>
      <c r="OB188" s="39"/>
      <c r="OC188" s="39"/>
      <c r="OD188" s="39"/>
      <c r="OE188" s="39"/>
      <c r="OF188" s="39"/>
      <c r="OG188" s="39"/>
      <c r="OH188" s="39"/>
      <c r="OI188" s="39"/>
      <c r="OJ188" s="39"/>
      <c r="OK188" s="39"/>
      <c r="OL188" s="39"/>
      <c r="OM188" s="39"/>
      <c r="ON188" s="39"/>
      <c r="OO188" s="39"/>
      <c r="OP188" s="39"/>
      <c r="OQ188" s="39"/>
      <c r="OR188" s="39"/>
      <c r="OS188" s="39"/>
      <c r="OT188" s="39"/>
      <c r="OU188" s="39"/>
      <c r="OV188" s="39"/>
      <c r="OW188" s="39"/>
      <c r="OX188" s="39"/>
      <c r="OY188" s="39"/>
      <c r="OZ188" s="39"/>
      <c r="PA188" s="39"/>
      <c r="PB188" s="39"/>
      <c r="PC188" s="39"/>
      <c r="PD188" s="39"/>
      <c r="PE188" s="39"/>
      <c r="PF188" s="39"/>
      <c r="PG188" s="39"/>
      <c r="PH188" s="39"/>
      <c r="PI188" s="39"/>
      <c r="PJ188" s="39"/>
      <c r="PK188" s="39"/>
      <c r="PL188" s="39"/>
      <c r="PM188" s="39"/>
      <c r="PN188" s="39"/>
      <c r="PO188" s="39"/>
      <c r="PP188" s="39"/>
      <c r="PQ188" s="39"/>
      <c r="PR188" s="39"/>
      <c r="PS188" s="39"/>
      <c r="PT188" s="39"/>
      <c r="PU188" s="39"/>
      <c r="PV188" s="39"/>
      <c r="PW188" s="39"/>
      <c r="PX188" s="39"/>
      <c r="PY188" s="39"/>
      <c r="PZ188" s="39"/>
      <c r="QA188" s="39"/>
      <c r="QB188" s="39"/>
      <c r="QC188" s="39"/>
      <c r="QD188" s="39"/>
      <c r="QE188" s="39"/>
      <c r="QF188" s="39"/>
      <c r="QG188" s="39"/>
      <c r="QH188" s="39"/>
      <c r="QI188" s="39"/>
      <c r="QJ188" s="39"/>
      <c r="QK188" s="39"/>
      <c r="QL188" s="39"/>
      <c r="QM188" s="39"/>
      <c r="QN188" s="39"/>
      <c r="QO188" s="39"/>
      <c r="QP188" s="39"/>
      <c r="QQ188" s="39"/>
      <c r="QR188" s="39"/>
      <c r="QS188" s="39"/>
      <c r="QT188" s="39"/>
      <c r="QU188" s="39"/>
      <c r="QV188" s="39"/>
      <c r="QW188" s="39"/>
      <c r="QX188" s="39"/>
      <c r="QY188" s="39"/>
      <c r="QZ188" s="39"/>
      <c r="RA188" s="39"/>
      <c r="RB188" s="39"/>
      <c r="RC188" s="39"/>
      <c r="RD188" s="39"/>
      <c r="RE188" s="39"/>
      <c r="RF188" s="39"/>
      <c r="RG188" s="39"/>
      <c r="RH188" s="39"/>
      <c r="RI188" s="39"/>
      <c r="RJ188" s="39"/>
      <c r="RK188" s="39"/>
      <c r="RL188" s="39"/>
      <c r="RM188" s="39"/>
      <c r="RN188" s="39"/>
      <c r="RO188" s="39"/>
      <c r="RP188" s="39"/>
      <c r="RQ188" s="39"/>
      <c r="RR188" s="39"/>
      <c r="RS188" s="39"/>
      <c r="RT188" s="39"/>
      <c r="RU188" s="39"/>
      <c r="RV188" s="39"/>
      <c r="RW188" s="39"/>
      <c r="RX188" s="39"/>
      <c r="RY188" s="39"/>
      <c r="RZ188" s="39"/>
      <c r="SA188" s="39"/>
      <c r="SB188" s="39"/>
      <c r="SC188" s="39"/>
      <c r="SD188" s="39"/>
      <c r="SE188" s="39"/>
      <c r="SF188" s="39"/>
      <c r="SG188" s="39"/>
      <c r="SH188" s="39"/>
      <c r="SI188" s="39"/>
      <c r="SJ188" s="39"/>
      <c r="SK188" s="39"/>
      <c r="SL188" s="39"/>
      <c r="SM188" s="39"/>
      <c r="SN188" s="39"/>
      <c r="SO188" s="39"/>
      <c r="SP188" s="39"/>
      <c r="SQ188" s="39"/>
      <c r="SR188" s="39"/>
      <c r="SS188" s="39"/>
      <c r="ST188" s="39"/>
      <c r="SU188" s="39"/>
      <c r="SV188" s="39"/>
      <c r="SW188" s="39"/>
      <c r="SX188" s="39"/>
      <c r="SY188" s="39"/>
      <c r="SZ188" s="39"/>
      <c r="TA188" s="39"/>
      <c r="TB188" s="39"/>
      <c r="TC188" s="39"/>
      <c r="TD188" s="39"/>
      <c r="TE188" s="39"/>
      <c r="TF188" s="39"/>
      <c r="TG188" s="39"/>
      <c r="TH188" s="39"/>
      <c r="TI188" s="39"/>
    </row>
    <row r="189" spans="1:529" s="23" customFormat="1" ht="48.75" customHeight="1" x14ac:dyDescent="0.25">
      <c r="A189" s="43" t="s">
        <v>213</v>
      </c>
      <c r="B189" s="44" t="str">
        <f>'дод 4'!A20</f>
        <v>0160</v>
      </c>
      <c r="C189" s="44" t="str">
        <f>'дод 4'!B20</f>
        <v>0111</v>
      </c>
      <c r="D189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189" s="66">
        <f t="shared" ref="E189:E214" si="90">F189+I189</f>
        <v>13538500</v>
      </c>
      <c r="F189" s="66">
        <f>13873900+90800-678700+244800-29000+15600+21100</f>
        <v>13538500</v>
      </c>
      <c r="G189" s="66">
        <f>10990800-556300-23800</f>
        <v>10410700</v>
      </c>
      <c r="H189" s="66">
        <v>164000</v>
      </c>
      <c r="I189" s="66"/>
      <c r="J189" s="66">
        <f>L189+O189</f>
        <v>0</v>
      </c>
      <c r="K189" s="66"/>
      <c r="L189" s="66"/>
      <c r="M189" s="66"/>
      <c r="N189" s="66"/>
      <c r="O189" s="66"/>
      <c r="P189" s="66">
        <f t="shared" ref="P189:P214" si="91">E189+J189</f>
        <v>13538500</v>
      </c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  <c r="IW189" s="26"/>
      <c r="IX189" s="26"/>
      <c r="IY189" s="26"/>
      <c r="IZ189" s="26"/>
      <c r="JA189" s="26"/>
      <c r="JB189" s="26"/>
      <c r="JC189" s="26"/>
      <c r="JD189" s="26"/>
      <c r="JE189" s="26"/>
      <c r="JF189" s="26"/>
      <c r="JG189" s="26"/>
      <c r="JH189" s="26"/>
      <c r="JI189" s="26"/>
      <c r="JJ189" s="26"/>
      <c r="JK189" s="26"/>
      <c r="JL189" s="26"/>
      <c r="JM189" s="26"/>
      <c r="JN189" s="26"/>
      <c r="JO189" s="26"/>
      <c r="JP189" s="26"/>
      <c r="JQ189" s="26"/>
      <c r="JR189" s="26"/>
      <c r="JS189" s="26"/>
      <c r="JT189" s="26"/>
      <c r="JU189" s="26"/>
      <c r="JV189" s="26"/>
      <c r="JW189" s="26"/>
      <c r="JX189" s="26"/>
      <c r="JY189" s="26"/>
      <c r="JZ189" s="26"/>
      <c r="KA189" s="26"/>
      <c r="KB189" s="26"/>
      <c r="KC189" s="26"/>
      <c r="KD189" s="26"/>
      <c r="KE189" s="26"/>
      <c r="KF189" s="26"/>
      <c r="KG189" s="26"/>
      <c r="KH189" s="26"/>
      <c r="KI189" s="26"/>
      <c r="KJ189" s="26"/>
      <c r="KK189" s="26"/>
      <c r="KL189" s="26"/>
      <c r="KM189" s="26"/>
      <c r="KN189" s="26"/>
      <c r="KO189" s="26"/>
      <c r="KP189" s="26"/>
      <c r="KQ189" s="26"/>
      <c r="KR189" s="26"/>
      <c r="KS189" s="26"/>
      <c r="KT189" s="26"/>
      <c r="KU189" s="26"/>
      <c r="KV189" s="26"/>
      <c r="KW189" s="26"/>
      <c r="KX189" s="26"/>
      <c r="KY189" s="26"/>
      <c r="KZ189" s="26"/>
      <c r="LA189" s="26"/>
      <c r="LB189" s="26"/>
      <c r="LC189" s="26"/>
      <c r="LD189" s="26"/>
      <c r="LE189" s="26"/>
      <c r="LF189" s="26"/>
      <c r="LG189" s="26"/>
      <c r="LH189" s="26"/>
      <c r="LI189" s="26"/>
      <c r="LJ189" s="26"/>
      <c r="LK189" s="26"/>
      <c r="LL189" s="26"/>
      <c r="LM189" s="26"/>
      <c r="LN189" s="26"/>
      <c r="LO189" s="26"/>
      <c r="LP189" s="26"/>
      <c r="LQ189" s="26"/>
      <c r="LR189" s="26"/>
      <c r="LS189" s="26"/>
      <c r="LT189" s="26"/>
      <c r="LU189" s="26"/>
      <c r="LV189" s="26"/>
      <c r="LW189" s="26"/>
      <c r="LX189" s="26"/>
      <c r="LY189" s="26"/>
      <c r="LZ189" s="26"/>
      <c r="MA189" s="26"/>
      <c r="MB189" s="26"/>
      <c r="MC189" s="26"/>
      <c r="MD189" s="26"/>
      <c r="ME189" s="26"/>
      <c r="MF189" s="26"/>
      <c r="MG189" s="26"/>
      <c r="MH189" s="26"/>
      <c r="MI189" s="26"/>
      <c r="MJ189" s="26"/>
      <c r="MK189" s="26"/>
      <c r="ML189" s="26"/>
      <c r="MM189" s="26"/>
      <c r="MN189" s="26"/>
      <c r="MO189" s="26"/>
      <c r="MP189" s="26"/>
      <c r="MQ189" s="26"/>
      <c r="MR189" s="26"/>
      <c r="MS189" s="26"/>
      <c r="MT189" s="26"/>
      <c r="MU189" s="26"/>
      <c r="MV189" s="26"/>
      <c r="MW189" s="26"/>
      <c r="MX189" s="26"/>
      <c r="MY189" s="26"/>
      <c r="MZ189" s="26"/>
      <c r="NA189" s="26"/>
      <c r="NB189" s="26"/>
      <c r="NC189" s="26"/>
      <c r="ND189" s="26"/>
      <c r="NE189" s="26"/>
      <c r="NF189" s="26"/>
      <c r="NG189" s="26"/>
      <c r="NH189" s="26"/>
      <c r="NI189" s="26"/>
      <c r="NJ189" s="26"/>
      <c r="NK189" s="26"/>
      <c r="NL189" s="26"/>
      <c r="NM189" s="26"/>
      <c r="NN189" s="26"/>
      <c r="NO189" s="26"/>
      <c r="NP189" s="26"/>
      <c r="NQ189" s="26"/>
      <c r="NR189" s="26"/>
      <c r="NS189" s="26"/>
      <c r="NT189" s="26"/>
      <c r="NU189" s="26"/>
      <c r="NV189" s="26"/>
      <c r="NW189" s="26"/>
      <c r="NX189" s="26"/>
      <c r="NY189" s="26"/>
      <c r="NZ189" s="26"/>
      <c r="OA189" s="26"/>
      <c r="OB189" s="26"/>
      <c r="OC189" s="26"/>
      <c r="OD189" s="26"/>
      <c r="OE189" s="26"/>
      <c r="OF189" s="26"/>
      <c r="OG189" s="26"/>
      <c r="OH189" s="26"/>
      <c r="OI189" s="26"/>
      <c r="OJ189" s="26"/>
      <c r="OK189" s="26"/>
      <c r="OL189" s="26"/>
      <c r="OM189" s="26"/>
      <c r="ON189" s="26"/>
      <c r="OO189" s="26"/>
      <c r="OP189" s="26"/>
      <c r="OQ189" s="26"/>
      <c r="OR189" s="26"/>
      <c r="OS189" s="26"/>
      <c r="OT189" s="26"/>
      <c r="OU189" s="26"/>
      <c r="OV189" s="26"/>
      <c r="OW189" s="26"/>
      <c r="OX189" s="26"/>
      <c r="OY189" s="26"/>
      <c r="OZ189" s="26"/>
      <c r="PA189" s="26"/>
      <c r="PB189" s="26"/>
      <c r="PC189" s="26"/>
      <c r="PD189" s="26"/>
      <c r="PE189" s="26"/>
      <c r="PF189" s="26"/>
      <c r="PG189" s="26"/>
      <c r="PH189" s="26"/>
      <c r="PI189" s="26"/>
      <c r="PJ189" s="26"/>
      <c r="PK189" s="26"/>
      <c r="PL189" s="26"/>
      <c r="PM189" s="26"/>
      <c r="PN189" s="26"/>
      <c r="PO189" s="26"/>
      <c r="PP189" s="26"/>
      <c r="PQ189" s="26"/>
      <c r="PR189" s="26"/>
      <c r="PS189" s="26"/>
      <c r="PT189" s="26"/>
      <c r="PU189" s="26"/>
      <c r="PV189" s="26"/>
      <c r="PW189" s="26"/>
      <c r="PX189" s="26"/>
      <c r="PY189" s="26"/>
      <c r="PZ189" s="26"/>
      <c r="QA189" s="26"/>
      <c r="QB189" s="26"/>
      <c r="QC189" s="26"/>
      <c r="QD189" s="26"/>
      <c r="QE189" s="26"/>
      <c r="QF189" s="26"/>
      <c r="QG189" s="26"/>
      <c r="QH189" s="26"/>
      <c r="QI189" s="26"/>
      <c r="QJ189" s="26"/>
      <c r="QK189" s="26"/>
      <c r="QL189" s="26"/>
      <c r="QM189" s="26"/>
      <c r="QN189" s="26"/>
      <c r="QO189" s="26"/>
      <c r="QP189" s="26"/>
      <c r="QQ189" s="26"/>
      <c r="QR189" s="26"/>
      <c r="QS189" s="26"/>
      <c r="QT189" s="26"/>
      <c r="QU189" s="26"/>
      <c r="QV189" s="26"/>
      <c r="QW189" s="26"/>
      <c r="QX189" s="26"/>
      <c r="QY189" s="26"/>
      <c r="QZ189" s="26"/>
      <c r="RA189" s="26"/>
      <c r="RB189" s="26"/>
      <c r="RC189" s="26"/>
      <c r="RD189" s="26"/>
      <c r="RE189" s="26"/>
      <c r="RF189" s="26"/>
      <c r="RG189" s="26"/>
      <c r="RH189" s="26"/>
      <c r="RI189" s="26"/>
      <c r="RJ189" s="26"/>
      <c r="RK189" s="26"/>
      <c r="RL189" s="26"/>
      <c r="RM189" s="26"/>
      <c r="RN189" s="26"/>
      <c r="RO189" s="26"/>
      <c r="RP189" s="26"/>
      <c r="RQ189" s="26"/>
      <c r="RR189" s="26"/>
      <c r="RS189" s="26"/>
      <c r="RT189" s="26"/>
      <c r="RU189" s="26"/>
      <c r="RV189" s="26"/>
      <c r="RW189" s="26"/>
      <c r="RX189" s="26"/>
      <c r="RY189" s="26"/>
      <c r="RZ189" s="26"/>
      <c r="SA189" s="26"/>
      <c r="SB189" s="26"/>
      <c r="SC189" s="26"/>
      <c r="SD189" s="26"/>
      <c r="SE189" s="26"/>
      <c r="SF189" s="26"/>
      <c r="SG189" s="26"/>
      <c r="SH189" s="26"/>
      <c r="SI189" s="26"/>
      <c r="SJ189" s="26"/>
      <c r="SK189" s="26"/>
      <c r="SL189" s="26"/>
      <c r="SM189" s="26"/>
      <c r="SN189" s="26"/>
      <c r="SO189" s="26"/>
      <c r="SP189" s="26"/>
      <c r="SQ189" s="26"/>
      <c r="SR189" s="26"/>
      <c r="SS189" s="26"/>
      <c r="ST189" s="26"/>
      <c r="SU189" s="26"/>
      <c r="SV189" s="26"/>
      <c r="SW189" s="26"/>
      <c r="SX189" s="26"/>
      <c r="SY189" s="26"/>
      <c r="SZ189" s="26"/>
      <c r="TA189" s="26"/>
      <c r="TB189" s="26"/>
      <c r="TC189" s="26"/>
      <c r="TD189" s="26"/>
      <c r="TE189" s="26"/>
      <c r="TF189" s="26"/>
      <c r="TG189" s="26"/>
      <c r="TH189" s="26"/>
      <c r="TI189" s="26"/>
    </row>
    <row r="190" spans="1:529" s="23" customFormat="1" ht="19.5" customHeight="1" x14ac:dyDescent="0.25">
      <c r="A190" s="52" t="s">
        <v>330</v>
      </c>
      <c r="B190" s="45" t="str">
        <f>'дод 4'!A103</f>
        <v>3210</v>
      </c>
      <c r="C190" s="45" t="str">
        <f>'дод 4'!B103</f>
        <v>1050</v>
      </c>
      <c r="D190" s="22" t="str">
        <f>'дод 4'!C103</f>
        <v>Організація та проведення громадських робіт</v>
      </c>
      <c r="E190" s="66">
        <f t="shared" si="90"/>
        <v>250000</v>
      </c>
      <c r="F190" s="66">
        <f>400000-150000</f>
        <v>250000</v>
      </c>
      <c r="G190" s="66"/>
      <c r="H190" s="66"/>
      <c r="I190" s="66"/>
      <c r="J190" s="66">
        <f t="shared" ref="J190:J214" si="92">L190+O190</f>
        <v>0</v>
      </c>
      <c r="K190" s="66"/>
      <c r="L190" s="66"/>
      <c r="M190" s="66"/>
      <c r="N190" s="66"/>
      <c r="O190" s="66"/>
      <c r="P190" s="66">
        <f t="shared" si="91"/>
        <v>250000</v>
      </c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  <c r="IW190" s="26"/>
      <c r="IX190" s="26"/>
      <c r="IY190" s="26"/>
      <c r="IZ190" s="26"/>
      <c r="JA190" s="26"/>
      <c r="JB190" s="26"/>
      <c r="JC190" s="26"/>
      <c r="JD190" s="26"/>
      <c r="JE190" s="26"/>
      <c r="JF190" s="26"/>
      <c r="JG190" s="26"/>
      <c r="JH190" s="26"/>
      <c r="JI190" s="26"/>
      <c r="JJ190" s="26"/>
      <c r="JK190" s="26"/>
      <c r="JL190" s="26"/>
      <c r="JM190" s="26"/>
      <c r="JN190" s="26"/>
      <c r="JO190" s="26"/>
      <c r="JP190" s="26"/>
      <c r="JQ190" s="26"/>
      <c r="JR190" s="26"/>
      <c r="JS190" s="26"/>
      <c r="JT190" s="26"/>
      <c r="JU190" s="26"/>
      <c r="JV190" s="26"/>
      <c r="JW190" s="26"/>
      <c r="JX190" s="26"/>
      <c r="JY190" s="26"/>
      <c r="JZ190" s="26"/>
      <c r="KA190" s="26"/>
      <c r="KB190" s="26"/>
      <c r="KC190" s="26"/>
      <c r="KD190" s="26"/>
      <c r="KE190" s="26"/>
      <c r="KF190" s="26"/>
      <c r="KG190" s="26"/>
      <c r="KH190" s="26"/>
      <c r="KI190" s="26"/>
      <c r="KJ190" s="26"/>
      <c r="KK190" s="26"/>
      <c r="KL190" s="26"/>
      <c r="KM190" s="26"/>
      <c r="KN190" s="26"/>
      <c r="KO190" s="26"/>
      <c r="KP190" s="26"/>
      <c r="KQ190" s="26"/>
      <c r="KR190" s="26"/>
      <c r="KS190" s="26"/>
      <c r="KT190" s="26"/>
      <c r="KU190" s="26"/>
      <c r="KV190" s="26"/>
      <c r="KW190" s="26"/>
      <c r="KX190" s="26"/>
      <c r="KY190" s="26"/>
      <c r="KZ190" s="26"/>
      <c r="LA190" s="26"/>
      <c r="LB190" s="26"/>
      <c r="LC190" s="26"/>
      <c r="LD190" s="26"/>
      <c r="LE190" s="26"/>
      <c r="LF190" s="26"/>
      <c r="LG190" s="26"/>
      <c r="LH190" s="26"/>
      <c r="LI190" s="26"/>
      <c r="LJ190" s="26"/>
      <c r="LK190" s="26"/>
      <c r="LL190" s="26"/>
      <c r="LM190" s="26"/>
      <c r="LN190" s="26"/>
      <c r="LO190" s="26"/>
      <c r="LP190" s="26"/>
      <c r="LQ190" s="26"/>
      <c r="LR190" s="26"/>
      <c r="LS190" s="26"/>
      <c r="LT190" s="26"/>
      <c r="LU190" s="26"/>
      <c r="LV190" s="26"/>
      <c r="LW190" s="26"/>
      <c r="LX190" s="26"/>
      <c r="LY190" s="26"/>
      <c r="LZ190" s="26"/>
      <c r="MA190" s="26"/>
      <c r="MB190" s="26"/>
      <c r="MC190" s="26"/>
      <c r="MD190" s="26"/>
      <c r="ME190" s="26"/>
      <c r="MF190" s="26"/>
      <c r="MG190" s="26"/>
      <c r="MH190" s="26"/>
      <c r="MI190" s="26"/>
      <c r="MJ190" s="26"/>
      <c r="MK190" s="26"/>
      <c r="ML190" s="26"/>
      <c r="MM190" s="26"/>
      <c r="MN190" s="26"/>
      <c r="MO190" s="26"/>
      <c r="MP190" s="26"/>
      <c r="MQ190" s="26"/>
      <c r="MR190" s="26"/>
      <c r="MS190" s="26"/>
      <c r="MT190" s="26"/>
      <c r="MU190" s="26"/>
      <c r="MV190" s="26"/>
      <c r="MW190" s="26"/>
      <c r="MX190" s="26"/>
      <c r="MY190" s="26"/>
      <c r="MZ190" s="26"/>
      <c r="NA190" s="26"/>
      <c r="NB190" s="26"/>
      <c r="NC190" s="26"/>
      <c r="ND190" s="26"/>
      <c r="NE190" s="26"/>
      <c r="NF190" s="26"/>
      <c r="NG190" s="26"/>
      <c r="NH190" s="26"/>
      <c r="NI190" s="26"/>
      <c r="NJ190" s="26"/>
      <c r="NK190" s="26"/>
      <c r="NL190" s="26"/>
      <c r="NM190" s="26"/>
      <c r="NN190" s="26"/>
      <c r="NO190" s="26"/>
      <c r="NP190" s="26"/>
      <c r="NQ190" s="26"/>
      <c r="NR190" s="26"/>
      <c r="NS190" s="26"/>
      <c r="NT190" s="26"/>
      <c r="NU190" s="26"/>
      <c r="NV190" s="26"/>
      <c r="NW190" s="26"/>
      <c r="NX190" s="26"/>
      <c r="NY190" s="26"/>
      <c r="NZ190" s="26"/>
      <c r="OA190" s="26"/>
      <c r="OB190" s="26"/>
      <c r="OC190" s="26"/>
      <c r="OD190" s="26"/>
      <c r="OE190" s="26"/>
      <c r="OF190" s="26"/>
      <c r="OG190" s="26"/>
      <c r="OH190" s="26"/>
      <c r="OI190" s="26"/>
      <c r="OJ190" s="26"/>
      <c r="OK190" s="26"/>
      <c r="OL190" s="26"/>
      <c r="OM190" s="26"/>
      <c r="ON190" s="26"/>
      <c r="OO190" s="26"/>
      <c r="OP190" s="26"/>
      <c r="OQ190" s="26"/>
      <c r="OR190" s="26"/>
      <c r="OS190" s="26"/>
      <c r="OT190" s="26"/>
      <c r="OU190" s="26"/>
      <c r="OV190" s="26"/>
      <c r="OW190" s="26"/>
      <c r="OX190" s="26"/>
      <c r="OY190" s="26"/>
      <c r="OZ190" s="26"/>
      <c r="PA190" s="26"/>
      <c r="PB190" s="26"/>
      <c r="PC190" s="26"/>
      <c r="PD190" s="26"/>
      <c r="PE190" s="26"/>
      <c r="PF190" s="26"/>
      <c r="PG190" s="26"/>
      <c r="PH190" s="26"/>
      <c r="PI190" s="26"/>
      <c r="PJ190" s="26"/>
      <c r="PK190" s="26"/>
      <c r="PL190" s="26"/>
      <c r="PM190" s="26"/>
      <c r="PN190" s="26"/>
      <c r="PO190" s="26"/>
      <c r="PP190" s="26"/>
      <c r="PQ190" s="26"/>
      <c r="PR190" s="26"/>
      <c r="PS190" s="26"/>
      <c r="PT190" s="26"/>
      <c r="PU190" s="26"/>
      <c r="PV190" s="26"/>
      <c r="PW190" s="26"/>
      <c r="PX190" s="26"/>
      <c r="PY190" s="26"/>
      <c r="PZ190" s="26"/>
      <c r="QA190" s="26"/>
      <c r="QB190" s="26"/>
      <c r="QC190" s="26"/>
      <c r="QD190" s="26"/>
      <c r="QE190" s="26"/>
      <c r="QF190" s="26"/>
      <c r="QG190" s="26"/>
      <c r="QH190" s="26"/>
      <c r="QI190" s="26"/>
      <c r="QJ190" s="26"/>
      <c r="QK190" s="26"/>
      <c r="QL190" s="26"/>
      <c r="QM190" s="26"/>
      <c r="QN190" s="26"/>
      <c r="QO190" s="26"/>
      <c r="QP190" s="26"/>
      <c r="QQ190" s="26"/>
      <c r="QR190" s="26"/>
      <c r="QS190" s="26"/>
      <c r="QT190" s="26"/>
      <c r="QU190" s="26"/>
      <c r="QV190" s="26"/>
      <c r="QW190" s="26"/>
      <c r="QX190" s="26"/>
      <c r="QY190" s="26"/>
      <c r="QZ190" s="26"/>
      <c r="RA190" s="26"/>
      <c r="RB190" s="26"/>
      <c r="RC190" s="26"/>
      <c r="RD190" s="26"/>
      <c r="RE190" s="26"/>
      <c r="RF190" s="26"/>
      <c r="RG190" s="26"/>
      <c r="RH190" s="26"/>
      <c r="RI190" s="26"/>
      <c r="RJ190" s="26"/>
      <c r="RK190" s="26"/>
      <c r="RL190" s="26"/>
      <c r="RM190" s="26"/>
      <c r="RN190" s="26"/>
      <c r="RO190" s="26"/>
      <c r="RP190" s="26"/>
      <c r="RQ190" s="26"/>
      <c r="RR190" s="26"/>
      <c r="RS190" s="26"/>
      <c r="RT190" s="26"/>
      <c r="RU190" s="26"/>
      <c r="RV190" s="26"/>
      <c r="RW190" s="26"/>
      <c r="RX190" s="26"/>
      <c r="RY190" s="26"/>
      <c r="RZ190" s="26"/>
      <c r="SA190" s="26"/>
      <c r="SB190" s="26"/>
      <c r="SC190" s="26"/>
      <c r="SD190" s="26"/>
      <c r="SE190" s="26"/>
      <c r="SF190" s="26"/>
      <c r="SG190" s="26"/>
      <c r="SH190" s="26"/>
      <c r="SI190" s="26"/>
      <c r="SJ190" s="26"/>
      <c r="SK190" s="26"/>
      <c r="SL190" s="26"/>
      <c r="SM190" s="26"/>
      <c r="SN190" s="26"/>
      <c r="SO190" s="26"/>
      <c r="SP190" s="26"/>
      <c r="SQ190" s="26"/>
      <c r="SR190" s="26"/>
      <c r="SS190" s="26"/>
      <c r="ST190" s="26"/>
      <c r="SU190" s="26"/>
      <c r="SV190" s="26"/>
      <c r="SW190" s="26"/>
      <c r="SX190" s="26"/>
      <c r="SY190" s="26"/>
      <c r="SZ190" s="26"/>
      <c r="TA190" s="26"/>
      <c r="TB190" s="26"/>
      <c r="TC190" s="26"/>
      <c r="TD190" s="26"/>
      <c r="TE190" s="26"/>
      <c r="TF190" s="26"/>
      <c r="TG190" s="26"/>
      <c r="TH190" s="26"/>
      <c r="TI190" s="26"/>
    </row>
    <row r="191" spans="1:529" s="23" customFormat="1" ht="20.25" customHeight="1" x14ac:dyDescent="0.25">
      <c r="A191" s="43" t="s">
        <v>214</v>
      </c>
      <c r="B191" s="44" t="str">
        <f>'дод 4'!A124</f>
        <v>6011</v>
      </c>
      <c r="C191" s="44" t="str">
        <f>'дод 4'!B124</f>
        <v>0610</v>
      </c>
      <c r="D191" s="24" t="str">
        <f>'дод 4'!C124</f>
        <v>Експлуатація та технічне обслуговування житлового фонду</v>
      </c>
      <c r="E191" s="66">
        <f t="shared" si="90"/>
        <v>0</v>
      </c>
      <c r="F191" s="66"/>
      <c r="G191" s="66"/>
      <c r="H191" s="66"/>
      <c r="I191" s="66"/>
      <c r="J191" s="66">
        <f t="shared" si="92"/>
        <v>12654938.360000001</v>
      </c>
      <c r="K191" s="66">
        <f>12179152.23+468786.13-23000</f>
        <v>12624938.360000001</v>
      </c>
      <c r="L191" s="66"/>
      <c r="M191" s="66"/>
      <c r="N191" s="66"/>
      <c r="O191" s="66">
        <f>12209152.23+468786.13-23000</f>
        <v>12654938.360000001</v>
      </c>
      <c r="P191" s="66">
        <f t="shared" si="91"/>
        <v>12654938.360000001</v>
      </c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  <c r="IW191" s="26"/>
      <c r="IX191" s="26"/>
      <c r="IY191" s="26"/>
      <c r="IZ191" s="26"/>
      <c r="JA191" s="26"/>
      <c r="JB191" s="26"/>
      <c r="JC191" s="26"/>
      <c r="JD191" s="26"/>
      <c r="JE191" s="26"/>
      <c r="JF191" s="26"/>
      <c r="JG191" s="26"/>
      <c r="JH191" s="26"/>
      <c r="JI191" s="26"/>
      <c r="JJ191" s="26"/>
      <c r="JK191" s="26"/>
      <c r="JL191" s="26"/>
      <c r="JM191" s="26"/>
      <c r="JN191" s="26"/>
      <c r="JO191" s="26"/>
      <c r="JP191" s="26"/>
      <c r="JQ191" s="26"/>
      <c r="JR191" s="26"/>
      <c r="JS191" s="26"/>
      <c r="JT191" s="26"/>
      <c r="JU191" s="26"/>
      <c r="JV191" s="26"/>
      <c r="JW191" s="26"/>
      <c r="JX191" s="26"/>
      <c r="JY191" s="26"/>
      <c r="JZ191" s="26"/>
      <c r="KA191" s="26"/>
      <c r="KB191" s="26"/>
      <c r="KC191" s="26"/>
      <c r="KD191" s="26"/>
      <c r="KE191" s="26"/>
      <c r="KF191" s="26"/>
      <c r="KG191" s="26"/>
      <c r="KH191" s="26"/>
      <c r="KI191" s="26"/>
      <c r="KJ191" s="26"/>
      <c r="KK191" s="26"/>
      <c r="KL191" s="26"/>
      <c r="KM191" s="26"/>
      <c r="KN191" s="26"/>
      <c r="KO191" s="26"/>
      <c r="KP191" s="26"/>
      <c r="KQ191" s="26"/>
      <c r="KR191" s="26"/>
      <c r="KS191" s="26"/>
      <c r="KT191" s="26"/>
      <c r="KU191" s="26"/>
      <c r="KV191" s="26"/>
      <c r="KW191" s="26"/>
      <c r="KX191" s="26"/>
      <c r="KY191" s="26"/>
      <c r="KZ191" s="26"/>
      <c r="LA191" s="26"/>
      <c r="LB191" s="26"/>
      <c r="LC191" s="26"/>
      <c r="LD191" s="26"/>
      <c r="LE191" s="26"/>
      <c r="LF191" s="26"/>
      <c r="LG191" s="26"/>
      <c r="LH191" s="26"/>
      <c r="LI191" s="26"/>
      <c r="LJ191" s="26"/>
      <c r="LK191" s="26"/>
      <c r="LL191" s="26"/>
      <c r="LM191" s="26"/>
      <c r="LN191" s="26"/>
      <c r="LO191" s="26"/>
      <c r="LP191" s="26"/>
      <c r="LQ191" s="26"/>
      <c r="LR191" s="26"/>
      <c r="LS191" s="26"/>
      <c r="LT191" s="26"/>
      <c r="LU191" s="26"/>
      <c r="LV191" s="26"/>
      <c r="LW191" s="26"/>
      <c r="LX191" s="26"/>
      <c r="LY191" s="26"/>
      <c r="LZ191" s="26"/>
      <c r="MA191" s="26"/>
      <c r="MB191" s="26"/>
      <c r="MC191" s="26"/>
      <c r="MD191" s="26"/>
      <c r="ME191" s="26"/>
      <c r="MF191" s="26"/>
      <c r="MG191" s="26"/>
      <c r="MH191" s="26"/>
      <c r="MI191" s="26"/>
      <c r="MJ191" s="26"/>
      <c r="MK191" s="26"/>
      <c r="ML191" s="26"/>
      <c r="MM191" s="26"/>
      <c r="MN191" s="26"/>
      <c r="MO191" s="26"/>
      <c r="MP191" s="26"/>
      <c r="MQ191" s="26"/>
      <c r="MR191" s="26"/>
      <c r="MS191" s="26"/>
      <c r="MT191" s="26"/>
      <c r="MU191" s="26"/>
      <c r="MV191" s="26"/>
      <c r="MW191" s="26"/>
      <c r="MX191" s="26"/>
      <c r="MY191" s="26"/>
      <c r="MZ191" s="26"/>
      <c r="NA191" s="26"/>
      <c r="NB191" s="26"/>
      <c r="NC191" s="26"/>
      <c r="ND191" s="26"/>
      <c r="NE191" s="26"/>
      <c r="NF191" s="26"/>
      <c r="NG191" s="26"/>
      <c r="NH191" s="26"/>
      <c r="NI191" s="26"/>
      <c r="NJ191" s="26"/>
      <c r="NK191" s="26"/>
      <c r="NL191" s="26"/>
      <c r="NM191" s="26"/>
      <c r="NN191" s="26"/>
      <c r="NO191" s="26"/>
      <c r="NP191" s="26"/>
      <c r="NQ191" s="26"/>
      <c r="NR191" s="26"/>
      <c r="NS191" s="26"/>
      <c r="NT191" s="26"/>
      <c r="NU191" s="26"/>
      <c r="NV191" s="26"/>
      <c r="NW191" s="26"/>
      <c r="NX191" s="26"/>
      <c r="NY191" s="26"/>
      <c r="NZ191" s="26"/>
      <c r="OA191" s="26"/>
      <c r="OB191" s="26"/>
      <c r="OC191" s="26"/>
      <c r="OD191" s="26"/>
      <c r="OE191" s="26"/>
      <c r="OF191" s="26"/>
      <c r="OG191" s="26"/>
      <c r="OH191" s="26"/>
      <c r="OI191" s="26"/>
      <c r="OJ191" s="26"/>
      <c r="OK191" s="26"/>
      <c r="OL191" s="26"/>
      <c r="OM191" s="26"/>
      <c r="ON191" s="26"/>
      <c r="OO191" s="26"/>
      <c r="OP191" s="26"/>
      <c r="OQ191" s="26"/>
      <c r="OR191" s="26"/>
      <c r="OS191" s="26"/>
      <c r="OT191" s="26"/>
      <c r="OU191" s="26"/>
      <c r="OV191" s="26"/>
      <c r="OW191" s="26"/>
      <c r="OX191" s="26"/>
      <c r="OY191" s="26"/>
      <c r="OZ191" s="26"/>
      <c r="PA191" s="26"/>
      <c r="PB191" s="26"/>
      <c r="PC191" s="26"/>
      <c r="PD191" s="26"/>
      <c r="PE191" s="26"/>
      <c r="PF191" s="26"/>
      <c r="PG191" s="26"/>
      <c r="PH191" s="26"/>
      <c r="PI191" s="26"/>
      <c r="PJ191" s="26"/>
      <c r="PK191" s="26"/>
      <c r="PL191" s="26"/>
      <c r="PM191" s="26"/>
      <c r="PN191" s="26"/>
      <c r="PO191" s="26"/>
      <c r="PP191" s="26"/>
      <c r="PQ191" s="26"/>
      <c r="PR191" s="26"/>
      <c r="PS191" s="26"/>
      <c r="PT191" s="26"/>
      <c r="PU191" s="26"/>
      <c r="PV191" s="26"/>
      <c r="PW191" s="26"/>
      <c r="PX191" s="26"/>
      <c r="PY191" s="26"/>
      <c r="PZ191" s="26"/>
      <c r="QA191" s="26"/>
      <c r="QB191" s="26"/>
      <c r="QC191" s="26"/>
      <c r="QD191" s="26"/>
      <c r="QE191" s="26"/>
      <c r="QF191" s="26"/>
      <c r="QG191" s="26"/>
      <c r="QH191" s="26"/>
      <c r="QI191" s="26"/>
      <c r="QJ191" s="26"/>
      <c r="QK191" s="26"/>
      <c r="QL191" s="26"/>
      <c r="QM191" s="26"/>
      <c r="QN191" s="26"/>
      <c r="QO191" s="26"/>
      <c r="QP191" s="26"/>
      <c r="QQ191" s="26"/>
      <c r="QR191" s="26"/>
      <c r="QS191" s="26"/>
      <c r="QT191" s="26"/>
      <c r="QU191" s="26"/>
      <c r="QV191" s="26"/>
      <c r="QW191" s="26"/>
      <c r="QX191" s="26"/>
      <c r="QY191" s="26"/>
      <c r="QZ191" s="26"/>
      <c r="RA191" s="26"/>
      <c r="RB191" s="26"/>
      <c r="RC191" s="26"/>
      <c r="RD191" s="26"/>
      <c r="RE191" s="26"/>
      <c r="RF191" s="26"/>
      <c r="RG191" s="26"/>
      <c r="RH191" s="26"/>
      <c r="RI191" s="26"/>
      <c r="RJ191" s="26"/>
      <c r="RK191" s="26"/>
      <c r="RL191" s="26"/>
      <c r="RM191" s="26"/>
      <c r="RN191" s="26"/>
      <c r="RO191" s="26"/>
      <c r="RP191" s="26"/>
      <c r="RQ191" s="26"/>
      <c r="RR191" s="26"/>
      <c r="RS191" s="26"/>
      <c r="RT191" s="26"/>
      <c r="RU191" s="26"/>
      <c r="RV191" s="26"/>
      <c r="RW191" s="26"/>
      <c r="RX191" s="26"/>
      <c r="RY191" s="26"/>
      <c r="RZ191" s="26"/>
      <c r="SA191" s="26"/>
      <c r="SB191" s="26"/>
      <c r="SC191" s="26"/>
      <c r="SD191" s="26"/>
      <c r="SE191" s="26"/>
      <c r="SF191" s="26"/>
      <c r="SG191" s="26"/>
      <c r="SH191" s="26"/>
      <c r="SI191" s="26"/>
      <c r="SJ191" s="26"/>
      <c r="SK191" s="26"/>
      <c r="SL191" s="26"/>
      <c r="SM191" s="26"/>
      <c r="SN191" s="26"/>
      <c r="SO191" s="26"/>
      <c r="SP191" s="26"/>
      <c r="SQ191" s="26"/>
      <c r="SR191" s="26"/>
      <c r="SS191" s="26"/>
      <c r="ST191" s="26"/>
      <c r="SU191" s="26"/>
      <c r="SV191" s="26"/>
      <c r="SW191" s="26"/>
      <c r="SX191" s="26"/>
      <c r="SY191" s="26"/>
      <c r="SZ191" s="26"/>
      <c r="TA191" s="26"/>
      <c r="TB191" s="26"/>
      <c r="TC191" s="26"/>
      <c r="TD191" s="26"/>
      <c r="TE191" s="26"/>
      <c r="TF191" s="26"/>
      <c r="TG191" s="26"/>
      <c r="TH191" s="26"/>
      <c r="TI191" s="26"/>
    </row>
    <row r="192" spans="1:529" s="23" customFormat="1" ht="33" customHeight="1" x14ac:dyDescent="0.25">
      <c r="A192" s="43" t="s">
        <v>215</v>
      </c>
      <c r="B192" s="44" t="str">
        <f>'дод 4'!A125</f>
        <v>6013</v>
      </c>
      <c r="C192" s="44" t="str">
        <f>'дод 4'!B125</f>
        <v>0620</v>
      </c>
      <c r="D192" s="24" t="str">
        <f>'дод 4'!C125</f>
        <v>Забезпечення діяльності водопровідно-каналізаційного господарства</v>
      </c>
      <c r="E192" s="66">
        <f t="shared" si="90"/>
        <v>39159857.380000003</v>
      </c>
      <c r="F192" s="66">
        <f>775000-350000+80000+185000-30142.62</f>
        <v>659857.38</v>
      </c>
      <c r="G192" s="66"/>
      <c r="H192" s="66"/>
      <c r="I192" s="66">
        <f>30150000+350000+8000000</f>
        <v>38500000</v>
      </c>
      <c r="J192" s="66">
        <f t="shared" si="92"/>
        <v>2751142.62</v>
      </c>
      <c r="K192" s="66">
        <f>1700000+20000+1000+1000000+30142.62</f>
        <v>2751142.62</v>
      </c>
      <c r="L192" s="66"/>
      <c r="M192" s="66"/>
      <c r="N192" s="66"/>
      <c r="O192" s="66">
        <f>1700000+20000+1000+1000000+30142.62</f>
        <v>2751142.62</v>
      </c>
      <c r="P192" s="66">
        <f t="shared" si="91"/>
        <v>41911000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  <c r="IW192" s="26"/>
      <c r="IX192" s="26"/>
      <c r="IY192" s="26"/>
      <c r="IZ192" s="26"/>
      <c r="JA192" s="26"/>
      <c r="JB192" s="26"/>
      <c r="JC192" s="26"/>
      <c r="JD192" s="26"/>
      <c r="JE192" s="26"/>
      <c r="JF192" s="26"/>
      <c r="JG192" s="26"/>
      <c r="JH192" s="26"/>
      <c r="JI192" s="26"/>
      <c r="JJ192" s="26"/>
      <c r="JK192" s="26"/>
      <c r="JL192" s="26"/>
      <c r="JM192" s="26"/>
      <c r="JN192" s="26"/>
      <c r="JO192" s="26"/>
      <c r="JP192" s="26"/>
      <c r="JQ192" s="26"/>
      <c r="JR192" s="26"/>
      <c r="JS192" s="26"/>
      <c r="JT192" s="26"/>
      <c r="JU192" s="26"/>
      <c r="JV192" s="26"/>
      <c r="JW192" s="26"/>
      <c r="JX192" s="26"/>
      <c r="JY192" s="26"/>
      <c r="JZ192" s="26"/>
      <c r="KA192" s="26"/>
      <c r="KB192" s="26"/>
      <c r="KC192" s="26"/>
      <c r="KD192" s="26"/>
      <c r="KE192" s="26"/>
      <c r="KF192" s="26"/>
      <c r="KG192" s="26"/>
      <c r="KH192" s="26"/>
      <c r="KI192" s="26"/>
      <c r="KJ192" s="26"/>
      <c r="KK192" s="26"/>
      <c r="KL192" s="26"/>
      <c r="KM192" s="26"/>
      <c r="KN192" s="26"/>
      <c r="KO192" s="26"/>
      <c r="KP192" s="26"/>
      <c r="KQ192" s="26"/>
      <c r="KR192" s="26"/>
      <c r="KS192" s="26"/>
      <c r="KT192" s="26"/>
      <c r="KU192" s="26"/>
      <c r="KV192" s="26"/>
      <c r="KW192" s="26"/>
      <c r="KX192" s="26"/>
      <c r="KY192" s="26"/>
      <c r="KZ192" s="26"/>
      <c r="LA192" s="26"/>
      <c r="LB192" s="26"/>
      <c r="LC192" s="26"/>
      <c r="LD192" s="26"/>
      <c r="LE192" s="26"/>
      <c r="LF192" s="26"/>
      <c r="LG192" s="26"/>
      <c r="LH192" s="26"/>
      <c r="LI192" s="26"/>
      <c r="LJ192" s="26"/>
      <c r="LK192" s="26"/>
      <c r="LL192" s="26"/>
      <c r="LM192" s="26"/>
      <c r="LN192" s="26"/>
      <c r="LO192" s="26"/>
      <c r="LP192" s="26"/>
      <c r="LQ192" s="26"/>
      <c r="LR192" s="26"/>
      <c r="LS192" s="26"/>
      <c r="LT192" s="26"/>
      <c r="LU192" s="26"/>
      <c r="LV192" s="26"/>
      <c r="LW192" s="26"/>
      <c r="LX192" s="26"/>
      <c r="LY192" s="26"/>
      <c r="LZ192" s="26"/>
      <c r="MA192" s="26"/>
      <c r="MB192" s="26"/>
      <c r="MC192" s="26"/>
      <c r="MD192" s="26"/>
      <c r="ME192" s="26"/>
      <c r="MF192" s="26"/>
      <c r="MG192" s="26"/>
      <c r="MH192" s="26"/>
      <c r="MI192" s="26"/>
      <c r="MJ192" s="26"/>
      <c r="MK192" s="26"/>
      <c r="ML192" s="26"/>
      <c r="MM192" s="26"/>
      <c r="MN192" s="26"/>
      <c r="MO192" s="26"/>
      <c r="MP192" s="26"/>
      <c r="MQ192" s="26"/>
      <c r="MR192" s="26"/>
      <c r="MS192" s="26"/>
      <c r="MT192" s="26"/>
      <c r="MU192" s="26"/>
      <c r="MV192" s="26"/>
      <c r="MW192" s="26"/>
      <c r="MX192" s="26"/>
      <c r="MY192" s="26"/>
      <c r="MZ192" s="26"/>
      <c r="NA192" s="26"/>
      <c r="NB192" s="26"/>
      <c r="NC192" s="26"/>
      <c r="ND192" s="26"/>
      <c r="NE192" s="26"/>
      <c r="NF192" s="26"/>
      <c r="NG192" s="26"/>
      <c r="NH192" s="26"/>
      <c r="NI192" s="26"/>
      <c r="NJ192" s="26"/>
      <c r="NK192" s="26"/>
      <c r="NL192" s="26"/>
      <c r="NM192" s="26"/>
      <c r="NN192" s="26"/>
      <c r="NO192" s="26"/>
      <c r="NP192" s="26"/>
      <c r="NQ192" s="26"/>
      <c r="NR192" s="26"/>
      <c r="NS192" s="26"/>
      <c r="NT192" s="26"/>
      <c r="NU192" s="26"/>
      <c r="NV192" s="26"/>
      <c r="NW192" s="26"/>
      <c r="NX192" s="26"/>
      <c r="NY192" s="26"/>
      <c r="NZ192" s="26"/>
      <c r="OA192" s="26"/>
      <c r="OB192" s="26"/>
      <c r="OC192" s="26"/>
      <c r="OD192" s="26"/>
      <c r="OE192" s="26"/>
      <c r="OF192" s="26"/>
      <c r="OG192" s="26"/>
      <c r="OH192" s="26"/>
      <c r="OI192" s="26"/>
      <c r="OJ192" s="26"/>
      <c r="OK192" s="26"/>
      <c r="OL192" s="26"/>
      <c r="OM192" s="26"/>
      <c r="ON192" s="26"/>
      <c r="OO192" s="26"/>
      <c r="OP192" s="26"/>
      <c r="OQ192" s="26"/>
      <c r="OR192" s="26"/>
      <c r="OS192" s="26"/>
      <c r="OT192" s="26"/>
      <c r="OU192" s="26"/>
      <c r="OV192" s="26"/>
      <c r="OW192" s="26"/>
      <c r="OX192" s="26"/>
      <c r="OY192" s="26"/>
      <c r="OZ192" s="26"/>
      <c r="PA192" s="26"/>
      <c r="PB192" s="26"/>
      <c r="PC192" s="26"/>
      <c r="PD192" s="26"/>
      <c r="PE192" s="26"/>
      <c r="PF192" s="26"/>
      <c r="PG192" s="26"/>
      <c r="PH192" s="26"/>
      <c r="PI192" s="26"/>
      <c r="PJ192" s="26"/>
      <c r="PK192" s="26"/>
      <c r="PL192" s="26"/>
      <c r="PM192" s="26"/>
      <c r="PN192" s="26"/>
      <c r="PO192" s="26"/>
      <c r="PP192" s="26"/>
      <c r="PQ192" s="26"/>
      <c r="PR192" s="26"/>
      <c r="PS192" s="26"/>
      <c r="PT192" s="26"/>
      <c r="PU192" s="26"/>
      <c r="PV192" s="26"/>
      <c r="PW192" s="26"/>
      <c r="PX192" s="26"/>
      <c r="PY192" s="26"/>
      <c r="PZ192" s="26"/>
      <c r="QA192" s="26"/>
      <c r="QB192" s="26"/>
      <c r="QC192" s="26"/>
      <c r="QD192" s="26"/>
      <c r="QE192" s="26"/>
      <c r="QF192" s="26"/>
      <c r="QG192" s="26"/>
      <c r="QH192" s="26"/>
      <c r="QI192" s="26"/>
      <c r="QJ192" s="26"/>
      <c r="QK192" s="26"/>
      <c r="QL192" s="26"/>
      <c r="QM192" s="26"/>
      <c r="QN192" s="26"/>
      <c r="QO192" s="26"/>
      <c r="QP192" s="26"/>
      <c r="QQ192" s="26"/>
      <c r="QR192" s="26"/>
      <c r="QS192" s="26"/>
      <c r="QT192" s="26"/>
      <c r="QU192" s="26"/>
      <c r="QV192" s="26"/>
      <c r="QW192" s="26"/>
      <c r="QX192" s="26"/>
      <c r="QY192" s="26"/>
      <c r="QZ192" s="26"/>
      <c r="RA192" s="26"/>
      <c r="RB192" s="26"/>
      <c r="RC192" s="26"/>
      <c r="RD192" s="26"/>
      <c r="RE192" s="26"/>
      <c r="RF192" s="26"/>
      <c r="RG192" s="26"/>
      <c r="RH192" s="26"/>
      <c r="RI192" s="26"/>
      <c r="RJ192" s="26"/>
      <c r="RK192" s="26"/>
      <c r="RL192" s="26"/>
      <c r="RM192" s="26"/>
      <c r="RN192" s="26"/>
      <c r="RO192" s="26"/>
      <c r="RP192" s="26"/>
      <c r="RQ192" s="26"/>
      <c r="RR192" s="26"/>
      <c r="RS192" s="26"/>
      <c r="RT192" s="26"/>
      <c r="RU192" s="26"/>
      <c r="RV192" s="26"/>
      <c r="RW192" s="26"/>
      <c r="RX192" s="26"/>
      <c r="RY192" s="26"/>
      <c r="RZ192" s="26"/>
      <c r="SA192" s="26"/>
      <c r="SB192" s="26"/>
      <c r="SC192" s="26"/>
      <c r="SD192" s="26"/>
      <c r="SE192" s="26"/>
      <c r="SF192" s="26"/>
      <c r="SG192" s="26"/>
      <c r="SH192" s="26"/>
      <c r="SI192" s="26"/>
      <c r="SJ192" s="26"/>
      <c r="SK192" s="26"/>
      <c r="SL192" s="26"/>
      <c r="SM192" s="26"/>
      <c r="SN192" s="26"/>
      <c r="SO192" s="26"/>
      <c r="SP192" s="26"/>
      <c r="SQ192" s="26"/>
      <c r="SR192" s="26"/>
      <c r="SS192" s="26"/>
      <c r="ST192" s="26"/>
      <c r="SU192" s="26"/>
      <c r="SV192" s="26"/>
      <c r="SW192" s="26"/>
      <c r="SX192" s="26"/>
      <c r="SY192" s="26"/>
      <c r="SZ192" s="26"/>
      <c r="TA192" s="26"/>
      <c r="TB192" s="26"/>
      <c r="TC192" s="26"/>
      <c r="TD192" s="26"/>
      <c r="TE192" s="26"/>
      <c r="TF192" s="26"/>
      <c r="TG192" s="26"/>
      <c r="TH192" s="26"/>
      <c r="TI192" s="26"/>
    </row>
    <row r="193" spans="1:529" s="23" customFormat="1" ht="23.25" customHeight="1" x14ac:dyDescent="0.25">
      <c r="A193" s="43" t="s">
        <v>281</v>
      </c>
      <c r="B193" s="44" t="str">
        <f>'дод 4'!A126</f>
        <v>6015</v>
      </c>
      <c r="C193" s="44" t="str">
        <f>'дод 4'!B126</f>
        <v>0620</v>
      </c>
      <c r="D193" s="24" t="str">
        <f>'дод 4'!C126</f>
        <v>Забезпечення надійної та безперебійної експлуатації ліфтів</v>
      </c>
      <c r="E193" s="66">
        <f t="shared" si="90"/>
        <v>193887</v>
      </c>
      <c r="F193" s="66">
        <f>200000-6113</f>
        <v>193887</v>
      </c>
      <c r="G193" s="66"/>
      <c r="H193" s="66"/>
      <c r="I193" s="66"/>
      <c r="J193" s="66">
        <f t="shared" si="92"/>
        <v>15742630.529999999</v>
      </c>
      <c r="K193" s="66">
        <f>15000000+9-1500000-405560.17+164000+100000-935318+935318+91181.7+670000-27000+1600000</f>
        <v>15692630.529999999</v>
      </c>
      <c r="L193" s="66"/>
      <c r="M193" s="66"/>
      <c r="N193" s="66"/>
      <c r="O193" s="66">
        <f>15000000+50000+9-1500000-405560.17+164000+100000-935318+935318+91181.7+670000-27000+1600000</f>
        <v>15742630.529999999</v>
      </c>
      <c r="P193" s="66">
        <f t="shared" si="91"/>
        <v>15936517.529999999</v>
      </c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  <c r="IW193" s="26"/>
      <c r="IX193" s="26"/>
      <c r="IY193" s="26"/>
      <c r="IZ193" s="26"/>
      <c r="JA193" s="26"/>
      <c r="JB193" s="26"/>
      <c r="JC193" s="26"/>
      <c r="JD193" s="26"/>
      <c r="JE193" s="26"/>
      <c r="JF193" s="26"/>
      <c r="JG193" s="26"/>
      <c r="JH193" s="26"/>
      <c r="JI193" s="26"/>
      <c r="JJ193" s="26"/>
      <c r="JK193" s="26"/>
      <c r="JL193" s="26"/>
      <c r="JM193" s="26"/>
      <c r="JN193" s="26"/>
      <c r="JO193" s="26"/>
      <c r="JP193" s="26"/>
      <c r="JQ193" s="26"/>
      <c r="JR193" s="26"/>
      <c r="JS193" s="26"/>
      <c r="JT193" s="26"/>
      <c r="JU193" s="26"/>
      <c r="JV193" s="26"/>
      <c r="JW193" s="26"/>
      <c r="JX193" s="26"/>
      <c r="JY193" s="26"/>
      <c r="JZ193" s="26"/>
      <c r="KA193" s="26"/>
      <c r="KB193" s="26"/>
      <c r="KC193" s="26"/>
      <c r="KD193" s="26"/>
      <c r="KE193" s="26"/>
      <c r="KF193" s="26"/>
      <c r="KG193" s="26"/>
      <c r="KH193" s="26"/>
      <c r="KI193" s="26"/>
      <c r="KJ193" s="26"/>
      <c r="KK193" s="26"/>
      <c r="KL193" s="26"/>
      <c r="KM193" s="26"/>
      <c r="KN193" s="26"/>
      <c r="KO193" s="26"/>
      <c r="KP193" s="26"/>
      <c r="KQ193" s="26"/>
      <c r="KR193" s="26"/>
      <c r="KS193" s="26"/>
      <c r="KT193" s="26"/>
      <c r="KU193" s="26"/>
      <c r="KV193" s="26"/>
      <c r="KW193" s="26"/>
      <c r="KX193" s="26"/>
      <c r="KY193" s="26"/>
      <c r="KZ193" s="26"/>
      <c r="LA193" s="26"/>
      <c r="LB193" s="26"/>
      <c r="LC193" s="26"/>
      <c r="LD193" s="26"/>
      <c r="LE193" s="26"/>
      <c r="LF193" s="26"/>
      <c r="LG193" s="26"/>
      <c r="LH193" s="26"/>
      <c r="LI193" s="26"/>
      <c r="LJ193" s="26"/>
      <c r="LK193" s="26"/>
      <c r="LL193" s="26"/>
      <c r="LM193" s="26"/>
      <c r="LN193" s="26"/>
      <c r="LO193" s="26"/>
      <c r="LP193" s="26"/>
      <c r="LQ193" s="26"/>
      <c r="LR193" s="26"/>
      <c r="LS193" s="26"/>
      <c r="LT193" s="26"/>
      <c r="LU193" s="26"/>
      <c r="LV193" s="26"/>
      <c r="LW193" s="26"/>
      <c r="LX193" s="26"/>
      <c r="LY193" s="26"/>
      <c r="LZ193" s="26"/>
      <c r="MA193" s="26"/>
      <c r="MB193" s="26"/>
      <c r="MC193" s="26"/>
      <c r="MD193" s="26"/>
      <c r="ME193" s="26"/>
      <c r="MF193" s="26"/>
      <c r="MG193" s="26"/>
      <c r="MH193" s="26"/>
      <c r="MI193" s="26"/>
      <c r="MJ193" s="26"/>
      <c r="MK193" s="26"/>
      <c r="ML193" s="26"/>
      <c r="MM193" s="26"/>
      <c r="MN193" s="26"/>
      <c r="MO193" s="26"/>
      <c r="MP193" s="26"/>
      <c r="MQ193" s="26"/>
      <c r="MR193" s="26"/>
      <c r="MS193" s="26"/>
      <c r="MT193" s="26"/>
      <c r="MU193" s="26"/>
      <c r="MV193" s="26"/>
      <c r="MW193" s="26"/>
      <c r="MX193" s="26"/>
      <c r="MY193" s="26"/>
      <c r="MZ193" s="26"/>
      <c r="NA193" s="26"/>
      <c r="NB193" s="26"/>
      <c r="NC193" s="26"/>
      <c r="ND193" s="26"/>
      <c r="NE193" s="26"/>
      <c r="NF193" s="26"/>
      <c r="NG193" s="26"/>
      <c r="NH193" s="26"/>
      <c r="NI193" s="26"/>
      <c r="NJ193" s="26"/>
      <c r="NK193" s="26"/>
      <c r="NL193" s="26"/>
      <c r="NM193" s="26"/>
      <c r="NN193" s="26"/>
      <c r="NO193" s="26"/>
      <c r="NP193" s="26"/>
      <c r="NQ193" s="26"/>
      <c r="NR193" s="26"/>
      <c r="NS193" s="26"/>
      <c r="NT193" s="26"/>
      <c r="NU193" s="26"/>
      <c r="NV193" s="26"/>
      <c r="NW193" s="26"/>
      <c r="NX193" s="26"/>
      <c r="NY193" s="26"/>
      <c r="NZ193" s="26"/>
      <c r="OA193" s="26"/>
      <c r="OB193" s="26"/>
      <c r="OC193" s="26"/>
      <c r="OD193" s="26"/>
      <c r="OE193" s="26"/>
      <c r="OF193" s="26"/>
      <c r="OG193" s="26"/>
      <c r="OH193" s="26"/>
      <c r="OI193" s="26"/>
      <c r="OJ193" s="26"/>
      <c r="OK193" s="26"/>
      <c r="OL193" s="26"/>
      <c r="OM193" s="26"/>
      <c r="ON193" s="26"/>
      <c r="OO193" s="26"/>
      <c r="OP193" s="26"/>
      <c r="OQ193" s="26"/>
      <c r="OR193" s="26"/>
      <c r="OS193" s="26"/>
      <c r="OT193" s="26"/>
      <c r="OU193" s="26"/>
      <c r="OV193" s="26"/>
      <c r="OW193" s="26"/>
      <c r="OX193" s="26"/>
      <c r="OY193" s="26"/>
      <c r="OZ193" s="26"/>
      <c r="PA193" s="26"/>
      <c r="PB193" s="26"/>
      <c r="PC193" s="26"/>
      <c r="PD193" s="26"/>
      <c r="PE193" s="26"/>
      <c r="PF193" s="26"/>
      <c r="PG193" s="26"/>
      <c r="PH193" s="26"/>
      <c r="PI193" s="26"/>
      <c r="PJ193" s="26"/>
      <c r="PK193" s="26"/>
      <c r="PL193" s="26"/>
      <c r="PM193" s="26"/>
      <c r="PN193" s="26"/>
      <c r="PO193" s="26"/>
      <c r="PP193" s="26"/>
      <c r="PQ193" s="26"/>
      <c r="PR193" s="26"/>
      <c r="PS193" s="26"/>
      <c r="PT193" s="26"/>
      <c r="PU193" s="26"/>
      <c r="PV193" s="26"/>
      <c r="PW193" s="26"/>
      <c r="PX193" s="26"/>
      <c r="PY193" s="26"/>
      <c r="PZ193" s="26"/>
      <c r="QA193" s="26"/>
      <c r="QB193" s="26"/>
      <c r="QC193" s="26"/>
      <c r="QD193" s="26"/>
      <c r="QE193" s="26"/>
      <c r="QF193" s="26"/>
      <c r="QG193" s="26"/>
      <c r="QH193" s="26"/>
      <c r="QI193" s="26"/>
      <c r="QJ193" s="26"/>
      <c r="QK193" s="26"/>
      <c r="QL193" s="26"/>
      <c r="QM193" s="26"/>
      <c r="QN193" s="26"/>
      <c r="QO193" s="26"/>
      <c r="QP193" s="26"/>
      <c r="QQ193" s="26"/>
      <c r="QR193" s="26"/>
      <c r="QS193" s="26"/>
      <c r="QT193" s="26"/>
      <c r="QU193" s="26"/>
      <c r="QV193" s="26"/>
      <c r="QW193" s="26"/>
      <c r="QX193" s="26"/>
      <c r="QY193" s="26"/>
      <c r="QZ193" s="26"/>
      <c r="RA193" s="26"/>
      <c r="RB193" s="26"/>
      <c r="RC193" s="26"/>
      <c r="RD193" s="26"/>
      <c r="RE193" s="26"/>
      <c r="RF193" s="26"/>
      <c r="RG193" s="26"/>
      <c r="RH193" s="26"/>
      <c r="RI193" s="26"/>
      <c r="RJ193" s="26"/>
      <c r="RK193" s="26"/>
      <c r="RL193" s="26"/>
      <c r="RM193" s="26"/>
      <c r="RN193" s="26"/>
      <c r="RO193" s="26"/>
      <c r="RP193" s="26"/>
      <c r="RQ193" s="26"/>
      <c r="RR193" s="26"/>
      <c r="RS193" s="26"/>
      <c r="RT193" s="26"/>
      <c r="RU193" s="26"/>
      <c r="RV193" s="26"/>
      <c r="RW193" s="26"/>
      <c r="RX193" s="26"/>
      <c r="RY193" s="26"/>
      <c r="RZ193" s="26"/>
      <c r="SA193" s="26"/>
      <c r="SB193" s="26"/>
      <c r="SC193" s="26"/>
      <c r="SD193" s="26"/>
      <c r="SE193" s="26"/>
      <c r="SF193" s="26"/>
      <c r="SG193" s="26"/>
      <c r="SH193" s="26"/>
      <c r="SI193" s="26"/>
      <c r="SJ193" s="26"/>
      <c r="SK193" s="26"/>
      <c r="SL193" s="26"/>
      <c r="SM193" s="26"/>
      <c r="SN193" s="26"/>
      <c r="SO193" s="26"/>
      <c r="SP193" s="26"/>
      <c r="SQ193" s="26"/>
      <c r="SR193" s="26"/>
      <c r="SS193" s="26"/>
      <c r="ST193" s="26"/>
      <c r="SU193" s="26"/>
      <c r="SV193" s="26"/>
      <c r="SW193" s="26"/>
      <c r="SX193" s="26"/>
      <c r="SY193" s="26"/>
      <c r="SZ193" s="26"/>
      <c r="TA193" s="26"/>
      <c r="TB193" s="26"/>
      <c r="TC193" s="26"/>
      <c r="TD193" s="26"/>
      <c r="TE193" s="26"/>
      <c r="TF193" s="26"/>
      <c r="TG193" s="26"/>
      <c r="TH193" s="26"/>
      <c r="TI193" s="26"/>
    </row>
    <row r="194" spans="1:529" s="23" customFormat="1" ht="32.25" customHeight="1" x14ac:dyDescent="0.25">
      <c r="A194" s="43" t="s">
        <v>284</v>
      </c>
      <c r="B194" s="44" t="str">
        <f>'дод 4'!A127</f>
        <v>6017</v>
      </c>
      <c r="C194" s="44" t="str">
        <f>'дод 4'!B127</f>
        <v>0620</v>
      </c>
      <c r="D194" s="24" t="str">
        <f>'дод 4'!C127</f>
        <v>Інша діяльність, пов’язана з експлуатацією об’єктів житлово-комунального господарства</v>
      </c>
      <c r="E194" s="66">
        <f t="shared" si="90"/>
        <v>100000</v>
      </c>
      <c r="F194" s="66">
        <f>100000+1500000-1500000</f>
        <v>100000</v>
      </c>
      <c r="G194" s="66"/>
      <c r="H194" s="66"/>
      <c r="I194" s="66"/>
      <c r="J194" s="66">
        <f t="shared" si="92"/>
        <v>0</v>
      </c>
      <c r="K194" s="66"/>
      <c r="L194" s="66"/>
      <c r="M194" s="66"/>
      <c r="N194" s="66"/>
      <c r="O194" s="66"/>
      <c r="P194" s="66">
        <f t="shared" si="91"/>
        <v>100000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  <c r="IW194" s="26"/>
      <c r="IX194" s="26"/>
      <c r="IY194" s="26"/>
      <c r="IZ194" s="26"/>
      <c r="JA194" s="26"/>
      <c r="JB194" s="26"/>
      <c r="JC194" s="26"/>
      <c r="JD194" s="26"/>
      <c r="JE194" s="26"/>
      <c r="JF194" s="26"/>
      <c r="JG194" s="26"/>
      <c r="JH194" s="26"/>
      <c r="JI194" s="26"/>
      <c r="JJ194" s="26"/>
      <c r="JK194" s="26"/>
      <c r="JL194" s="26"/>
      <c r="JM194" s="26"/>
      <c r="JN194" s="26"/>
      <c r="JO194" s="26"/>
      <c r="JP194" s="26"/>
      <c r="JQ194" s="26"/>
      <c r="JR194" s="26"/>
      <c r="JS194" s="26"/>
      <c r="JT194" s="26"/>
      <c r="JU194" s="26"/>
      <c r="JV194" s="26"/>
      <c r="JW194" s="26"/>
      <c r="JX194" s="26"/>
      <c r="JY194" s="26"/>
      <c r="JZ194" s="26"/>
      <c r="KA194" s="26"/>
      <c r="KB194" s="26"/>
      <c r="KC194" s="26"/>
      <c r="KD194" s="26"/>
      <c r="KE194" s="26"/>
      <c r="KF194" s="26"/>
      <c r="KG194" s="26"/>
      <c r="KH194" s="26"/>
      <c r="KI194" s="26"/>
      <c r="KJ194" s="26"/>
      <c r="KK194" s="26"/>
      <c r="KL194" s="26"/>
      <c r="KM194" s="26"/>
      <c r="KN194" s="26"/>
      <c r="KO194" s="26"/>
      <c r="KP194" s="26"/>
      <c r="KQ194" s="26"/>
      <c r="KR194" s="26"/>
      <c r="KS194" s="26"/>
      <c r="KT194" s="26"/>
      <c r="KU194" s="26"/>
      <c r="KV194" s="26"/>
      <c r="KW194" s="26"/>
      <c r="KX194" s="26"/>
      <c r="KY194" s="26"/>
      <c r="KZ194" s="26"/>
      <c r="LA194" s="26"/>
      <c r="LB194" s="26"/>
      <c r="LC194" s="26"/>
      <c r="LD194" s="26"/>
      <c r="LE194" s="26"/>
      <c r="LF194" s="26"/>
      <c r="LG194" s="26"/>
      <c r="LH194" s="26"/>
      <c r="LI194" s="26"/>
      <c r="LJ194" s="26"/>
      <c r="LK194" s="26"/>
      <c r="LL194" s="26"/>
      <c r="LM194" s="26"/>
      <c r="LN194" s="26"/>
      <c r="LO194" s="26"/>
      <c r="LP194" s="26"/>
      <c r="LQ194" s="26"/>
      <c r="LR194" s="26"/>
      <c r="LS194" s="26"/>
      <c r="LT194" s="26"/>
      <c r="LU194" s="26"/>
      <c r="LV194" s="26"/>
      <c r="LW194" s="26"/>
      <c r="LX194" s="26"/>
      <c r="LY194" s="26"/>
      <c r="LZ194" s="26"/>
      <c r="MA194" s="26"/>
      <c r="MB194" s="26"/>
      <c r="MC194" s="26"/>
      <c r="MD194" s="26"/>
      <c r="ME194" s="26"/>
      <c r="MF194" s="26"/>
      <c r="MG194" s="26"/>
      <c r="MH194" s="26"/>
      <c r="MI194" s="26"/>
      <c r="MJ194" s="26"/>
      <c r="MK194" s="26"/>
      <c r="ML194" s="26"/>
      <c r="MM194" s="26"/>
      <c r="MN194" s="26"/>
      <c r="MO194" s="26"/>
      <c r="MP194" s="26"/>
      <c r="MQ194" s="26"/>
      <c r="MR194" s="26"/>
      <c r="MS194" s="26"/>
      <c r="MT194" s="26"/>
      <c r="MU194" s="26"/>
      <c r="MV194" s="26"/>
      <c r="MW194" s="26"/>
      <c r="MX194" s="26"/>
      <c r="MY194" s="26"/>
      <c r="MZ194" s="26"/>
      <c r="NA194" s="26"/>
      <c r="NB194" s="26"/>
      <c r="NC194" s="26"/>
      <c r="ND194" s="26"/>
      <c r="NE194" s="26"/>
      <c r="NF194" s="26"/>
      <c r="NG194" s="26"/>
      <c r="NH194" s="26"/>
      <c r="NI194" s="26"/>
      <c r="NJ194" s="26"/>
      <c r="NK194" s="26"/>
      <c r="NL194" s="26"/>
      <c r="NM194" s="26"/>
      <c r="NN194" s="26"/>
      <c r="NO194" s="26"/>
      <c r="NP194" s="26"/>
      <c r="NQ194" s="26"/>
      <c r="NR194" s="26"/>
      <c r="NS194" s="26"/>
      <c r="NT194" s="26"/>
      <c r="NU194" s="26"/>
      <c r="NV194" s="26"/>
      <c r="NW194" s="26"/>
      <c r="NX194" s="26"/>
      <c r="NY194" s="26"/>
      <c r="NZ194" s="26"/>
      <c r="OA194" s="26"/>
      <c r="OB194" s="26"/>
      <c r="OC194" s="26"/>
      <c r="OD194" s="26"/>
      <c r="OE194" s="26"/>
      <c r="OF194" s="26"/>
      <c r="OG194" s="26"/>
      <c r="OH194" s="26"/>
      <c r="OI194" s="26"/>
      <c r="OJ194" s="26"/>
      <c r="OK194" s="26"/>
      <c r="OL194" s="26"/>
      <c r="OM194" s="26"/>
      <c r="ON194" s="26"/>
      <c r="OO194" s="26"/>
      <c r="OP194" s="26"/>
      <c r="OQ194" s="26"/>
      <c r="OR194" s="26"/>
      <c r="OS194" s="26"/>
      <c r="OT194" s="26"/>
      <c r="OU194" s="26"/>
      <c r="OV194" s="26"/>
      <c r="OW194" s="26"/>
      <c r="OX194" s="26"/>
      <c r="OY194" s="26"/>
      <c r="OZ194" s="26"/>
      <c r="PA194" s="26"/>
      <c r="PB194" s="26"/>
      <c r="PC194" s="26"/>
      <c r="PD194" s="26"/>
      <c r="PE194" s="26"/>
      <c r="PF194" s="26"/>
      <c r="PG194" s="26"/>
      <c r="PH194" s="26"/>
      <c r="PI194" s="26"/>
      <c r="PJ194" s="26"/>
      <c r="PK194" s="26"/>
      <c r="PL194" s="26"/>
      <c r="PM194" s="26"/>
      <c r="PN194" s="26"/>
      <c r="PO194" s="26"/>
      <c r="PP194" s="26"/>
      <c r="PQ194" s="26"/>
      <c r="PR194" s="26"/>
      <c r="PS194" s="26"/>
      <c r="PT194" s="26"/>
      <c r="PU194" s="26"/>
      <c r="PV194" s="26"/>
      <c r="PW194" s="26"/>
      <c r="PX194" s="26"/>
      <c r="PY194" s="26"/>
      <c r="PZ194" s="26"/>
      <c r="QA194" s="26"/>
      <c r="QB194" s="26"/>
      <c r="QC194" s="26"/>
      <c r="QD194" s="26"/>
      <c r="QE194" s="26"/>
      <c r="QF194" s="26"/>
      <c r="QG194" s="26"/>
      <c r="QH194" s="26"/>
      <c r="QI194" s="26"/>
      <c r="QJ194" s="26"/>
      <c r="QK194" s="26"/>
      <c r="QL194" s="26"/>
      <c r="QM194" s="26"/>
      <c r="QN194" s="26"/>
      <c r="QO194" s="26"/>
      <c r="QP194" s="26"/>
      <c r="QQ194" s="26"/>
      <c r="QR194" s="26"/>
      <c r="QS194" s="26"/>
      <c r="QT194" s="26"/>
      <c r="QU194" s="26"/>
      <c r="QV194" s="26"/>
      <c r="QW194" s="26"/>
      <c r="QX194" s="26"/>
      <c r="QY194" s="26"/>
      <c r="QZ194" s="26"/>
      <c r="RA194" s="26"/>
      <c r="RB194" s="26"/>
      <c r="RC194" s="26"/>
      <c r="RD194" s="26"/>
      <c r="RE194" s="26"/>
      <c r="RF194" s="26"/>
      <c r="RG194" s="26"/>
      <c r="RH194" s="26"/>
      <c r="RI194" s="26"/>
      <c r="RJ194" s="26"/>
      <c r="RK194" s="26"/>
      <c r="RL194" s="26"/>
      <c r="RM194" s="26"/>
      <c r="RN194" s="26"/>
      <c r="RO194" s="26"/>
      <c r="RP194" s="26"/>
      <c r="RQ194" s="26"/>
      <c r="RR194" s="26"/>
      <c r="RS194" s="26"/>
      <c r="RT194" s="26"/>
      <c r="RU194" s="26"/>
      <c r="RV194" s="26"/>
      <c r="RW194" s="26"/>
      <c r="RX194" s="26"/>
      <c r="RY194" s="26"/>
      <c r="RZ194" s="26"/>
      <c r="SA194" s="26"/>
      <c r="SB194" s="26"/>
      <c r="SC194" s="26"/>
      <c r="SD194" s="26"/>
      <c r="SE194" s="26"/>
      <c r="SF194" s="26"/>
      <c r="SG194" s="26"/>
      <c r="SH194" s="26"/>
      <c r="SI194" s="26"/>
      <c r="SJ194" s="26"/>
      <c r="SK194" s="26"/>
      <c r="SL194" s="26"/>
      <c r="SM194" s="26"/>
      <c r="SN194" s="26"/>
      <c r="SO194" s="26"/>
      <c r="SP194" s="26"/>
      <c r="SQ194" s="26"/>
      <c r="SR194" s="26"/>
      <c r="SS194" s="26"/>
      <c r="ST194" s="26"/>
      <c r="SU194" s="26"/>
      <c r="SV194" s="26"/>
      <c r="SW194" s="26"/>
      <c r="SX194" s="26"/>
      <c r="SY194" s="26"/>
      <c r="SZ194" s="26"/>
      <c r="TA194" s="26"/>
      <c r="TB194" s="26"/>
      <c r="TC194" s="26"/>
      <c r="TD194" s="26"/>
      <c r="TE194" s="26"/>
      <c r="TF194" s="26"/>
      <c r="TG194" s="26"/>
      <c r="TH194" s="26"/>
      <c r="TI194" s="26"/>
    </row>
    <row r="195" spans="1:529" s="23" customFormat="1" ht="45" x14ac:dyDescent="0.25">
      <c r="A195" s="43" t="s">
        <v>216</v>
      </c>
      <c r="B195" s="44" t="str">
        <f>'дод 4'!A128</f>
        <v>6020</v>
      </c>
      <c r="C195" s="44" t="str">
        <f>'дод 4'!B128</f>
        <v>0620</v>
      </c>
      <c r="D195" s="24" t="str">
        <f>'дод 4'!C128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95" s="66">
        <f t="shared" si="90"/>
        <v>2605232</v>
      </c>
      <c r="F195" s="66"/>
      <c r="G195" s="66"/>
      <c r="H195" s="66"/>
      <c r="I195" s="66">
        <f>2595232+2000000+10000-2000000</f>
        <v>2605232</v>
      </c>
      <c r="J195" s="66">
        <f t="shared" si="92"/>
        <v>2000000</v>
      </c>
      <c r="K195" s="66">
        <f>2000000-2000000+2000000</f>
        <v>2000000</v>
      </c>
      <c r="L195" s="66"/>
      <c r="M195" s="66"/>
      <c r="N195" s="66"/>
      <c r="O195" s="66">
        <f>2000000-2000000+2000000</f>
        <v>2000000</v>
      </c>
      <c r="P195" s="66">
        <f t="shared" si="91"/>
        <v>4605232</v>
      </c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  <c r="IW195" s="26"/>
      <c r="IX195" s="26"/>
      <c r="IY195" s="26"/>
      <c r="IZ195" s="26"/>
      <c r="JA195" s="26"/>
      <c r="JB195" s="26"/>
      <c r="JC195" s="26"/>
      <c r="JD195" s="26"/>
      <c r="JE195" s="26"/>
      <c r="JF195" s="26"/>
      <c r="JG195" s="26"/>
      <c r="JH195" s="26"/>
      <c r="JI195" s="26"/>
      <c r="JJ195" s="26"/>
      <c r="JK195" s="26"/>
      <c r="JL195" s="26"/>
      <c r="JM195" s="26"/>
      <c r="JN195" s="26"/>
      <c r="JO195" s="26"/>
      <c r="JP195" s="26"/>
      <c r="JQ195" s="26"/>
      <c r="JR195" s="26"/>
      <c r="JS195" s="26"/>
      <c r="JT195" s="26"/>
      <c r="JU195" s="26"/>
      <c r="JV195" s="26"/>
      <c r="JW195" s="26"/>
      <c r="JX195" s="26"/>
      <c r="JY195" s="26"/>
      <c r="JZ195" s="26"/>
      <c r="KA195" s="26"/>
      <c r="KB195" s="26"/>
      <c r="KC195" s="26"/>
      <c r="KD195" s="26"/>
      <c r="KE195" s="26"/>
      <c r="KF195" s="26"/>
      <c r="KG195" s="26"/>
      <c r="KH195" s="26"/>
      <c r="KI195" s="26"/>
      <c r="KJ195" s="26"/>
      <c r="KK195" s="26"/>
      <c r="KL195" s="26"/>
      <c r="KM195" s="26"/>
      <c r="KN195" s="26"/>
      <c r="KO195" s="26"/>
      <c r="KP195" s="26"/>
      <c r="KQ195" s="26"/>
      <c r="KR195" s="26"/>
      <c r="KS195" s="26"/>
      <c r="KT195" s="26"/>
      <c r="KU195" s="26"/>
      <c r="KV195" s="26"/>
      <c r="KW195" s="26"/>
      <c r="KX195" s="26"/>
      <c r="KY195" s="26"/>
      <c r="KZ195" s="26"/>
      <c r="LA195" s="26"/>
      <c r="LB195" s="26"/>
      <c r="LC195" s="26"/>
      <c r="LD195" s="26"/>
      <c r="LE195" s="26"/>
      <c r="LF195" s="26"/>
      <c r="LG195" s="26"/>
      <c r="LH195" s="26"/>
      <c r="LI195" s="26"/>
      <c r="LJ195" s="26"/>
      <c r="LK195" s="26"/>
      <c r="LL195" s="26"/>
      <c r="LM195" s="26"/>
      <c r="LN195" s="26"/>
      <c r="LO195" s="26"/>
      <c r="LP195" s="26"/>
      <c r="LQ195" s="26"/>
      <c r="LR195" s="26"/>
      <c r="LS195" s="26"/>
      <c r="LT195" s="26"/>
      <c r="LU195" s="26"/>
      <c r="LV195" s="26"/>
      <c r="LW195" s="26"/>
      <c r="LX195" s="26"/>
      <c r="LY195" s="26"/>
      <c r="LZ195" s="26"/>
      <c r="MA195" s="26"/>
      <c r="MB195" s="26"/>
      <c r="MC195" s="26"/>
      <c r="MD195" s="26"/>
      <c r="ME195" s="26"/>
      <c r="MF195" s="26"/>
      <c r="MG195" s="26"/>
      <c r="MH195" s="26"/>
      <c r="MI195" s="26"/>
      <c r="MJ195" s="26"/>
      <c r="MK195" s="26"/>
      <c r="ML195" s="26"/>
      <c r="MM195" s="26"/>
      <c r="MN195" s="26"/>
      <c r="MO195" s="26"/>
      <c r="MP195" s="26"/>
      <c r="MQ195" s="26"/>
      <c r="MR195" s="26"/>
      <c r="MS195" s="26"/>
      <c r="MT195" s="26"/>
      <c r="MU195" s="26"/>
      <c r="MV195" s="26"/>
      <c r="MW195" s="26"/>
      <c r="MX195" s="26"/>
      <c r="MY195" s="26"/>
      <c r="MZ195" s="26"/>
      <c r="NA195" s="26"/>
      <c r="NB195" s="26"/>
      <c r="NC195" s="26"/>
      <c r="ND195" s="26"/>
      <c r="NE195" s="26"/>
      <c r="NF195" s="26"/>
      <c r="NG195" s="26"/>
      <c r="NH195" s="26"/>
      <c r="NI195" s="26"/>
      <c r="NJ195" s="26"/>
      <c r="NK195" s="26"/>
      <c r="NL195" s="26"/>
      <c r="NM195" s="26"/>
      <c r="NN195" s="26"/>
      <c r="NO195" s="26"/>
      <c r="NP195" s="26"/>
      <c r="NQ195" s="26"/>
      <c r="NR195" s="26"/>
      <c r="NS195" s="26"/>
      <c r="NT195" s="26"/>
      <c r="NU195" s="26"/>
      <c r="NV195" s="26"/>
      <c r="NW195" s="26"/>
      <c r="NX195" s="26"/>
      <c r="NY195" s="26"/>
      <c r="NZ195" s="26"/>
      <c r="OA195" s="26"/>
      <c r="OB195" s="26"/>
      <c r="OC195" s="26"/>
      <c r="OD195" s="26"/>
      <c r="OE195" s="26"/>
      <c r="OF195" s="26"/>
      <c r="OG195" s="26"/>
      <c r="OH195" s="26"/>
      <c r="OI195" s="26"/>
      <c r="OJ195" s="26"/>
      <c r="OK195" s="26"/>
      <c r="OL195" s="26"/>
      <c r="OM195" s="26"/>
      <c r="ON195" s="26"/>
      <c r="OO195" s="26"/>
      <c r="OP195" s="26"/>
      <c r="OQ195" s="26"/>
      <c r="OR195" s="26"/>
      <c r="OS195" s="26"/>
      <c r="OT195" s="26"/>
      <c r="OU195" s="26"/>
      <c r="OV195" s="26"/>
      <c r="OW195" s="26"/>
      <c r="OX195" s="26"/>
      <c r="OY195" s="26"/>
      <c r="OZ195" s="26"/>
      <c r="PA195" s="26"/>
      <c r="PB195" s="26"/>
      <c r="PC195" s="26"/>
      <c r="PD195" s="26"/>
      <c r="PE195" s="26"/>
      <c r="PF195" s="26"/>
      <c r="PG195" s="26"/>
      <c r="PH195" s="26"/>
      <c r="PI195" s="26"/>
      <c r="PJ195" s="26"/>
      <c r="PK195" s="26"/>
      <c r="PL195" s="26"/>
      <c r="PM195" s="26"/>
      <c r="PN195" s="26"/>
      <c r="PO195" s="26"/>
      <c r="PP195" s="26"/>
      <c r="PQ195" s="26"/>
      <c r="PR195" s="26"/>
      <c r="PS195" s="26"/>
      <c r="PT195" s="26"/>
      <c r="PU195" s="26"/>
      <c r="PV195" s="26"/>
      <c r="PW195" s="26"/>
      <c r="PX195" s="26"/>
      <c r="PY195" s="26"/>
      <c r="PZ195" s="26"/>
      <c r="QA195" s="26"/>
      <c r="QB195" s="26"/>
      <c r="QC195" s="26"/>
      <c r="QD195" s="26"/>
      <c r="QE195" s="26"/>
      <c r="QF195" s="26"/>
      <c r="QG195" s="26"/>
      <c r="QH195" s="26"/>
      <c r="QI195" s="26"/>
      <c r="QJ195" s="26"/>
      <c r="QK195" s="26"/>
      <c r="QL195" s="26"/>
      <c r="QM195" s="26"/>
      <c r="QN195" s="26"/>
      <c r="QO195" s="26"/>
      <c r="QP195" s="26"/>
      <c r="QQ195" s="26"/>
      <c r="QR195" s="26"/>
      <c r="QS195" s="26"/>
      <c r="QT195" s="26"/>
      <c r="QU195" s="26"/>
      <c r="QV195" s="26"/>
      <c r="QW195" s="26"/>
      <c r="QX195" s="26"/>
      <c r="QY195" s="26"/>
      <c r="QZ195" s="26"/>
      <c r="RA195" s="26"/>
      <c r="RB195" s="26"/>
      <c r="RC195" s="26"/>
      <c r="RD195" s="26"/>
      <c r="RE195" s="26"/>
      <c r="RF195" s="26"/>
      <c r="RG195" s="26"/>
      <c r="RH195" s="26"/>
      <c r="RI195" s="26"/>
      <c r="RJ195" s="26"/>
      <c r="RK195" s="26"/>
      <c r="RL195" s="26"/>
      <c r="RM195" s="26"/>
      <c r="RN195" s="26"/>
      <c r="RO195" s="26"/>
      <c r="RP195" s="26"/>
      <c r="RQ195" s="26"/>
      <c r="RR195" s="26"/>
      <c r="RS195" s="26"/>
      <c r="RT195" s="26"/>
      <c r="RU195" s="26"/>
      <c r="RV195" s="26"/>
      <c r="RW195" s="26"/>
      <c r="RX195" s="26"/>
      <c r="RY195" s="26"/>
      <c r="RZ195" s="26"/>
      <c r="SA195" s="26"/>
      <c r="SB195" s="26"/>
      <c r="SC195" s="26"/>
      <c r="SD195" s="26"/>
      <c r="SE195" s="26"/>
      <c r="SF195" s="26"/>
      <c r="SG195" s="26"/>
      <c r="SH195" s="26"/>
      <c r="SI195" s="26"/>
      <c r="SJ195" s="26"/>
      <c r="SK195" s="26"/>
      <c r="SL195" s="26"/>
      <c r="SM195" s="26"/>
      <c r="SN195" s="26"/>
      <c r="SO195" s="26"/>
      <c r="SP195" s="26"/>
      <c r="SQ195" s="26"/>
      <c r="SR195" s="26"/>
      <c r="SS195" s="26"/>
      <c r="ST195" s="26"/>
      <c r="SU195" s="26"/>
      <c r="SV195" s="26"/>
      <c r="SW195" s="26"/>
      <c r="SX195" s="26"/>
      <c r="SY195" s="26"/>
      <c r="SZ195" s="26"/>
      <c r="TA195" s="26"/>
      <c r="TB195" s="26"/>
      <c r="TC195" s="26"/>
      <c r="TD195" s="26"/>
      <c r="TE195" s="26"/>
      <c r="TF195" s="26"/>
      <c r="TG195" s="26"/>
      <c r="TH195" s="26"/>
      <c r="TI195" s="26"/>
    </row>
    <row r="196" spans="1:529" s="23" customFormat="1" ht="21.75" customHeight="1" x14ac:dyDescent="0.25">
      <c r="A196" s="43" t="s">
        <v>217</v>
      </c>
      <c r="B196" s="44" t="str">
        <f>'дод 4'!A129</f>
        <v>6030</v>
      </c>
      <c r="C196" s="44" t="str">
        <f>'дод 4'!B129</f>
        <v>0620</v>
      </c>
      <c r="D196" s="24" t="str">
        <f>'дод 4'!C129</f>
        <v>Організація благоустрою населених пунктів</v>
      </c>
      <c r="E196" s="66">
        <f t="shared" si="90"/>
        <v>198261749.56999999</v>
      </c>
      <c r="F196" s="66">
        <f>196751729.57+143920+326100-9000+1049000</f>
        <v>198261749.56999999</v>
      </c>
      <c r="G196" s="66"/>
      <c r="H196" s="66">
        <v>28121706</v>
      </c>
      <c r="I196" s="66"/>
      <c r="J196" s="66">
        <f t="shared" si="92"/>
        <v>60233290.149999999</v>
      </c>
      <c r="K196" s="66">
        <f>58971116.15+23000+9000+3000+1227174</f>
        <v>60233290.149999999</v>
      </c>
      <c r="L196" s="68"/>
      <c r="M196" s="66"/>
      <c r="N196" s="66"/>
      <c r="O196" s="66">
        <f>58971116.15+23000+9000+3000+1227174</f>
        <v>60233290.149999999</v>
      </c>
      <c r="P196" s="66">
        <f t="shared" si="91"/>
        <v>258495039.72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  <c r="IW196" s="26"/>
      <c r="IX196" s="26"/>
      <c r="IY196" s="26"/>
      <c r="IZ196" s="26"/>
      <c r="JA196" s="26"/>
      <c r="JB196" s="26"/>
      <c r="JC196" s="26"/>
      <c r="JD196" s="26"/>
      <c r="JE196" s="26"/>
      <c r="JF196" s="26"/>
      <c r="JG196" s="26"/>
      <c r="JH196" s="26"/>
      <c r="JI196" s="26"/>
      <c r="JJ196" s="26"/>
      <c r="JK196" s="26"/>
      <c r="JL196" s="26"/>
      <c r="JM196" s="26"/>
      <c r="JN196" s="26"/>
      <c r="JO196" s="26"/>
      <c r="JP196" s="26"/>
      <c r="JQ196" s="26"/>
      <c r="JR196" s="26"/>
      <c r="JS196" s="26"/>
      <c r="JT196" s="26"/>
      <c r="JU196" s="26"/>
      <c r="JV196" s="26"/>
      <c r="JW196" s="26"/>
      <c r="JX196" s="26"/>
      <c r="JY196" s="26"/>
      <c r="JZ196" s="26"/>
      <c r="KA196" s="26"/>
      <c r="KB196" s="26"/>
      <c r="KC196" s="26"/>
      <c r="KD196" s="26"/>
      <c r="KE196" s="26"/>
      <c r="KF196" s="26"/>
      <c r="KG196" s="26"/>
      <c r="KH196" s="26"/>
      <c r="KI196" s="26"/>
      <c r="KJ196" s="26"/>
      <c r="KK196" s="26"/>
      <c r="KL196" s="26"/>
      <c r="KM196" s="26"/>
      <c r="KN196" s="26"/>
      <c r="KO196" s="26"/>
      <c r="KP196" s="26"/>
      <c r="KQ196" s="26"/>
      <c r="KR196" s="26"/>
      <c r="KS196" s="26"/>
      <c r="KT196" s="26"/>
      <c r="KU196" s="26"/>
      <c r="KV196" s="26"/>
      <c r="KW196" s="26"/>
      <c r="KX196" s="26"/>
      <c r="KY196" s="26"/>
      <c r="KZ196" s="26"/>
      <c r="LA196" s="26"/>
      <c r="LB196" s="26"/>
      <c r="LC196" s="26"/>
      <c r="LD196" s="26"/>
      <c r="LE196" s="26"/>
      <c r="LF196" s="26"/>
      <c r="LG196" s="26"/>
      <c r="LH196" s="26"/>
      <c r="LI196" s="26"/>
      <c r="LJ196" s="26"/>
      <c r="LK196" s="26"/>
      <c r="LL196" s="26"/>
      <c r="LM196" s="26"/>
      <c r="LN196" s="26"/>
      <c r="LO196" s="26"/>
      <c r="LP196" s="26"/>
      <c r="LQ196" s="26"/>
      <c r="LR196" s="26"/>
      <c r="LS196" s="26"/>
      <c r="LT196" s="26"/>
      <c r="LU196" s="26"/>
      <c r="LV196" s="26"/>
      <c r="LW196" s="26"/>
      <c r="LX196" s="26"/>
      <c r="LY196" s="26"/>
      <c r="LZ196" s="26"/>
      <c r="MA196" s="26"/>
      <c r="MB196" s="26"/>
      <c r="MC196" s="26"/>
      <c r="MD196" s="26"/>
      <c r="ME196" s="26"/>
      <c r="MF196" s="26"/>
      <c r="MG196" s="26"/>
      <c r="MH196" s="26"/>
      <c r="MI196" s="26"/>
      <c r="MJ196" s="26"/>
      <c r="MK196" s="26"/>
      <c r="ML196" s="26"/>
      <c r="MM196" s="26"/>
      <c r="MN196" s="26"/>
      <c r="MO196" s="26"/>
      <c r="MP196" s="26"/>
      <c r="MQ196" s="26"/>
      <c r="MR196" s="26"/>
      <c r="MS196" s="26"/>
      <c r="MT196" s="26"/>
      <c r="MU196" s="26"/>
      <c r="MV196" s="26"/>
      <c r="MW196" s="26"/>
      <c r="MX196" s="26"/>
      <c r="MY196" s="26"/>
      <c r="MZ196" s="26"/>
      <c r="NA196" s="26"/>
      <c r="NB196" s="26"/>
      <c r="NC196" s="26"/>
      <c r="ND196" s="26"/>
      <c r="NE196" s="26"/>
      <c r="NF196" s="26"/>
      <c r="NG196" s="26"/>
      <c r="NH196" s="26"/>
      <c r="NI196" s="26"/>
      <c r="NJ196" s="26"/>
      <c r="NK196" s="26"/>
      <c r="NL196" s="26"/>
      <c r="NM196" s="26"/>
      <c r="NN196" s="26"/>
      <c r="NO196" s="26"/>
      <c r="NP196" s="26"/>
      <c r="NQ196" s="26"/>
      <c r="NR196" s="26"/>
      <c r="NS196" s="26"/>
      <c r="NT196" s="26"/>
      <c r="NU196" s="26"/>
      <c r="NV196" s="26"/>
      <c r="NW196" s="26"/>
      <c r="NX196" s="26"/>
      <c r="NY196" s="26"/>
      <c r="NZ196" s="26"/>
      <c r="OA196" s="26"/>
      <c r="OB196" s="26"/>
      <c r="OC196" s="26"/>
      <c r="OD196" s="26"/>
      <c r="OE196" s="26"/>
      <c r="OF196" s="26"/>
      <c r="OG196" s="26"/>
      <c r="OH196" s="26"/>
      <c r="OI196" s="26"/>
      <c r="OJ196" s="26"/>
      <c r="OK196" s="26"/>
      <c r="OL196" s="26"/>
      <c r="OM196" s="26"/>
      <c r="ON196" s="26"/>
      <c r="OO196" s="26"/>
      <c r="OP196" s="26"/>
      <c r="OQ196" s="26"/>
      <c r="OR196" s="26"/>
      <c r="OS196" s="26"/>
      <c r="OT196" s="26"/>
      <c r="OU196" s="26"/>
      <c r="OV196" s="26"/>
      <c r="OW196" s="26"/>
      <c r="OX196" s="26"/>
      <c r="OY196" s="26"/>
      <c r="OZ196" s="26"/>
      <c r="PA196" s="26"/>
      <c r="PB196" s="26"/>
      <c r="PC196" s="26"/>
      <c r="PD196" s="26"/>
      <c r="PE196" s="26"/>
      <c r="PF196" s="26"/>
      <c r="PG196" s="26"/>
      <c r="PH196" s="26"/>
      <c r="PI196" s="26"/>
      <c r="PJ196" s="26"/>
      <c r="PK196" s="26"/>
      <c r="PL196" s="26"/>
      <c r="PM196" s="26"/>
      <c r="PN196" s="26"/>
      <c r="PO196" s="26"/>
      <c r="PP196" s="26"/>
      <c r="PQ196" s="26"/>
      <c r="PR196" s="26"/>
      <c r="PS196" s="26"/>
      <c r="PT196" s="26"/>
      <c r="PU196" s="26"/>
      <c r="PV196" s="26"/>
      <c r="PW196" s="26"/>
      <c r="PX196" s="26"/>
      <c r="PY196" s="26"/>
      <c r="PZ196" s="26"/>
      <c r="QA196" s="26"/>
      <c r="QB196" s="26"/>
      <c r="QC196" s="26"/>
      <c r="QD196" s="26"/>
      <c r="QE196" s="26"/>
      <c r="QF196" s="26"/>
      <c r="QG196" s="26"/>
      <c r="QH196" s="26"/>
      <c r="QI196" s="26"/>
      <c r="QJ196" s="26"/>
      <c r="QK196" s="26"/>
      <c r="QL196" s="26"/>
      <c r="QM196" s="26"/>
      <c r="QN196" s="26"/>
      <c r="QO196" s="26"/>
      <c r="QP196" s="26"/>
      <c r="QQ196" s="26"/>
      <c r="QR196" s="26"/>
      <c r="QS196" s="26"/>
      <c r="QT196" s="26"/>
      <c r="QU196" s="26"/>
      <c r="QV196" s="26"/>
      <c r="QW196" s="26"/>
      <c r="QX196" s="26"/>
      <c r="QY196" s="26"/>
      <c r="QZ196" s="26"/>
      <c r="RA196" s="26"/>
      <c r="RB196" s="26"/>
      <c r="RC196" s="26"/>
      <c r="RD196" s="26"/>
      <c r="RE196" s="26"/>
      <c r="RF196" s="26"/>
      <c r="RG196" s="26"/>
      <c r="RH196" s="26"/>
      <c r="RI196" s="26"/>
      <c r="RJ196" s="26"/>
      <c r="RK196" s="26"/>
      <c r="RL196" s="26"/>
      <c r="RM196" s="26"/>
      <c r="RN196" s="26"/>
      <c r="RO196" s="26"/>
      <c r="RP196" s="26"/>
      <c r="RQ196" s="26"/>
      <c r="RR196" s="26"/>
      <c r="RS196" s="26"/>
      <c r="RT196" s="26"/>
      <c r="RU196" s="26"/>
      <c r="RV196" s="26"/>
      <c r="RW196" s="26"/>
      <c r="RX196" s="26"/>
      <c r="RY196" s="26"/>
      <c r="RZ196" s="26"/>
      <c r="SA196" s="26"/>
      <c r="SB196" s="26"/>
      <c r="SC196" s="26"/>
      <c r="SD196" s="26"/>
      <c r="SE196" s="26"/>
      <c r="SF196" s="26"/>
      <c r="SG196" s="26"/>
      <c r="SH196" s="26"/>
      <c r="SI196" s="26"/>
      <c r="SJ196" s="26"/>
      <c r="SK196" s="26"/>
      <c r="SL196" s="26"/>
      <c r="SM196" s="26"/>
      <c r="SN196" s="26"/>
      <c r="SO196" s="26"/>
      <c r="SP196" s="26"/>
      <c r="SQ196" s="26"/>
      <c r="SR196" s="26"/>
      <c r="SS196" s="26"/>
      <c r="ST196" s="26"/>
      <c r="SU196" s="26"/>
      <c r="SV196" s="26"/>
      <c r="SW196" s="26"/>
      <c r="SX196" s="26"/>
      <c r="SY196" s="26"/>
      <c r="SZ196" s="26"/>
      <c r="TA196" s="26"/>
      <c r="TB196" s="26"/>
      <c r="TC196" s="26"/>
      <c r="TD196" s="26"/>
      <c r="TE196" s="26"/>
      <c r="TF196" s="26"/>
      <c r="TG196" s="26"/>
      <c r="TH196" s="26"/>
      <c r="TI196" s="26"/>
    </row>
    <row r="197" spans="1:529" s="23" customFormat="1" ht="31.5" customHeight="1" x14ac:dyDescent="0.25">
      <c r="A197" s="43" t="s">
        <v>274</v>
      </c>
      <c r="B197" s="44" t="str">
        <f>'дод 4'!A131</f>
        <v>6090</v>
      </c>
      <c r="C197" s="44" t="str">
        <f>'дод 4'!B131</f>
        <v>0640</v>
      </c>
      <c r="D197" s="24" t="str">
        <f>'дод 4'!C131</f>
        <v>Інша діяльність у сфері житлово-комунального господарства</v>
      </c>
      <c r="E197" s="66">
        <f t="shared" si="90"/>
        <v>6543638.2600000007</v>
      </c>
      <c r="F197" s="66">
        <f>8907408.39+75000-2387670.13-55400</f>
        <v>6539338.2600000007</v>
      </c>
      <c r="G197" s="66"/>
      <c r="H197" s="66">
        <v>42400</v>
      </c>
      <c r="I197" s="66">
        <v>4300</v>
      </c>
      <c r="J197" s="66">
        <f t="shared" si="92"/>
        <v>800708.78999999911</v>
      </c>
      <c r="K197" s="66">
        <f>21793738-10545638.97-1288734.74-6359655.5-305000-2494000</f>
        <v>800708.78999999911</v>
      </c>
      <c r="L197" s="66"/>
      <c r="M197" s="66"/>
      <c r="N197" s="66"/>
      <c r="O197" s="66">
        <f>21793738-10545638.97-1288734.74-6359655.5-305000-2494000</f>
        <v>800708.78999999911</v>
      </c>
      <c r="P197" s="66">
        <f t="shared" si="91"/>
        <v>7344347.0499999998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  <c r="IW197" s="26"/>
      <c r="IX197" s="26"/>
      <c r="IY197" s="26"/>
      <c r="IZ197" s="26"/>
      <c r="JA197" s="26"/>
      <c r="JB197" s="26"/>
      <c r="JC197" s="26"/>
      <c r="JD197" s="26"/>
      <c r="JE197" s="26"/>
      <c r="JF197" s="26"/>
      <c r="JG197" s="26"/>
      <c r="JH197" s="26"/>
      <c r="JI197" s="26"/>
      <c r="JJ197" s="26"/>
      <c r="JK197" s="26"/>
      <c r="JL197" s="26"/>
      <c r="JM197" s="26"/>
      <c r="JN197" s="26"/>
      <c r="JO197" s="26"/>
      <c r="JP197" s="26"/>
      <c r="JQ197" s="26"/>
      <c r="JR197" s="26"/>
      <c r="JS197" s="26"/>
      <c r="JT197" s="26"/>
      <c r="JU197" s="26"/>
      <c r="JV197" s="26"/>
      <c r="JW197" s="26"/>
      <c r="JX197" s="26"/>
      <c r="JY197" s="26"/>
      <c r="JZ197" s="26"/>
      <c r="KA197" s="26"/>
      <c r="KB197" s="26"/>
      <c r="KC197" s="26"/>
      <c r="KD197" s="26"/>
      <c r="KE197" s="26"/>
      <c r="KF197" s="26"/>
      <c r="KG197" s="26"/>
      <c r="KH197" s="26"/>
      <c r="KI197" s="26"/>
      <c r="KJ197" s="26"/>
      <c r="KK197" s="26"/>
      <c r="KL197" s="26"/>
      <c r="KM197" s="26"/>
      <c r="KN197" s="26"/>
      <c r="KO197" s="26"/>
      <c r="KP197" s="26"/>
      <c r="KQ197" s="26"/>
      <c r="KR197" s="26"/>
      <c r="KS197" s="26"/>
      <c r="KT197" s="26"/>
      <c r="KU197" s="26"/>
      <c r="KV197" s="26"/>
      <c r="KW197" s="26"/>
      <c r="KX197" s="26"/>
      <c r="KY197" s="26"/>
      <c r="KZ197" s="26"/>
      <c r="LA197" s="26"/>
      <c r="LB197" s="26"/>
      <c r="LC197" s="26"/>
      <c r="LD197" s="26"/>
      <c r="LE197" s="26"/>
      <c r="LF197" s="26"/>
      <c r="LG197" s="26"/>
      <c r="LH197" s="26"/>
      <c r="LI197" s="26"/>
      <c r="LJ197" s="26"/>
      <c r="LK197" s="26"/>
      <c r="LL197" s="26"/>
      <c r="LM197" s="26"/>
      <c r="LN197" s="26"/>
      <c r="LO197" s="26"/>
      <c r="LP197" s="26"/>
      <c r="LQ197" s="26"/>
      <c r="LR197" s="26"/>
      <c r="LS197" s="26"/>
      <c r="LT197" s="26"/>
      <c r="LU197" s="26"/>
      <c r="LV197" s="26"/>
      <c r="LW197" s="26"/>
      <c r="LX197" s="26"/>
      <c r="LY197" s="26"/>
      <c r="LZ197" s="26"/>
      <c r="MA197" s="26"/>
      <c r="MB197" s="26"/>
      <c r="MC197" s="26"/>
      <c r="MD197" s="26"/>
      <c r="ME197" s="26"/>
      <c r="MF197" s="26"/>
      <c r="MG197" s="26"/>
      <c r="MH197" s="26"/>
      <c r="MI197" s="26"/>
      <c r="MJ197" s="26"/>
      <c r="MK197" s="26"/>
      <c r="ML197" s="26"/>
      <c r="MM197" s="26"/>
      <c r="MN197" s="26"/>
      <c r="MO197" s="26"/>
      <c r="MP197" s="26"/>
      <c r="MQ197" s="26"/>
      <c r="MR197" s="26"/>
      <c r="MS197" s="26"/>
      <c r="MT197" s="26"/>
      <c r="MU197" s="26"/>
      <c r="MV197" s="26"/>
      <c r="MW197" s="26"/>
      <c r="MX197" s="26"/>
      <c r="MY197" s="26"/>
      <c r="MZ197" s="26"/>
      <c r="NA197" s="26"/>
      <c r="NB197" s="26"/>
      <c r="NC197" s="26"/>
      <c r="ND197" s="26"/>
      <c r="NE197" s="26"/>
      <c r="NF197" s="26"/>
      <c r="NG197" s="26"/>
      <c r="NH197" s="26"/>
      <c r="NI197" s="26"/>
      <c r="NJ197" s="26"/>
      <c r="NK197" s="26"/>
      <c r="NL197" s="26"/>
      <c r="NM197" s="26"/>
      <c r="NN197" s="26"/>
      <c r="NO197" s="26"/>
      <c r="NP197" s="26"/>
      <c r="NQ197" s="26"/>
      <c r="NR197" s="26"/>
      <c r="NS197" s="26"/>
      <c r="NT197" s="26"/>
      <c r="NU197" s="26"/>
      <c r="NV197" s="26"/>
      <c r="NW197" s="26"/>
      <c r="NX197" s="26"/>
      <c r="NY197" s="26"/>
      <c r="NZ197" s="26"/>
      <c r="OA197" s="26"/>
      <c r="OB197" s="26"/>
      <c r="OC197" s="26"/>
      <c r="OD197" s="26"/>
      <c r="OE197" s="26"/>
      <c r="OF197" s="26"/>
      <c r="OG197" s="26"/>
      <c r="OH197" s="26"/>
      <c r="OI197" s="26"/>
      <c r="OJ197" s="26"/>
      <c r="OK197" s="26"/>
      <c r="OL197" s="26"/>
      <c r="OM197" s="26"/>
      <c r="ON197" s="26"/>
      <c r="OO197" s="26"/>
      <c r="OP197" s="26"/>
      <c r="OQ197" s="26"/>
      <c r="OR197" s="26"/>
      <c r="OS197" s="26"/>
      <c r="OT197" s="26"/>
      <c r="OU197" s="26"/>
      <c r="OV197" s="26"/>
      <c r="OW197" s="26"/>
      <c r="OX197" s="26"/>
      <c r="OY197" s="26"/>
      <c r="OZ197" s="26"/>
      <c r="PA197" s="26"/>
      <c r="PB197" s="26"/>
      <c r="PC197" s="26"/>
      <c r="PD197" s="26"/>
      <c r="PE197" s="26"/>
      <c r="PF197" s="26"/>
      <c r="PG197" s="26"/>
      <c r="PH197" s="26"/>
      <c r="PI197" s="26"/>
      <c r="PJ197" s="26"/>
      <c r="PK197" s="26"/>
      <c r="PL197" s="26"/>
      <c r="PM197" s="26"/>
      <c r="PN197" s="26"/>
      <c r="PO197" s="26"/>
      <c r="PP197" s="26"/>
      <c r="PQ197" s="26"/>
      <c r="PR197" s="26"/>
      <c r="PS197" s="26"/>
      <c r="PT197" s="26"/>
      <c r="PU197" s="26"/>
      <c r="PV197" s="26"/>
      <c r="PW197" s="26"/>
      <c r="PX197" s="26"/>
      <c r="PY197" s="26"/>
      <c r="PZ197" s="26"/>
      <c r="QA197" s="26"/>
      <c r="QB197" s="26"/>
      <c r="QC197" s="26"/>
      <c r="QD197" s="26"/>
      <c r="QE197" s="26"/>
      <c r="QF197" s="26"/>
      <c r="QG197" s="26"/>
      <c r="QH197" s="26"/>
      <c r="QI197" s="26"/>
      <c r="QJ197" s="26"/>
      <c r="QK197" s="26"/>
      <c r="QL197" s="26"/>
      <c r="QM197" s="26"/>
      <c r="QN197" s="26"/>
      <c r="QO197" s="26"/>
      <c r="QP197" s="26"/>
      <c r="QQ197" s="26"/>
      <c r="QR197" s="26"/>
      <c r="QS197" s="26"/>
      <c r="QT197" s="26"/>
      <c r="QU197" s="26"/>
      <c r="QV197" s="26"/>
      <c r="QW197" s="26"/>
      <c r="QX197" s="26"/>
      <c r="QY197" s="26"/>
      <c r="QZ197" s="26"/>
      <c r="RA197" s="26"/>
      <c r="RB197" s="26"/>
      <c r="RC197" s="26"/>
      <c r="RD197" s="26"/>
      <c r="RE197" s="26"/>
      <c r="RF197" s="26"/>
      <c r="RG197" s="26"/>
      <c r="RH197" s="26"/>
      <c r="RI197" s="26"/>
      <c r="RJ197" s="26"/>
      <c r="RK197" s="26"/>
      <c r="RL197" s="26"/>
      <c r="RM197" s="26"/>
      <c r="RN197" s="26"/>
      <c r="RO197" s="26"/>
      <c r="RP197" s="26"/>
      <c r="RQ197" s="26"/>
      <c r="RR197" s="26"/>
      <c r="RS197" s="26"/>
      <c r="RT197" s="26"/>
      <c r="RU197" s="26"/>
      <c r="RV197" s="26"/>
      <c r="RW197" s="26"/>
      <c r="RX197" s="26"/>
      <c r="RY197" s="26"/>
      <c r="RZ197" s="26"/>
      <c r="SA197" s="26"/>
      <c r="SB197" s="26"/>
      <c r="SC197" s="26"/>
      <c r="SD197" s="26"/>
      <c r="SE197" s="26"/>
      <c r="SF197" s="26"/>
      <c r="SG197" s="26"/>
      <c r="SH197" s="26"/>
      <c r="SI197" s="26"/>
      <c r="SJ197" s="26"/>
      <c r="SK197" s="26"/>
      <c r="SL197" s="26"/>
      <c r="SM197" s="26"/>
      <c r="SN197" s="26"/>
      <c r="SO197" s="26"/>
      <c r="SP197" s="26"/>
      <c r="SQ197" s="26"/>
      <c r="SR197" s="26"/>
      <c r="SS197" s="26"/>
      <c r="ST197" s="26"/>
      <c r="SU197" s="26"/>
      <c r="SV197" s="26"/>
      <c r="SW197" s="26"/>
      <c r="SX197" s="26"/>
      <c r="SY197" s="26"/>
      <c r="SZ197" s="26"/>
      <c r="TA197" s="26"/>
      <c r="TB197" s="26"/>
      <c r="TC197" s="26"/>
      <c r="TD197" s="26"/>
      <c r="TE197" s="26"/>
      <c r="TF197" s="26"/>
      <c r="TG197" s="26"/>
      <c r="TH197" s="26"/>
      <c r="TI197" s="26"/>
    </row>
    <row r="198" spans="1:529" s="23" customFormat="1" ht="22.5" customHeight="1" x14ac:dyDescent="0.25">
      <c r="A198" s="43" t="s">
        <v>293</v>
      </c>
      <c r="B198" s="44" t="str">
        <f>'дод 4'!A140</f>
        <v>7310</v>
      </c>
      <c r="C198" s="44" t="str">
        <f>'дод 4'!B140</f>
        <v>0443</v>
      </c>
      <c r="D198" s="24" t="str">
        <f>'дод 4'!C140</f>
        <v>Будівництво об'єктів житлово-комунального господарства</v>
      </c>
      <c r="E198" s="66">
        <f t="shared" si="90"/>
        <v>0</v>
      </c>
      <c r="F198" s="66"/>
      <c r="G198" s="66"/>
      <c r="H198" s="66"/>
      <c r="I198" s="66"/>
      <c r="J198" s="66">
        <f t="shared" si="92"/>
        <v>9490697.7599999979</v>
      </c>
      <c r="K198" s="66">
        <f>12540000-60000+40000+8953612-4000000+2338215.76-3000+2000-8410000-1200000-494730+230000-1380000+300000+16200+135000+33400+450000</f>
        <v>9490697.7599999979</v>
      </c>
      <c r="L198" s="66"/>
      <c r="M198" s="66"/>
      <c r="N198" s="66"/>
      <c r="O198" s="66">
        <f>12540000-60000+40000+8953612-4000000+2338215.76-3000+2000-8410000-1200000-494730+230000-1380000+300000+16200+135000+33400+450000</f>
        <v>9490697.7599999979</v>
      </c>
      <c r="P198" s="66">
        <f t="shared" si="91"/>
        <v>9490697.7599999979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  <c r="IW198" s="26"/>
      <c r="IX198" s="26"/>
      <c r="IY198" s="26"/>
      <c r="IZ198" s="26"/>
      <c r="JA198" s="26"/>
      <c r="JB198" s="26"/>
      <c r="JC198" s="26"/>
      <c r="JD198" s="26"/>
      <c r="JE198" s="26"/>
      <c r="JF198" s="26"/>
      <c r="JG198" s="26"/>
      <c r="JH198" s="26"/>
      <c r="JI198" s="26"/>
      <c r="JJ198" s="26"/>
      <c r="JK198" s="26"/>
      <c r="JL198" s="26"/>
      <c r="JM198" s="26"/>
      <c r="JN198" s="26"/>
      <c r="JO198" s="26"/>
      <c r="JP198" s="26"/>
      <c r="JQ198" s="26"/>
      <c r="JR198" s="26"/>
      <c r="JS198" s="26"/>
      <c r="JT198" s="26"/>
      <c r="JU198" s="26"/>
      <c r="JV198" s="26"/>
      <c r="JW198" s="26"/>
      <c r="JX198" s="26"/>
      <c r="JY198" s="26"/>
      <c r="JZ198" s="26"/>
      <c r="KA198" s="26"/>
      <c r="KB198" s="26"/>
      <c r="KC198" s="26"/>
      <c r="KD198" s="26"/>
      <c r="KE198" s="26"/>
      <c r="KF198" s="26"/>
      <c r="KG198" s="26"/>
      <c r="KH198" s="26"/>
      <c r="KI198" s="26"/>
      <c r="KJ198" s="26"/>
      <c r="KK198" s="26"/>
      <c r="KL198" s="26"/>
      <c r="KM198" s="26"/>
      <c r="KN198" s="26"/>
      <c r="KO198" s="26"/>
      <c r="KP198" s="26"/>
      <c r="KQ198" s="26"/>
      <c r="KR198" s="26"/>
      <c r="KS198" s="26"/>
      <c r="KT198" s="26"/>
      <c r="KU198" s="26"/>
      <c r="KV198" s="26"/>
      <c r="KW198" s="26"/>
      <c r="KX198" s="26"/>
      <c r="KY198" s="26"/>
      <c r="KZ198" s="26"/>
      <c r="LA198" s="26"/>
      <c r="LB198" s="26"/>
      <c r="LC198" s="26"/>
      <c r="LD198" s="26"/>
      <c r="LE198" s="26"/>
      <c r="LF198" s="26"/>
      <c r="LG198" s="26"/>
      <c r="LH198" s="26"/>
      <c r="LI198" s="26"/>
      <c r="LJ198" s="26"/>
      <c r="LK198" s="26"/>
      <c r="LL198" s="26"/>
      <c r="LM198" s="26"/>
      <c r="LN198" s="26"/>
      <c r="LO198" s="26"/>
      <c r="LP198" s="26"/>
      <c r="LQ198" s="26"/>
      <c r="LR198" s="26"/>
      <c r="LS198" s="26"/>
      <c r="LT198" s="26"/>
      <c r="LU198" s="26"/>
      <c r="LV198" s="26"/>
      <c r="LW198" s="26"/>
      <c r="LX198" s="26"/>
      <c r="LY198" s="26"/>
      <c r="LZ198" s="26"/>
      <c r="MA198" s="26"/>
      <c r="MB198" s="26"/>
      <c r="MC198" s="26"/>
      <c r="MD198" s="26"/>
      <c r="ME198" s="26"/>
      <c r="MF198" s="26"/>
      <c r="MG198" s="26"/>
      <c r="MH198" s="26"/>
      <c r="MI198" s="26"/>
      <c r="MJ198" s="26"/>
      <c r="MK198" s="26"/>
      <c r="ML198" s="26"/>
      <c r="MM198" s="26"/>
      <c r="MN198" s="26"/>
      <c r="MO198" s="26"/>
      <c r="MP198" s="26"/>
      <c r="MQ198" s="26"/>
      <c r="MR198" s="26"/>
      <c r="MS198" s="26"/>
      <c r="MT198" s="26"/>
      <c r="MU198" s="26"/>
      <c r="MV198" s="26"/>
      <c r="MW198" s="26"/>
      <c r="MX198" s="26"/>
      <c r="MY198" s="26"/>
      <c r="MZ198" s="26"/>
      <c r="NA198" s="26"/>
      <c r="NB198" s="26"/>
      <c r="NC198" s="26"/>
      <c r="ND198" s="26"/>
      <c r="NE198" s="26"/>
      <c r="NF198" s="26"/>
      <c r="NG198" s="26"/>
      <c r="NH198" s="26"/>
      <c r="NI198" s="26"/>
      <c r="NJ198" s="26"/>
      <c r="NK198" s="26"/>
      <c r="NL198" s="26"/>
      <c r="NM198" s="26"/>
      <c r="NN198" s="26"/>
      <c r="NO198" s="26"/>
      <c r="NP198" s="26"/>
      <c r="NQ198" s="26"/>
      <c r="NR198" s="26"/>
      <c r="NS198" s="26"/>
      <c r="NT198" s="26"/>
      <c r="NU198" s="26"/>
      <c r="NV198" s="26"/>
      <c r="NW198" s="26"/>
      <c r="NX198" s="26"/>
      <c r="NY198" s="26"/>
      <c r="NZ198" s="26"/>
      <c r="OA198" s="26"/>
      <c r="OB198" s="26"/>
      <c r="OC198" s="26"/>
      <c r="OD198" s="26"/>
      <c r="OE198" s="26"/>
      <c r="OF198" s="26"/>
      <c r="OG198" s="26"/>
      <c r="OH198" s="26"/>
      <c r="OI198" s="26"/>
      <c r="OJ198" s="26"/>
      <c r="OK198" s="26"/>
      <c r="OL198" s="26"/>
      <c r="OM198" s="26"/>
      <c r="ON198" s="26"/>
      <c r="OO198" s="26"/>
      <c r="OP198" s="26"/>
      <c r="OQ198" s="26"/>
      <c r="OR198" s="26"/>
      <c r="OS198" s="26"/>
      <c r="OT198" s="26"/>
      <c r="OU198" s="26"/>
      <c r="OV198" s="26"/>
      <c r="OW198" s="26"/>
      <c r="OX198" s="26"/>
      <c r="OY198" s="26"/>
      <c r="OZ198" s="26"/>
      <c r="PA198" s="26"/>
      <c r="PB198" s="26"/>
      <c r="PC198" s="26"/>
      <c r="PD198" s="26"/>
      <c r="PE198" s="26"/>
      <c r="PF198" s="26"/>
      <c r="PG198" s="26"/>
      <c r="PH198" s="26"/>
      <c r="PI198" s="26"/>
      <c r="PJ198" s="26"/>
      <c r="PK198" s="26"/>
      <c r="PL198" s="26"/>
      <c r="PM198" s="26"/>
      <c r="PN198" s="26"/>
      <c r="PO198" s="26"/>
      <c r="PP198" s="26"/>
      <c r="PQ198" s="26"/>
      <c r="PR198" s="26"/>
      <c r="PS198" s="26"/>
      <c r="PT198" s="26"/>
      <c r="PU198" s="26"/>
      <c r="PV198" s="26"/>
      <c r="PW198" s="26"/>
      <c r="PX198" s="26"/>
      <c r="PY198" s="26"/>
      <c r="PZ198" s="26"/>
      <c r="QA198" s="26"/>
      <c r="QB198" s="26"/>
      <c r="QC198" s="26"/>
      <c r="QD198" s="26"/>
      <c r="QE198" s="26"/>
      <c r="QF198" s="26"/>
      <c r="QG198" s="26"/>
      <c r="QH198" s="26"/>
      <c r="QI198" s="26"/>
      <c r="QJ198" s="26"/>
      <c r="QK198" s="26"/>
      <c r="QL198" s="26"/>
      <c r="QM198" s="26"/>
      <c r="QN198" s="26"/>
      <c r="QO198" s="26"/>
      <c r="QP198" s="26"/>
      <c r="QQ198" s="26"/>
      <c r="QR198" s="26"/>
      <c r="QS198" s="26"/>
      <c r="QT198" s="26"/>
      <c r="QU198" s="26"/>
      <c r="QV198" s="26"/>
      <c r="QW198" s="26"/>
      <c r="QX198" s="26"/>
      <c r="QY198" s="26"/>
      <c r="QZ198" s="26"/>
      <c r="RA198" s="26"/>
      <c r="RB198" s="26"/>
      <c r="RC198" s="26"/>
      <c r="RD198" s="26"/>
      <c r="RE198" s="26"/>
      <c r="RF198" s="26"/>
      <c r="RG198" s="26"/>
      <c r="RH198" s="26"/>
      <c r="RI198" s="26"/>
      <c r="RJ198" s="26"/>
      <c r="RK198" s="26"/>
      <c r="RL198" s="26"/>
      <c r="RM198" s="26"/>
      <c r="RN198" s="26"/>
      <c r="RO198" s="26"/>
      <c r="RP198" s="26"/>
      <c r="RQ198" s="26"/>
      <c r="RR198" s="26"/>
      <c r="RS198" s="26"/>
      <c r="RT198" s="26"/>
      <c r="RU198" s="26"/>
      <c r="RV198" s="26"/>
      <c r="RW198" s="26"/>
      <c r="RX198" s="26"/>
      <c r="RY198" s="26"/>
      <c r="RZ198" s="26"/>
      <c r="SA198" s="26"/>
      <c r="SB198" s="26"/>
      <c r="SC198" s="26"/>
      <c r="SD198" s="26"/>
      <c r="SE198" s="26"/>
      <c r="SF198" s="26"/>
      <c r="SG198" s="26"/>
      <c r="SH198" s="26"/>
      <c r="SI198" s="26"/>
      <c r="SJ198" s="26"/>
      <c r="SK198" s="26"/>
      <c r="SL198" s="26"/>
      <c r="SM198" s="26"/>
      <c r="SN198" s="26"/>
      <c r="SO198" s="26"/>
      <c r="SP198" s="26"/>
      <c r="SQ198" s="26"/>
      <c r="SR198" s="26"/>
      <c r="SS198" s="26"/>
      <c r="ST198" s="26"/>
      <c r="SU198" s="26"/>
      <c r="SV198" s="26"/>
      <c r="SW198" s="26"/>
      <c r="SX198" s="26"/>
      <c r="SY198" s="26"/>
      <c r="SZ198" s="26"/>
      <c r="TA198" s="26"/>
      <c r="TB198" s="26"/>
      <c r="TC198" s="26"/>
      <c r="TD198" s="26"/>
      <c r="TE198" s="26"/>
      <c r="TF198" s="26"/>
      <c r="TG198" s="26"/>
      <c r="TH198" s="26"/>
      <c r="TI198" s="26"/>
    </row>
    <row r="199" spans="1:529" s="23" customFormat="1" ht="20.25" customHeight="1" x14ac:dyDescent="0.25">
      <c r="A199" s="43" t="s">
        <v>295</v>
      </c>
      <c r="B199" s="44" t="str">
        <f>'дод 4'!A145</f>
        <v>7330</v>
      </c>
      <c r="C199" s="44" t="str">
        <f>'дод 4'!B145</f>
        <v>0443</v>
      </c>
      <c r="D199" s="24" t="str">
        <f>'дод 4'!C145</f>
        <v>Будівництво інших об'єктів комунальної власності</v>
      </c>
      <c r="E199" s="66">
        <f t="shared" si="90"/>
        <v>0</v>
      </c>
      <c r="F199" s="66"/>
      <c r="G199" s="66"/>
      <c r="H199" s="66"/>
      <c r="I199" s="66"/>
      <c r="J199" s="66">
        <f t="shared" si="92"/>
        <v>13180966.77</v>
      </c>
      <c r="K199" s="66">
        <f>15750000+4777000+3000-50000-100000-5550000-700000+550000-4000000+432854.34-1950000+4818144.43+210000+68000-8500000+1499889+748253-2000000+9500000+2000000-4326174</f>
        <v>13180966.77</v>
      </c>
      <c r="L199" s="66"/>
      <c r="M199" s="66"/>
      <c r="N199" s="66"/>
      <c r="O199" s="66">
        <f>15750000+4777000+3000-50000-100000-5550000-700000+550000-4000000+432854.34-1950000+4818144.43+210000+68000-8500000+1499889+748253-2000000+9500000+2000000-4326174</f>
        <v>13180966.77</v>
      </c>
      <c r="P199" s="66">
        <f t="shared" si="91"/>
        <v>13180966.77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  <c r="IW199" s="26"/>
      <c r="IX199" s="26"/>
      <c r="IY199" s="26"/>
      <c r="IZ199" s="26"/>
      <c r="JA199" s="26"/>
      <c r="JB199" s="26"/>
      <c r="JC199" s="26"/>
      <c r="JD199" s="26"/>
      <c r="JE199" s="26"/>
      <c r="JF199" s="26"/>
      <c r="JG199" s="26"/>
      <c r="JH199" s="26"/>
      <c r="JI199" s="26"/>
      <c r="JJ199" s="26"/>
      <c r="JK199" s="26"/>
      <c r="JL199" s="26"/>
      <c r="JM199" s="26"/>
      <c r="JN199" s="26"/>
      <c r="JO199" s="26"/>
      <c r="JP199" s="26"/>
      <c r="JQ199" s="26"/>
      <c r="JR199" s="26"/>
      <c r="JS199" s="26"/>
      <c r="JT199" s="26"/>
      <c r="JU199" s="26"/>
      <c r="JV199" s="26"/>
      <c r="JW199" s="26"/>
      <c r="JX199" s="26"/>
      <c r="JY199" s="26"/>
      <c r="JZ199" s="26"/>
      <c r="KA199" s="26"/>
      <c r="KB199" s="26"/>
      <c r="KC199" s="26"/>
      <c r="KD199" s="26"/>
      <c r="KE199" s="26"/>
      <c r="KF199" s="26"/>
      <c r="KG199" s="26"/>
      <c r="KH199" s="26"/>
      <c r="KI199" s="26"/>
      <c r="KJ199" s="26"/>
      <c r="KK199" s="26"/>
      <c r="KL199" s="26"/>
      <c r="KM199" s="26"/>
      <c r="KN199" s="26"/>
      <c r="KO199" s="26"/>
      <c r="KP199" s="26"/>
      <c r="KQ199" s="26"/>
      <c r="KR199" s="26"/>
      <c r="KS199" s="26"/>
      <c r="KT199" s="26"/>
      <c r="KU199" s="26"/>
      <c r="KV199" s="26"/>
      <c r="KW199" s="26"/>
      <c r="KX199" s="26"/>
      <c r="KY199" s="26"/>
      <c r="KZ199" s="26"/>
      <c r="LA199" s="26"/>
      <c r="LB199" s="26"/>
      <c r="LC199" s="26"/>
      <c r="LD199" s="26"/>
      <c r="LE199" s="26"/>
      <c r="LF199" s="26"/>
      <c r="LG199" s="26"/>
      <c r="LH199" s="26"/>
      <c r="LI199" s="26"/>
      <c r="LJ199" s="26"/>
      <c r="LK199" s="26"/>
      <c r="LL199" s="26"/>
      <c r="LM199" s="26"/>
      <c r="LN199" s="26"/>
      <c r="LO199" s="26"/>
      <c r="LP199" s="26"/>
      <c r="LQ199" s="26"/>
      <c r="LR199" s="26"/>
      <c r="LS199" s="26"/>
      <c r="LT199" s="26"/>
      <c r="LU199" s="26"/>
      <c r="LV199" s="26"/>
      <c r="LW199" s="26"/>
      <c r="LX199" s="26"/>
      <c r="LY199" s="26"/>
      <c r="LZ199" s="26"/>
      <c r="MA199" s="26"/>
      <c r="MB199" s="26"/>
      <c r="MC199" s="26"/>
      <c r="MD199" s="26"/>
      <c r="ME199" s="26"/>
      <c r="MF199" s="26"/>
      <c r="MG199" s="26"/>
      <c r="MH199" s="26"/>
      <c r="MI199" s="26"/>
      <c r="MJ199" s="26"/>
      <c r="MK199" s="26"/>
      <c r="ML199" s="26"/>
      <c r="MM199" s="26"/>
      <c r="MN199" s="26"/>
      <c r="MO199" s="26"/>
      <c r="MP199" s="26"/>
      <c r="MQ199" s="26"/>
      <c r="MR199" s="26"/>
      <c r="MS199" s="26"/>
      <c r="MT199" s="26"/>
      <c r="MU199" s="26"/>
      <c r="MV199" s="26"/>
      <c r="MW199" s="26"/>
      <c r="MX199" s="26"/>
      <c r="MY199" s="26"/>
      <c r="MZ199" s="26"/>
      <c r="NA199" s="26"/>
      <c r="NB199" s="26"/>
      <c r="NC199" s="26"/>
      <c r="ND199" s="26"/>
      <c r="NE199" s="26"/>
      <c r="NF199" s="26"/>
      <c r="NG199" s="26"/>
      <c r="NH199" s="26"/>
      <c r="NI199" s="26"/>
      <c r="NJ199" s="26"/>
      <c r="NK199" s="26"/>
      <c r="NL199" s="26"/>
      <c r="NM199" s="26"/>
      <c r="NN199" s="26"/>
      <c r="NO199" s="26"/>
      <c r="NP199" s="26"/>
      <c r="NQ199" s="26"/>
      <c r="NR199" s="26"/>
      <c r="NS199" s="26"/>
      <c r="NT199" s="26"/>
      <c r="NU199" s="26"/>
      <c r="NV199" s="26"/>
      <c r="NW199" s="26"/>
      <c r="NX199" s="26"/>
      <c r="NY199" s="26"/>
      <c r="NZ199" s="26"/>
      <c r="OA199" s="26"/>
      <c r="OB199" s="26"/>
      <c r="OC199" s="26"/>
      <c r="OD199" s="26"/>
      <c r="OE199" s="26"/>
      <c r="OF199" s="26"/>
      <c r="OG199" s="26"/>
      <c r="OH199" s="26"/>
      <c r="OI199" s="26"/>
      <c r="OJ199" s="26"/>
      <c r="OK199" s="26"/>
      <c r="OL199" s="26"/>
      <c r="OM199" s="26"/>
      <c r="ON199" s="26"/>
      <c r="OO199" s="26"/>
      <c r="OP199" s="26"/>
      <c r="OQ199" s="26"/>
      <c r="OR199" s="26"/>
      <c r="OS199" s="26"/>
      <c r="OT199" s="26"/>
      <c r="OU199" s="26"/>
      <c r="OV199" s="26"/>
      <c r="OW199" s="26"/>
      <c r="OX199" s="26"/>
      <c r="OY199" s="26"/>
      <c r="OZ199" s="26"/>
      <c r="PA199" s="26"/>
      <c r="PB199" s="26"/>
      <c r="PC199" s="26"/>
      <c r="PD199" s="26"/>
      <c r="PE199" s="26"/>
      <c r="PF199" s="26"/>
      <c r="PG199" s="26"/>
      <c r="PH199" s="26"/>
      <c r="PI199" s="26"/>
      <c r="PJ199" s="26"/>
      <c r="PK199" s="26"/>
      <c r="PL199" s="26"/>
      <c r="PM199" s="26"/>
      <c r="PN199" s="26"/>
      <c r="PO199" s="26"/>
      <c r="PP199" s="26"/>
      <c r="PQ199" s="26"/>
      <c r="PR199" s="26"/>
      <c r="PS199" s="26"/>
      <c r="PT199" s="26"/>
      <c r="PU199" s="26"/>
      <c r="PV199" s="26"/>
      <c r="PW199" s="26"/>
      <c r="PX199" s="26"/>
      <c r="PY199" s="26"/>
      <c r="PZ199" s="26"/>
      <c r="QA199" s="26"/>
      <c r="QB199" s="26"/>
      <c r="QC199" s="26"/>
      <c r="QD199" s="26"/>
      <c r="QE199" s="26"/>
      <c r="QF199" s="26"/>
      <c r="QG199" s="26"/>
      <c r="QH199" s="26"/>
      <c r="QI199" s="26"/>
      <c r="QJ199" s="26"/>
      <c r="QK199" s="26"/>
      <c r="QL199" s="26"/>
      <c r="QM199" s="26"/>
      <c r="QN199" s="26"/>
      <c r="QO199" s="26"/>
      <c r="QP199" s="26"/>
      <c r="QQ199" s="26"/>
      <c r="QR199" s="26"/>
      <c r="QS199" s="26"/>
      <c r="QT199" s="26"/>
      <c r="QU199" s="26"/>
      <c r="QV199" s="26"/>
      <c r="QW199" s="26"/>
      <c r="QX199" s="26"/>
      <c r="QY199" s="26"/>
      <c r="QZ199" s="26"/>
      <c r="RA199" s="26"/>
      <c r="RB199" s="26"/>
      <c r="RC199" s="26"/>
      <c r="RD199" s="26"/>
      <c r="RE199" s="26"/>
      <c r="RF199" s="26"/>
      <c r="RG199" s="26"/>
      <c r="RH199" s="26"/>
      <c r="RI199" s="26"/>
      <c r="RJ199" s="26"/>
      <c r="RK199" s="26"/>
      <c r="RL199" s="26"/>
      <c r="RM199" s="26"/>
      <c r="RN199" s="26"/>
      <c r="RO199" s="26"/>
      <c r="RP199" s="26"/>
      <c r="RQ199" s="26"/>
      <c r="RR199" s="26"/>
      <c r="RS199" s="26"/>
      <c r="RT199" s="26"/>
      <c r="RU199" s="26"/>
      <c r="RV199" s="26"/>
      <c r="RW199" s="26"/>
      <c r="RX199" s="26"/>
      <c r="RY199" s="26"/>
      <c r="RZ199" s="26"/>
      <c r="SA199" s="26"/>
      <c r="SB199" s="26"/>
      <c r="SC199" s="26"/>
      <c r="SD199" s="26"/>
      <c r="SE199" s="26"/>
      <c r="SF199" s="26"/>
      <c r="SG199" s="26"/>
      <c r="SH199" s="26"/>
      <c r="SI199" s="26"/>
      <c r="SJ199" s="26"/>
      <c r="SK199" s="26"/>
      <c r="SL199" s="26"/>
      <c r="SM199" s="26"/>
      <c r="SN199" s="26"/>
      <c r="SO199" s="26"/>
      <c r="SP199" s="26"/>
      <c r="SQ199" s="26"/>
      <c r="SR199" s="26"/>
      <c r="SS199" s="26"/>
      <c r="ST199" s="26"/>
      <c r="SU199" s="26"/>
      <c r="SV199" s="26"/>
      <c r="SW199" s="26"/>
      <c r="SX199" s="26"/>
      <c r="SY199" s="26"/>
      <c r="SZ199" s="26"/>
      <c r="TA199" s="26"/>
      <c r="TB199" s="26"/>
      <c r="TC199" s="26"/>
      <c r="TD199" s="26"/>
      <c r="TE199" s="26"/>
      <c r="TF199" s="26"/>
      <c r="TG199" s="26"/>
      <c r="TH199" s="26"/>
      <c r="TI199" s="26"/>
    </row>
    <row r="200" spans="1:529" s="23" customFormat="1" ht="21.75" customHeight="1" x14ac:dyDescent="0.25">
      <c r="A200" s="43" t="s">
        <v>218</v>
      </c>
      <c r="B200" s="44">
        <v>7340</v>
      </c>
      <c r="C200" s="44" t="str">
        <f>'дод 4'!B144</f>
        <v>0443</v>
      </c>
      <c r="D200" s="24" t="str">
        <f>'дод 4'!C146</f>
        <v>Проектування, реставрація та охорона пам'яток архітектури</v>
      </c>
      <c r="E200" s="66">
        <f t="shared" ref="E200" si="93">F200+I200</f>
        <v>0</v>
      </c>
      <c r="F200" s="66"/>
      <c r="G200" s="66"/>
      <c r="H200" s="66"/>
      <c r="I200" s="66"/>
      <c r="J200" s="66">
        <f t="shared" ref="J200" si="94">L200+O200</f>
        <v>3000000</v>
      </c>
      <c r="K200" s="66">
        <v>3000000</v>
      </c>
      <c r="L200" s="66"/>
      <c r="M200" s="66"/>
      <c r="N200" s="66"/>
      <c r="O200" s="66">
        <v>3000000</v>
      </c>
      <c r="P200" s="66">
        <f t="shared" ref="P200" si="95">E200+J200</f>
        <v>3000000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  <c r="JK200" s="26"/>
      <c r="JL200" s="26"/>
      <c r="JM200" s="26"/>
      <c r="JN200" s="26"/>
      <c r="JO200" s="26"/>
      <c r="JP200" s="26"/>
      <c r="JQ200" s="26"/>
      <c r="JR200" s="26"/>
      <c r="JS200" s="26"/>
      <c r="JT200" s="26"/>
      <c r="JU200" s="26"/>
      <c r="JV200" s="26"/>
      <c r="JW200" s="26"/>
      <c r="JX200" s="26"/>
      <c r="JY200" s="26"/>
      <c r="JZ200" s="26"/>
      <c r="KA200" s="26"/>
      <c r="KB200" s="26"/>
      <c r="KC200" s="26"/>
      <c r="KD200" s="26"/>
      <c r="KE200" s="26"/>
      <c r="KF200" s="26"/>
      <c r="KG200" s="26"/>
      <c r="KH200" s="26"/>
      <c r="KI200" s="26"/>
      <c r="KJ200" s="26"/>
      <c r="KK200" s="26"/>
      <c r="KL200" s="26"/>
      <c r="KM200" s="26"/>
      <c r="KN200" s="26"/>
      <c r="KO200" s="26"/>
      <c r="KP200" s="26"/>
      <c r="KQ200" s="26"/>
      <c r="KR200" s="26"/>
      <c r="KS200" s="26"/>
      <c r="KT200" s="26"/>
      <c r="KU200" s="26"/>
      <c r="KV200" s="26"/>
      <c r="KW200" s="26"/>
      <c r="KX200" s="26"/>
      <c r="KY200" s="26"/>
      <c r="KZ200" s="26"/>
      <c r="LA200" s="26"/>
      <c r="LB200" s="26"/>
      <c r="LC200" s="26"/>
      <c r="LD200" s="26"/>
      <c r="LE200" s="26"/>
      <c r="LF200" s="26"/>
      <c r="LG200" s="26"/>
      <c r="LH200" s="26"/>
      <c r="LI200" s="26"/>
      <c r="LJ200" s="26"/>
      <c r="LK200" s="26"/>
      <c r="LL200" s="26"/>
      <c r="LM200" s="26"/>
      <c r="LN200" s="26"/>
      <c r="LO200" s="26"/>
      <c r="LP200" s="26"/>
      <c r="LQ200" s="26"/>
      <c r="LR200" s="26"/>
      <c r="LS200" s="26"/>
      <c r="LT200" s="26"/>
      <c r="LU200" s="26"/>
      <c r="LV200" s="26"/>
      <c r="LW200" s="26"/>
      <c r="LX200" s="26"/>
      <c r="LY200" s="26"/>
      <c r="LZ200" s="26"/>
      <c r="MA200" s="26"/>
      <c r="MB200" s="26"/>
      <c r="MC200" s="26"/>
      <c r="MD200" s="26"/>
      <c r="ME200" s="26"/>
      <c r="MF200" s="26"/>
      <c r="MG200" s="26"/>
      <c r="MH200" s="26"/>
      <c r="MI200" s="26"/>
      <c r="MJ200" s="26"/>
      <c r="MK200" s="26"/>
      <c r="ML200" s="26"/>
      <c r="MM200" s="26"/>
      <c r="MN200" s="26"/>
      <c r="MO200" s="26"/>
      <c r="MP200" s="26"/>
      <c r="MQ200" s="26"/>
      <c r="MR200" s="26"/>
      <c r="MS200" s="26"/>
      <c r="MT200" s="26"/>
      <c r="MU200" s="26"/>
      <c r="MV200" s="26"/>
      <c r="MW200" s="26"/>
      <c r="MX200" s="26"/>
      <c r="MY200" s="26"/>
      <c r="MZ200" s="26"/>
      <c r="NA200" s="26"/>
      <c r="NB200" s="26"/>
      <c r="NC200" s="26"/>
      <c r="ND200" s="26"/>
      <c r="NE200" s="26"/>
      <c r="NF200" s="26"/>
      <c r="NG200" s="26"/>
      <c r="NH200" s="26"/>
      <c r="NI200" s="26"/>
      <c r="NJ200" s="26"/>
      <c r="NK200" s="26"/>
      <c r="NL200" s="26"/>
      <c r="NM200" s="26"/>
      <c r="NN200" s="26"/>
      <c r="NO200" s="26"/>
      <c r="NP200" s="26"/>
      <c r="NQ200" s="26"/>
      <c r="NR200" s="26"/>
      <c r="NS200" s="26"/>
      <c r="NT200" s="26"/>
      <c r="NU200" s="26"/>
      <c r="NV200" s="26"/>
      <c r="NW200" s="26"/>
      <c r="NX200" s="26"/>
      <c r="NY200" s="26"/>
      <c r="NZ200" s="26"/>
      <c r="OA200" s="26"/>
      <c r="OB200" s="26"/>
      <c r="OC200" s="26"/>
      <c r="OD200" s="26"/>
      <c r="OE200" s="26"/>
      <c r="OF200" s="26"/>
      <c r="OG200" s="26"/>
      <c r="OH200" s="26"/>
      <c r="OI200" s="26"/>
      <c r="OJ200" s="26"/>
      <c r="OK200" s="26"/>
      <c r="OL200" s="26"/>
      <c r="OM200" s="26"/>
      <c r="ON200" s="26"/>
      <c r="OO200" s="26"/>
      <c r="OP200" s="26"/>
      <c r="OQ200" s="26"/>
      <c r="OR200" s="26"/>
      <c r="OS200" s="26"/>
      <c r="OT200" s="26"/>
      <c r="OU200" s="26"/>
      <c r="OV200" s="26"/>
      <c r="OW200" s="26"/>
      <c r="OX200" s="26"/>
      <c r="OY200" s="26"/>
      <c r="OZ200" s="26"/>
      <c r="PA200" s="26"/>
      <c r="PB200" s="26"/>
      <c r="PC200" s="26"/>
      <c r="PD200" s="26"/>
      <c r="PE200" s="26"/>
      <c r="PF200" s="26"/>
      <c r="PG200" s="26"/>
      <c r="PH200" s="26"/>
      <c r="PI200" s="26"/>
      <c r="PJ200" s="26"/>
      <c r="PK200" s="26"/>
      <c r="PL200" s="26"/>
      <c r="PM200" s="26"/>
      <c r="PN200" s="26"/>
      <c r="PO200" s="26"/>
      <c r="PP200" s="26"/>
      <c r="PQ200" s="26"/>
      <c r="PR200" s="26"/>
      <c r="PS200" s="26"/>
      <c r="PT200" s="26"/>
      <c r="PU200" s="26"/>
      <c r="PV200" s="26"/>
      <c r="PW200" s="26"/>
      <c r="PX200" s="26"/>
      <c r="PY200" s="26"/>
      <c r="PZ200" s="26"/>
      <c r="QA200" s="26"/>
      <c r="QB200" s="26"/>
      <c r="QC200" s="26"/>
      <c r="QD200" s="26"/>
      <c r="QE200" s="26"/>
      <c r="QF200" s="26"/>
      <c r="QG200" s="26"/>
      <c r="QH200" s="26"/>
      <c r="QI200" s="26"/>
      <c r="QJ200" s="26"/>
      <c r="QK200" s="26"/>
      <c r="QL200" s="26"/>
      <c r="QM200" s="26"/>
      <c r="QN200" s="26"/>
      <c r="QO200" s="26"/>
      <c r="QP200" s="26"/>
      <c r="QQ200" s="26"/>
      <c r="QR200" s="26"/>
      <c r="QS200" s="26"/>
      <c r="QT200" s="26"/>
      <c r="QU200" s="26"/>
      <c r="QV200" s="26"/>
      <c r="QW200" s="26"/>
      <c r="QX200" s="26"/>
      <c r="QY200" s="26"/>
      <c r="QZ200" s="26"/>
      <c r="RA200" s="26"/>
      <c r="RB200" s="26"/>
      <c r="RC200" s="26"/>
      <c r="RD200" s="26"/>
      <c r="RE200" s="26"/>
      <c r="RF200" s="26"/>
      <c r="RG200" s="26"/>
      <c r="RH200" s="26"/>
      <c r="RI200" s="26"/>
      <c r="RJ200" s="26"/>
      <c r="RK200" s="26"/>
      <c r="RL200" s="26"/>
      <c r="RM200" s="26"/>
      <c r="RN200" s="26"/>
      <c r="RO200" s="26"/>
      <c r="RP200" s="26"/>
      <c r="RQ200" s="26"/>
      <c r="RR200" s="26"/>
      <c r="RS200" s="26"/>
      <c r="RT200" s="26"/>
      <c r="RU200" s="26"/>
      <c r="RV200" s="26"/>
      <c r="RW200" s="26"/>
      <c r="RX200" s="26"/>
      <c r="RY200" s="26"/>
      <c r="RZ200" s="26"/>
      <c r="SA200" s="26"/>
      <c r="SB200" s="26"/>
      <c r="SC200" s="26"/>
      <c r="SD200" s="26"/>
      <c r="SE200" s="26"/>
      <c r="SF200" s="26"/>
      <c r="SG200" s="26"/>
      <c r="SH200" s="26"/>
      <c r="SI200" s="26"/>
      <c r="SJ200" s="26"/>
      <c r="SK200" s="26"/>
      <c r="SL200" s="26"/>
      <c r="SM200" s="26"/>
      <c r="SN200" s="26"/>
      <c r="SO200" s="26"/>
      <c r="SP200" s="26"/>
      <c r="SQ200" s="26"/>
      <c r="SR200" s="26"/>
      <c r="SS200" s="26"/>
      <c r="ST200" s="26"/>
      <c r="SU200" s="26"/>
      <c r="SV200" s="26"/>
      <c r="SW200" s="26"/>
      <c r="SX200" s="26"/>
      <c r="SY200" s="26"/>
      <c r="SZ200" s="26"/>
      <c r="TA200" s="26"/>
      <c r="TB200" s="26"/>
      <c r="TC200" s="26"/>
      <c r="TD200" s="26"/>
      <c r="TE200" s="26"/>
      <c r="TF200" s="26"/>
      <c r="TG200" s="26"/>
      <c r="TH200" s="26"/>
      <c r="TI200" s="26"/>
    </row>
    <row r="201" spans="1:529" s="23" customFormat="1" ht="49.5" customHeight="1" x14ac:dyDescent="0.25">
      <c r="A201" s="43" t="s">
        <v>416</v>
      </c>
      <c r="B201" s="44">
        <f>'дод 4'!A147</f>
        <v>7361</v>
      </c>
      <c r="C201" s="44" t="str">
        <f>'дод 4'!B147</f>
        <v>0490</v>
      </c>
      <c r="D201" s="24" t="str">
        <f>'дод 4'!C147</f>
        <v>Співфінансування інвестиційних проектів, що реалізуються за рахунок коштів державного фонду регіонального розвитку</v>
      </c>
      <c r="E201" s="66">
        <f t="shared" si="90"/>
        <v>0</v>
      </c>
      <c r="F201" s="66"/>
      <c r="G201" s="66"/>
      <c r="H201" s="66"/>
      <c r="I201" s="66"/>
      <c r="J201" s="66">
        <f t="shared" si="92"/>
        <v>1386113</v>
      </c>
      <c r="K201" s="66">
        <v>1386113</v>
      </c>
      <c r="L201" s="66"/>
      <c r="M201" s="66"/>
      <c r="N201" s="66"/>
      <c r="O201" s="66">
        <v>1386113</v>
      </c>
      <c r="P201" s="66">
        <f t="shared" si="91"/>
        <v>1386113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  <c r="IW201" s="26"/>
      <c r="IX201" s="26"/>
      <c r="IY201" s="26"/>
      <c r="IZ201" s="26"/>
      <c r="JA201" s="26"/>
      <c r="JB201" s="26"/>
      <c r="JC201" s="26"/>
      <c r="JD201" s="26"/>
      <c r="JE201" s="26"/>
      <c r="JF201" s="26"/>
      <c r="JG201" s="26"/>
      <c r="JH201" s="26"/>
      <c r="JI201" s="26"/>
      <c r="JJ201" s="26"/>
      <c r="JK201" s="26"/>
      <c r="JL201" s="26"/>
      <c r="JM201" s="26"/>
      <c r="JN201" s="26"/>
      <c r="JO201" s="26"/>
      <c r="JP201" s="26"/>
      <c r="JQ201" s="26"/>
      <c r="JR201" s="26"/>
      <c r="JS201" s="26"/>
      <c r="JT201" s="26"/>
      <c r="JU201" s="26"/>
      <c r="JV201" s="26"/>
      <c r="JW201" s="26"/>
      <c r="JX201" s="26"/>
      <c r="JY201" s="26"/>
      <c r="JZ201" s="26"/>
      <c r="KA201" s="26"/>
      <c r="KB201" s="26"/>
      <c r="KC201" s="26"/>
      <c r="KD201" s="26"/>
      <c r="KE201" s="26"/>
      <c r="KF201" s="26"/>
      <c r="KG201" s="26"/>
      <c r="KH201" s="26"/>
      <c r="KI201" s="26"/>
      <c r="KJ201" s="26"/>
      <c r="KK201" s="26"/>
      <c r="KL201" s="26"/>
      <c r="KM201" s="26"/>
      <c r="KN201" s="26"/>
      <c r="KO201" s="26"/>
      <c r="KP201" s="26"/>
      <c r="KQ201" s="26"/>
      <c r="KR201" s="26"/>
      <c r="KS201" s="26"/>
      <c r="KT201" s="26"/>
      <c r="KU201" s="26"/>
      <c r="KV201" s="26"/>
      <c r="KW201" s="26"/>
      <c r="KX201" s="26"/>
      <c r="KY201" s="26"/>
      <c r="KZ201" s="26"/>
      <c r="LA201" s="26"/>
      <c r="LB201" s="26"/>
      <c r="LC201" s="26"/>
      <c r="LD201" s="26"/>
      <c r="LE201" s="26"/>
      <c r="LF201" s="26"/>
      <c r="LG201" s="26"/>
      <c r="LH201" s="26"/>
      <c r="LI201" s="26"/>
      <c r="LJ201" s="26"/>
      <c r="LK201" s="26"/>
      <c r="LL201" s="26"/>
      <c r="LM201" s="26"/>
      <c r="LN201" s="26"/>
      <c r="LO201" s="26"/>
      <c r="LP201" s="26"/>
      <c r="LQ201" s="26"/>
      <c r="LR201" s="26"/>
      <c r="LS201" s="26"/>
      <c r="LT201" s="26"/>
      <c r="LU201" s="26"/>
      <c r="LV201" s="26"/>
      <c r="LW201" s="26"/>
      <c r="LX201" s="26"/>
      <c r="LY201" s="26"/>
      <c r="LZ201" s="26"/>
      <c r="MA201" s="26"/>
      <c r="MB201" s="26"/>
      <c r="MC201" s="26"/>
      <c r="MD201" s="26"/>
      <c r="ME201" s="26"/>
      <c r="MF201" s="26"/>
      <c r="MG201" s="26"/>
      <c r="MH201" s="26"/>
      <c r="MI201" s="26"/>
      <c r="MJ201" s="26"/>
      <c r="MK201" s="26"/>
      <c r="ML201" s="26"/>
      <c r="MM201" s="26"/>
      <c r="MN201" s="26"/>
      <c r="MO201" s="26"/>
      <c r="MP201" s="26"/>
      <c r="MQ201" s="26"/>
      <c r="MR201" s="26"/>
      <c r="MS201" s="26"/>
      <c r="MT201" s="26"/>
      <c r="MU201" s="26"/>
      <c r="MV201" s="26"/>
      <c r="MW201" s="26"/>
      <c r="MX201" s="26"/>
      <c r="MY201" s="26"/>
      <c r="MZ201" s="26"/>
      <c r="NA201" s="26"/>
      <c r="NB201" s="26"/>
      <c r="NC201" s="26"/>
      <c r="ND201" s="26"/>
      <c r="NE201" s="26"/>
      <c r="NF201" s="26"/>
      <c r="NG201" s="26"/>
      <c r="NH201" s="26"/>
      <c r="NI201" s="26"/>
      <c r="NJ201" s="26"/>
      <c r="NK201" s="26"/>
      <c r="NL201" s="26"/>
      <c r="NM201" s="26"/>
      <c r="NN201" s="26"/>
      <c r="NO201" s="26"/>
      <c r="NP201" s="26"/>
      <c r="NQ201" s="26"/>
      <c r="NR201" s="26"/>
      <c r="NS201" s="26"/>
      <c r="NT201" s="26"/>
      <c r="NU201" s="26"/>
      <c r="NV201" s="26"/>
      <c r="NW201" s="26"/>
      <c r="NX201" s="26"/>
      <c r="NY201" s="26"/>
      <c r="NZ201" s="26"/>
      <c r="OA201" s="26"/>
      <c r="OB201" s="26"/>
      <c r="OC201" s="26"/>
      <c r="OD201" s="26"/>
      <c r="OE201" s="26"/>
      <c r="OF201" s="26"/>
      <c r="OG201" s="26"/>
      <c r="OH201" s="26"/>
      <c r="OI201" s="26"/>
      <c r="OJ201" s="26"/>
      <c r="OK201" s="26"/>
      <c r="OL201" s="26"/>
      <c r="OM201" s="26"/>
      <c r="ON201" s="26"/>
      <c r="OO201" s="26"/>
      <c r="OP201" s="26"/>
      <c r="OQ201" s="26"/>
      <c r="OR201" s="26"/>
      <c r="OS201" s="26"/>
      <c r="OT201" s="26"/>
      <c r="OU201" s="26"/>
      <c r="OV201" s="26"/>
      <c r="OW201" s="26"/>
      <c r="OX201" s="26"/>
      <c r="OY201" s="26"/>
      <c r="OZ201" s="26"/>
      <c r="PA201" s="26"/>
      <c r="PB201" s="26"/>
      <c r="PC201" s="26"/>
      <c r="PD201" s="26"/>
      <c r="PE201" s="26"/>
      <c r="PF201" s="26"/>
      <c r="PG201" s="26"/>
      <c r="PH201" s="26"/>
      <c r="PI201" s="26"/>
      <c r="PJ201" s="26"/>
      <c r="PK201" s="26"/>
      <c r="PL201" s="26"/>
      <c r="PM201" s="26"/>
      <c r="PN201" s="26"/>
      <c r="PO201" s="26"/>
      <c r="PP201" s="26"/>
      <c r="PQ201" s="26"/>
      <c r="PR201" s="26"/>
      <c r="PS201" s="26"/>
      <c r="PT201" s="26"/>
      <c r="PU201" s="26"/>
      <c r="PV201" s="26"/>
      <c r="PW201" s="26"/>
      <c r="PX201" s="26"/>
      <c r="PY201" s="26"/>
      <c r="PZ201" s="26"/>
      <c r="QA201" s="26"/>
      <c r="QB201" s="26"/>
      <c r="QC201" s="26"/>
      <c r="QD201" s="26"/>
      <c r="QE201" s="26"/>
      <c r="QF201" s="26"/>
      <c r="QG201" s="26"/>
      <c r="QH201" s="26"/>
      <c r="QI201" s="26"/>
      <c r="QJ201" s="26"/>
      <c r="QK201" s="26"/>
      <c r="QL201" s="26"/>
      <c r="QM201" s="26"/>
      <c r="QN201" s="26"/>
      <c r="QO201" s="26"/>
      <c r="QP201" s="26"/>
      <c r="QQ201" s="26"/>
      <c r="QR201" s="26"/>
      <c r="QS201" s="26"/>
      <c r="QT201" s="26"/>
      <c r="QU201" s="26"/>
      <c r="QV201" s="26"/>
      <c r="QW201" s="26"/>
      <c r="QX201" s="26"/>
      <c r="QY201" s="26"/>
      <c r="QZ201" s="26"/>
      <c r="RA201" s="26"/>
      <c r="RB201" s="26"/>
      <c r="RC201" s="26"/>
      <c r="RD201" s="26"/>
      <c r="RE201" s="26"/>
      <c r="RF201" s="26"/>
      <c r="RG201" s="26"/>
      <c r="RH201" s="26"/>
      <c r="RI201" s="26"/>
      <c r="RJ201" s="26"/>
      <c r="RK201" s="26"/>
      <c r="RL201" s="26"/>
      <c r="RM201" s="26"/>
      <c r="RN201" s="26"/>
      <c r="RO201" s="26"/>
      <c r="RP201" s="26"/>
      <c r="RQ201" s="26"/>
      <c r="RR201" s="26"/>
      <c r="RS201" s="26"/>
      <c r="RT201" s="26"/>
      <c r="RU201" s="26"/>
      <c r="RV201" s="26"/>
      <c r="RW201" s="26"/>
      <c r="RX201" s="26"/>
      <c r="RY201" s="26"/>
      <c r="RZ201" s="26"/>
      <c r="SA201" s="26"/>
      <c r="SB201" s="26"/>
      <c r="SC201" s="26"/>
      <c r="SD201" s="26"/>
      <c r="SE201" s="26"/>
      <c r="SF201" s="26"/>
      <c r="SG201" s="26"/>
      <c r="SH201" s="26"/>
      <c r="SI201" s="26"/>
      <c r="SJ201" s="26"/>
      <c r="SK201" s="26"/>
      <c r="SL201" s="26"/>
      <c r="SM201" s="26"/>
      <c r="SN201" s="26"/>
      <c r="SO201" s="26"/>
      <c r="SP201" s="26"/>
      <c r="SQ201" s="26"/>
      <c r="SR201" s="26"/>
      <c r="SS201" s="26"/>
      <c r="ST201" s="26"/>
      <c r="SU201" s="26"/>
      <c r="SV201" s="26"/>
      <c r="SW201" s="26"/>
      <c r="SX201" s="26"/>
      <c r="SY201" s="26"/>
      <c r="SZ201" s="26"/>
      <c r="TA201" s="26"/>
      <c r="TB201" s="26"/>
      <c r="TC201" s="26"/>
      <c r="TD201" s="26"/>
      <c r="TE201" s="26"/>
      <c r="TF201" s="26"/>
      <c r="TG201" s="26"/>
      <c r="TH201" s="26"/>
      <c r="TI201" s="26"/>
    </row>
    <row r="202" spans="1:529" s="23" customFormat="1" ht="30" x14ac:dyDescent="0.25">
      <c r="A202" s="43">
        <v>1217362</v>
      </c>
      <c r="B202" s="44">
        <f>'дод 4'!A148</f>
        <v>7362</v>
      </c>
      <c r="C202" s="44" t="str">
        <f>'дод 4'!B148</f>
        <v>0490</v>
      </c>
      <c r="D202" s="24" t="str">
        <f>'дод 4'!C148</f>
        <v>Виконання інвестиційних проектів в рамках підтримки розвитку об'єднаних територіальних громад</v>
      </c>
      <c r="E202" s="66">
        <f t="shared" si="90"/>
        <v>0</v>
      </c>
      <c r="F202" s="66"/>
      <c r="G202" s="66"/>
      <c r="H202" s="66"/>
      <c r="I202" s="66"/>
      <c r="J202" s="66">
        <f t="shared" si="92"/>
        <v>75600</v>
      </c>
      <c r="K202" s="66">
        <v>75600</v>
      </c>
      <c r="L202" s="66"/>
      <c r="M202" s="66"/>
      <c r="N202" s="66"/>
      <c r="O202" s="66">
        <v>75600</v>
      </c>
      <c r="P202" s="66">
        <f t="shared" si="91"/>
        <v>75600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  <c r="IW202" s="26"/>
      <c r="IX202" s="26"/>
      <c r="IY202" s="26"/>
      <c r="IZ202" s="26"/>
      <c r="JA202" s="26"/>
      <c r="JB202" s="26"/>
      <c r="JC202" s="26"/>
      <c r="JD202" s="26"/>
      <c r="JE202" s="26"/>
      <c r="JF202" s="26"/>
      <c r="JG202" s="26"/>
      <c r="JH202" s="26"/>
      <c r="JI202" s="26"/>
      <c r="JJ202" s="26"/>
      <c r="JK202" s="26"/>
      <c r="JL202" s="26"/>
      <c r="JM202" s="26"/>
      <c r="JN202" s="26"/>
      <c r="JO202" s="26"/>
      <c r="JP202" s="26"/>
      <c r="JQ202" s="26"/>
      <c r="JR202" s="26"/>
      <c r="JS202" s="26"/>
      <c r="JT202" s="26"/>
      <c r="JU202" s="26"/>
      <c r="JV202" s="26"/>
      <c r="JW202" s="26"/>
      <c r="JX202" s="26"/>
      <c r="JY202" s="26"/>
      <c r="JZ202" s="26"/>
      <c r="KA202" s="26"/>
      <c r="KB202" s="26"/>
      <c r="KC202" s="26"/>
      <c r="KD202" s="26"/>
      <c r="KE202" s="26"/>
      <c r="KF202" s="26"/>
      <c r="KG202" s="26"/>
      <c r="KH202" s="26"/>
      <c r="KI202" s="26"/>
      <c r="KJ202" s="26"/>
      <c r="KK202" s="26"/>
      <c r="KL202" s="26"/>
      <c r="KM202" s="26"/>
      <c r="KN202" s="26"/>
      <c r="KO202" s="26"/>
      <c r="KP202" s="26"/>
      <c r="KQ202" s="26"/>
      <c r="KR202" s="26"/>
      <c r="KS202" s="26"/>
      <c r="KT202" s="26"/>
      <c r="KU202" s="26"/>
      <c r="KV202" s="26"/>
      <c r="KW202" s="26"/>
      <c r="KX202" s="26"/>
      <c r="KY202" s="26"/>
      <c r="KZ202" s="26"/>
      <c r="LA202" s="26"/>
      <c r="LB202" s="26"/>
      <c r="LC202" s="26"/>
      <c r="LD202" s="26"/>
      <c r="LE202" s="26"/>
      <c r="LF202" s="26"/>
      <c r="LG202" s="26"/>
      <c r="LH202" s="26"/>
      <c r="LI202" s="26"/>
      <c r="LJ202" s="26"/>
      <c r="LK202" s="26"/>
      <c r="LL202" s="26"/>
      <c r="LM202" s="26"/>
      <c r="LN202" s="26"/>
      <c r="LO202" s="26"/>
      <c r="LP202" s="26"/>
      <c r="LQ202" s="26"/>
      <c r="LR202" s="26"/>
      <c r="LS202" s="26"/>
      <c r="LT202" s="26"/>
      <c r="LU202" s="26"/>
      <c r="LV202" s="26"/>
      <c r="LW202" s="26"/>
      <c r="LX202" s="26"/>
      <c r="LY202" s="26"/>
      <c r="LZ202" s="26"/>
      <c r="MA202" s="26"/>
      <c r="MB202" s="26"/>
      <c r="MC202" s="26"/>
      <c r="MD202" s="26"/>
      <c r="ME202" s="26"/>
      <c r="MF202" s="26"/>
      <c r="MG202" s="26"/>
      <c r="MH202" s="26"/>
      <c r="MI202" s="26"/>
      <c r="MJ202" s="26"/>
      <c r="MK202" s="26"/>
      <c r="ML202" s="26"/>
      <c r="MM202" s="26"/>
      <c r="MN202" s="26"/>
      <c r="MO202" s="26"/>
      <c r="MP202" s="26"/>
      <c r="MQ202" s="26"/>
      <c r="MR202" s="26"/>
      <c r="MS202" s="26"/>
      <c r="MT202" s="26"/>
      <c r="MU202" s="26"/>
      <c r="MV202" s="26"/>
      <c r="MW202" s="26"/>
      <c r="MX202" s="26"/>
      <c r="MY202" s="26"/>
      <c r="MZ202" s="26"/>
      <c r="NA202" s="26"/>
      <c r="NB202" s="26"/>
      <c r="NC202" s="26"/>
      <c r="ND202" s="26"/>
      <c r="NE202" s="26"/>
      <c r="NF202" s="26"/>
      <c r="NG202" s="26"/>
      <c r="NH202" s="26"/>
      <c r="NI202" s="26"/>
      <c r="NJ202" s="26"/>
      <c r="NK202" s="26"/>
      <c r="NL202" s="26"/>
      <c r="NM202" s="26"/>
      <c r="NN202" s="26"/>
      <c r="NO202" s="26"/>
      <c r="NP202" s="26"/>
      <c r="NQ202" s="26"/>
      <c r="NR202" s="26"/>
      <c r="NS202" s="26"/>
      <c r="NT202" s="26"/>
      <c r="NU202" s="26"/>
      <c r="NV202" s="26"/>
      <c r="NW202" s="26"/>
      <c r="NX202" s="26"/>
      <c r="NY202" s="26"/>
      <c r="NZ202" s="26"/>
      <c r="OA202" s="26"/>
      <c r="OB202" s="26"/>
      <c r="OC202" s="26"/>
      <c r="OD202" s="26"/>
      <c r="OE202" s="26"/>
      <c r="OF202" s="26"/>
      <c r="OG202" s="26"/>
      <c r="OH202" s="26"/>
      <c r="OI202" s="26"/>
      <c r="OJ202" s="26"/>
      <c r="OK202" s="26"/>
      <c r="OL202" s="26"/>
      <c r="OM202" s="26"/>
      <c r="ON202" s="26"/>
      <c r="OO202" s="26"/>
      <c r="OP202" s="26"/>
      <c r="OQ202" s="26"/>
      <c r="OR202" s="26"/>
      <c r="OS202" s="26"/>
      <c r="OT202" s="26"/>
      <c r="OU202" s="26"/>
      <c r="OV202" s="26"/>
      <c r="OW202" s="26"/>
      <c r="OX202" s="26"/>
      <c r="OY202" s="26"/>
      <c r="OZ202" s="26"/>
      <c r="PA202" s="26"/>
      <c r="PB202" s="26"/>
      <c r="PC202" s="26"/>
      <c r="PD202" s="26"/>
      <c r="PE202" s="26"/>
      <c r="PF202" s="26"/>
      <c r="PG202" s="26"/>
      <c r="PH202" s="26"/>
      <c r="PI202" s="26"/>
      <c r="PJ202" s="26"/>
      <c r="PK202" s="26"/>
      <c r="PL202" s="26"/>
      <c r="PM202" s="26"/>
      <c r="PN202" s="26"/>
      <c r="PO202" s="26"/>
      <c r="PP202" s="26"/>
      <c r="PQ202" s="26"/>
      <c r="PR202" s="26"/>
      <c r="PS202" s="26"/>
      <c r="PT202" s="26"/>
      <c r="PU202" s="26"/>
      <c r="PV202" s="26"/>
      <c r="PW202" s="26"/>
      <c r="PX202" s="26"/>
      <c r="PY202" s="26"/>
      <c r="PZ202" s="26"/>
      <c r="QA202" s="26"/>
      <c r="QB202" s="26"/>
      <c r="QC202" s="26"/>
      <c r="QD202" s="26"/>
      <c r="QE202" s="26"/>
      <c r="QF202" s="26"/>
      <c r="QG202" s="26"/>
      <c r="QH202" s="26"/>
      <c r="QI202" s="26"/>
      <c r="QJ202" s="26"/>
      <c r="QK202" s="26"/>
      <c r="QL202" s="26"/>
      <c r="QM202" s="26"/>
      <c r="QN202" s="26"/>
      <c r="QO202" s="26"/>
      <c r="QP202" s="26"/>
      <c r="QQ202" s="26"/>
      <c r="QR202" s="26"/>
      <c r="QS202" s="26"/>
      <c r="QT202" s="26"/>
      <c r="QU202" s="26"/>
      <c r="QV202" s="26"/>
      <c r="QW202" s="26"/>
      <c r="QX202" s="26"/>
      <c r="QY202" s="26"/>
      <c r="QZ202" s="26"/>
      <c r="RA202" s="26"/>
      <c r="RB202" s="26"/>
      <c r="RC202" s="26"/>
      <c r="RD202" s="26"/>
      <c r="RE202" s="26"/>
      <c r="RF202" s="26"/>
      <c r="RG202" s="26"/>
      <c r="RH202" s="26"/>
      <c r="RI202" s="26"/>
      <c r="RJ202" s="26"/>
      <c r="RK202" s="26"/>
      <c r="RL202" s="26"/>
      <c r="RM202" s="26"/>
      <c r="RN202" s="26"/>
      <c r="RO202" s="26"/>
      <c r="RP202" s="26"/>
      <c r="RQ202" s="26"/>
      <c r="RR202" s="26"/>
      <c r="RS202" s="26"/>
      <c r="RT202" s="26"/>
      <c r="RU202" s="26"/>
      <c r="RV202" s="26"/>
      <c r="RW202" s="26"/>
      <c r="RX202" s="26"/>
      <c r="RY202" s="26"/>
      <c r="RZ202" s="26"/>
      <c r="SA202" s="26"/>
      <c r="SB202" s="26"/>
      <c r="SC202" s="26"/>
      <c r="SD202" s="26"/>
      <c r="SE202" s="26"/>
      <c r="SF202" s="26"/>
      <c r="SG202" s="26"/>
      <c r="SH202" s="26"/>
      <c r="SI202" s="26"/>
      <c r="SJ202" s="26"/>
      <c r="SK202" s="26"/>
      <c r="SL202" s="26"/>
      <c r="SM202" s="26"/>
      <c r="SN202" s="26"/>
      <c r="SO202" s="26"/>
      <c r="SP202" s="26"/>
      <c r="SQ202" s="26"/>
      <c r="SR202" s="26"/>
      <c r="SS202" s="26"/>
      <c r="ST202" s="26"/>
      <c r="SU202" s="26"/>
      <c r="SV202" s="26"/>
      <c r="SW202" s="26"/>
      <c r="SX202" s="26"/>
      <c r="SY202" s="26"/>
      <c r="SZ202" s="26"/>
      <c r="TA202" s="26"/>
      <c r="TB202" s="26"/>
      <c r="TC202" s="26"/>
      <c r="TD202" s="26"/>
      <c r="TE202" s="26"/>
      <c r="TF202" s="26"/>
      <c r="TG202" s="26"/>
      <c r="TH202" s="26"/>
      <c r="TI202" s="26"/>
    </row>
    <row r="203" spans="1:529" s="23" customFormat="1" ht="45" x14ac:dyDescent="0.25">
      <c r="A203" s="43" t="s">
        <v>412</v>
      </c>
      <c r="B203" s="44">
        <v>7363</v>
      </c>
      <c r="C203" s="104" t="s">
        <v>89</v>
      </c>
      <c r="D203" s="22" t="s">
        <v>463</v>
      </c>
      <c r="E203" s="66">
        <f t="shared" si="90"/>
        <v>0</v>
      </c>
      <c r="F203" s="66"/>
      <c r="G203" s="66"/>
      <c r="H203" s="66"/>
      <c r="I203" s="66"/>
      <c r="J203" s="66">
        <f t="shared" si="92"/>
        <v>956186.69000000006</v>
      </c>
      <c r="K203" s="66">
        <f>18766.31+937420.38</f>
        <v>956186.69000000006</v>
      </c>
      <c r="L203" s="66"/>
      <c r="M203" s="66"/>
      <c r="N203" s="66"/>
      <c r="O203" s="66">
        <f>18766.31+937420.38</f>
        <v>956186.69000000006</v>
      </c>
      <c r="P203" s="66">
        <f t="shared" si="91"/>
        <v>956186.69000000006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  <c r="IW203" s="26"/>
      <c r="IX203" s="26"/>
      <c r="IY203" s="26"/>
      <c r="IZ203" s="26"/>
      <c r="JA203" s="26"/>
      <c r="JB203" s="26"/>
      <c r="JC203" s="26"/>
      <c r="JD203" s="26"/>
      <c r="JE203" s="26"/>
      <c r="JF203" s="26"/>
      <c r="JG203" s="26"/>
      <c r="JH203" s="26"/>
      <c r="JI203" s="26"/>
      <c r="JJ203" s="26"/>
      <c r="JK203" s="26"/>
      <c r="JL203" s="26"/>
      <c r="JM203" s="26"/>
      <c r="JN203" s="26"/>
      <c r="JO203" s="26"/>
      <c r="JP203" s="26"/>
      <c r="JQ203" s="26"/>
      <c r="JR203" s="26"/>
      <c r="JS203" s="26"/>
      <c r="JT203" s="26"/>
      <c r="JU203" s="26"/>
      <c r="JV203" s="26"/>
      <c r="JW203" s="26"/>
      <c r="JX203" s="26"/>
      <c r="JY203" s="26"/>
      <c r="JZ203" s="26"/>
      <c r="KA203" s="26"/>
      <c r="KB203" s="26"/>
      <c r="KC203" s="26"/>
      <c r="KD203" s="26"/>
      <c r="KE203" s="26"/>
      <c r="KF203" s="26"/>
      <c r="KG203" s="26"/>
      <c r="KH203" s="26"/>
      <c r="KI203" s="26"/>
      <c r="KJ203" s="26"/>
      <c r="KK203" s="26"/>
      <c r="KL203" s="26"/>
      <c r="KM203" s="26"/>
      <c r="KN203" s="26"/>
      <c r="KO203" s="26"/>
      <c r="KP203" s="26"/>
      <c r="KQ203" s="26"/>
      <c r="KR203" s="26"/>
      <c r="KS203" s="26"/>
      <c r="KT203" s="26"/>
      <c r="KU203" s="26"/>
      <c r="KV203" s="26"/>
      <c r="KW203" s="26"/>
      <c r="KX203" s="26"/>
      <c r="KY203" s="26"/>
      <c r="KZ203" s="26"/>
      <c r="LA203" s="26"/>
      <c r="LB203" s="26"/>
      <c r="LC203" s="26"/>
      <c r="LD203" s="26"/>
      <c r="LE203" s="26"/>
      <c r="LF203" s="26"/>
      <c r="LG203" s="26"/>
      <c r="LH203" s="26"/>
      <c r="LI203" s="26"/>
      <c r="LJ203" s="26"/>
      <c r="LK203" s="26"/>
      <c r="LL203" s="26"/>
      <c r="LM203" s="26"/>
      <c r="LN203" s="26"/>
      <c r="LO203" s="26"/>
      <c r="LP203" s="26"/>
      <c r="LQ203" s="26"/>
      <c r="LR203" s="26"/>
      <c r="LS203" s="26"/>
      <c r="LT203" s="26"/>
      <c r="LU203" s="26"/>
      <c r="LV203" s="26"/>
      <c r="LW203" s="26"/>
      <c r="LX203" s="26"/>
      <c r="LY203" s="26"/>
      <c r="LZ203" s="26"/>
      <c r="MA203" s="26"/>
      <c r="MB203" s="26"/>
      <c r="MC203" s="26"/>
      <c r="MD203" s="26"/>
      <c r="ME203" s="26"/>
      <c r="MF203" s="26"/>
      <c r="MG203" s="26"/>
      <c r="MH203" s="26"/>
      <c r="MI203" s="26"/>
      <c r="MJ203" s="26"/>
      <c r="MK203" s="26"/>
      <c r="ML203" s="26"/>
      <c r="MM203" s="26"/>
      <c r="MN203" s="26"/>
      <c r="MO203" s="26"/>
      <c r="MP203" s="26"/>
      <c r="MQ203" s="26"/>
      <c r="MR203" s="26"/>
      <c r="MS203" s="26"/>
      <c r="MT203" s="26"/>
      <c r="MU203" s="26"/>
      <c r="MV203" s="26"/>
      <c r="MW203" s="26"/>
      <c r="MX203" s="26"/>
      <c r="MY203" s="26"/>
      <c r="MZ203" s="26"/>
      <c r="NA203" s="26"/>
      <c r="NB203" s="26"/>
      <c r="NC203" s="26"/>
      <c r="ND203" s="26"/>
      <c r="NE203" s="26"/>
      <c r="NF203" s="26"/>
      <c r="NG203" s="26"/>
      <c r="NH203" s="26"/>
      <c r="NI203" s="26"/>
      <c r="NJ203" s="26"/>
      <c r="NK203" s="26"/>
      <c r="NL203" s="26"/>
      <c r="NM203" s="26"/>
      <c r="NN203" s="26"/>
      <c r="NO203" s="26"/>
      <c r="NP203" s="26"/>
      <c r="NQ203" s="26"/>
      <c r="NR203" s="26"/>
      <c r="NS203" s="26"/>
      <c r="NT203" s="26"/>
      <c r="NU203" s="26"/>
      <c r="NV203" s="26"/>
      <c r="NW203" s="26"/>
      <c r="NX203" s="26"/>
      <c r="NY203" s="26"/>
      <c r="NZ203" s="26"/>
      <c r="OA203" s="26"/>
      <c r="OB203" s="26"/>
      <c r="OC203" s="26"/>
      <c r="OD203" s="26"/>
      <c r="OE203" s="26"/>
      <c r="OF203" s="26"/>
      <c r="OG203" s="26"/>
      <c r="OH203" s="26"/>
      <c r="OI203" s="26"/>
      <c r="OJ203" s="26"/>
      <c r="OK203" s="26"/>
      <c r="OL203" s="26"/>
      <c r="OM203" s="26"/>
      <c r="ON203" s="26"/>
      <c r="OO203" s="26"/>
      <c r="OP203" s="26"/>
      <c r="OQ203" s="26"/>
      <c r="OR203" s="26"/>
      <c r="OS203" s="26"/>
      <c r="OT203" s="26"/>
      <c r="OU203" s="26"/>
      <c r="OV203" s="26"/>
      <c r="OW203" s="26"/>
      <c r="OX203" s="26"/>
      <c r="OY203" s="26"/>
      <c r="OZ203" s="26"/>
      <c r="PA203" s="26"/>
      <c r="PB203" s="26"/>
      <c r="PC203" s="26"/>
      <c r="PD203" s="26"/>
      <c r="PE203" s="26"/>
      <c r="PF203" s="26"/>
      <c r="PG203" s="26"/>
      <c r="PH203" s="26"/>
      <c r="PI203" s="26"/>
      <c r="PJ203" s="26"/>
      <c r="PK203" s="26"/>
      <c r="PL203" s="26"/>
      <c r="PM203" s="26"/>
      <c r="PN203" s="26"/>
      <c r="PO203" s="26"/>
      <c r="PP203" s="26"/>
      <c r="PQ203" s="26"/>
      <c r="PR203" s="26"/>
      <c r="PS203" s="26"/>
      <c r="PT203" s="26"/>
      <c r="PU203" s="26"/>
      <c r="PV203" s="26"/>
      <c r="PW203" s="26"/>
      <c r="PX203" s="26"/>
      <c r="PY203" s="26"/>
      <c r="PZ203" s="26"/>
      <c r="QA203" s="26"/>
      <c r="QB203" s="26"/>
      <c r="QC203" s="26"/>
      <c r="QD203" s="26"/>
      <c r="QE203" s="26"/>
      <c r="QF203" s="26"/>
      <c r="QG203" s="26"/>
      <c r="QH203" s="26"/>
      <c r="QI203" s="26"/>
      <c r="QJ203" s="26"/>
      <c r="QK203" s="26"/>
      <c r="QL203" s="26"/>
      <c r="QM203" s="26"/>
      <c r="QN203" s="26"/>
      <c r="QO203" s="26"/>
      <c r="QP203" s="26"/>
      <c r="QQ203" s="26"/>
      <c r="QR203" s="26"/>
      <c r="QS203" s="26"/>
      <c r="QT203" s="26"/>
      <c r="QU203" s="26"/>
      <c r="QV203" s="26"/>
      <c r="QW203" s="26"/>
      <c r="QX203" s="26"/>
      <c r="QY203" s="26"/>
      <c r="QZ203" s="26"/>
      <c r="RA203" s="26"/>
      <c r="RB203" s="26"/>
      <c r="RC203" s="26"/>
      <c r="RD203" s="26"/>
      <c r="RE203" s="26"/>
      <c r="RF203" s="26"/>
      <c r="RG203" s="26"/>
      <c r="RH203" s="26"/>
      <c r="RI203" s="26"/>
      <c r="RJ203" s="26"/>
      <c r="RK203" s="26"/>
      <c r="RL203" s="26"/>
      <c r="RM203" s="26"/>
      <c r="RN203" s="26"/>
      <c r="RO203" s="26"/>
      <c r="RP203" s="26"/>
      <c r="RQ203" s="26"/>
      <c r="RR203" s="26"/>
      <c r="RS203" s="26"/>
      <c r="RT203" s="26"/>
      <c r="RU203" s="26"/>
      <c r="RV203" s="26"/>
      <c r="RW203" s="26"/>
      <c r="RX203" s="26"/>
      <c r="RY203" s="26"/>
      <c r="RZ203" s="26"/>
      <c r="SA203" s="26"/>
      <c r="SB203" s="26"/>
      <c r="SC203" s="26"/>
      <c r="SD203" s="26"/>
      <c r="SE203" s="26"/>
      <c r="SF203" s="26"/>
      <c r="SG203" s="26"/>
      <c r="SH203" s="26"/>
      <c r="SI203" s="26"/>
      <c r="SJ203" s="26"/>
      <c r="SK203" s="26"/>
      <c r="SL203" s="26"/>
      <c r="SM203" s="26"/>
      <c r="SN203" s="26"/>
      <c r="SO203" s="26"/>
      <c r="SP203" s="26"/>
      <c r="SQ203" s="26"/>
      <c r="SR203" s="26"/>
      <c r="SS203" s="26"/>
      <c r="ST203" s="26"/>
      <c r="SU203" s="26"/>
      <c r="SV203" s="26"/>
      <c r="SW203" s="26"/>
      <c r="SX203" s="26"/>
      <c r="SY203" s="26"/>
      <c r="SZ203" s="26"/>
      <c r="TA203" s="26"/>
      <c r="TB203" s="26"/>
      <c r="TC203" s="26"/>
      <c r="TD203" s="26"/>
      <c r="TE203" s="26"/>
      <c r="TF203" s="26"/>
      <c r="TG203" s="26"/>
      <c r="TH203" s="26"/>
      <c r="TI203" s="26"/>
    </row>
    <row r="204" spans="1:529" s="27" customFormat="1" ht="45" x14ac:dyDescent="0.25">
      <c r="A204" s="145"/>
      <c r="B204" s="146"/>
      <c r="C204" s="146"/>
      <c r="D204" s="143" t="s">
        <v>452</v>
      </c>
      <c r="E204" s="144">
        <f t="shared" si="90"/>
        <v>0</v>
      </c>
      <c r="F204" s="144"/>
      <c r="G204" s="144"/>
      <c r="H204" s="144"/>
      <c r="I204" s="144"/>
      <c r="J204" s="144">
        <f t="shared" si="92"/>
        <v>937420.38</v>
      </c>
      <c r="K204" s="144">
        <v>937420.38</v>
      </c>
      <c r="L204" s="144"/>
      <c r="M204" s="144"/>
      <c r="N204" s="144"/>
      <c r="O204" s="144">
        <v>937420.38</v>
      </c>
      <c r="P204" s="144">
        <f t="shared" si="91"/>
        <v>937420.38</v>
      </c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  <c r="HK204" s="36"/>
      <c r="HL204" s="36"/>
      <c r="HM204" s="36"/>
      <c r="HN204" s="36"/>
      <c r="HO204" s="36"/>
      <c r="HP204" s="36"/>
      <c r="HQ204" s="36"/>
      <c r="HR204" s="36"/>
      <c r="HS204" s="36"/>
      <c r="HT204" s="36"/>
      <c r="HU204" s="36"/>
      <c r="HV204" s="36"/>
      <c r="HW204" s="36"/>
      <c r="HX204" s="36"/>
      <c r="HY204" s="36"/>
      <c r="HZ204" s="36"/>
      <c r="IA204" s="36"/>
      <c r="IB204" s="36"/>
      <c r="IC204" s="36"/>
      <c r="ID204" s="36"/>
      <c r="IE204" s="36"/>
      <c r="IF204" s="36"/>
      <c r="IG204" s="36"/>
      <c r="IH204" s="36"/>
      <c r="II204" s="36"/>
      <c r="IJ204" s="36"/>
      <c r="IK204" s="36"/>
      <c r="IL204" s="36"/>
      <c r="IM204" s="36"/>
      <c r="IN204" s="36"/>
      <c r="IO204" s="36"/>
      <c r="IP204" s="36"/>
      <c r="IQ204" s="36"/>
      <c r="IR204" s="36"/>
      <c r="IS204" s="36"/>
      <c r="IT204" s="36"/>
      <c r="IU204" s="36"/>
      <c r="IV204" s="36"/>
      <c r="IW204" s="36"/>
      <c r="IX204" s="36"/>
      <c r="IY204" s="36"/>
      <c r="IZ204" s="36"/>
      <c r="JA204" s="36"/>
      <c r="JB204" s="36"/>
      <c r="JC204" s="36"/>
      <c r="JD204" s="36"/>
      <c r="JE204" s="36"/>
      <c r="JF204" s="36"/>
      <c r="JG204" s="36"/>
      <c r="JH204" s="36"/>
      <c r="JI204" s="36"/>
      <c r="JJ204" s="36"/>
      <c r="JK204" s="36"/>
      <c r="JL204" s="36"/>
      <c r="JM204" s="36"/>
      <c r="JN204" s="36"/>
      <c r="JO204" s="36"/>
      <c r="JP204" s="36"/>
      <c r="JQ204" s="36"/>
      <c r="JR204" s="36"/>
      <c r="JS204" s="36"/>
      <c r="JT204" s="36"/>
      <c r="JU204" s="36"/>
      <c r="JV204" s="36"/>
      <c r="JW204" s="36"/>
      <c r="JX204" s="36"/>
      <c r="JY204" s="36"/>
      <c r="JZ204" s="36"/>
      <c r="KA204" s="36"/>
      <c r="KB204" s="36"/>
      <c r="KC204" s="36"/>
      <c r="KD204" s="36"/>
      <c r="KE204" s="36"/>
      <c r="KF204" s="36"/>
      <c r="KG204" s="36"/>
      <c r="KH204" s="36"/>
      <c r="KI204" s="36"/>
      <c r="KJ204" s="36"/>
      <c r="KK204" s="36"/>
      <c r="KL204" s="36"/>
      <c r="KM204" s="36"/>
      <c r="KN204" s="36"/>
      <c r="KO204" s="36"/>
      <c r="KP204" s="36"/>
      <c r="KQ204" s="36"/>
      <c r="KR204" s="36"/>
      <c r="KS204" s="36"/>
      <c r="KT204" s="36"/>
      <c r="KU204" s="36"/>
      <c r="KV204" s="36"/>
      <c r="KW204" s="36"/>
      <c r="KX204" s="36"/>
      <c r="KY204" s="36"/>
      <c r="KZ204" s="36"/>
      <c r="LA204" s="36"/>
      <c r="LB204" s="36"/>
      <c r="LC204" s="36"/>
      <c r="LD204" s="36"/>
      <c r="LE204" s="36"/>
      <c r="LF204" s="36"/>
      <c r="LG204" s="36"/>
      <c r="LH204" s="36"/>
      <c r="LI204" s="36"/>
      <c r="LJ204" s="36"/>
      <c r="LK204" s="36"/>
      <c r="LL204" s="36"/>
      <c r="LM204" s="36"/>
      <c r="LN204" s="36"/>
      <c r="LO204" s="36"/>
      <c r="LP204" s="36"/>
      <c r="LQ204" s="36"/>
      <c r="LR204" s="36"/>
      <c r="LS204" s="36"/>
      <c r="LT204" s="36"/>
      <c r="LU204" s="36"/>
      <c r="LV204" s="36"/>
      <c r="LW204" s="36"/>
      <c r="LX204" s="36"/>
      <c r="LY204" s="36"/>
      <c r="LZ204" s="36"/>
      <c r="MA204" s="36"/>
      <c r="MB204" s="36"/>
      <c r="MC204" s="36"/>
      <c r="MD204" s="36"/>
      <c r="ME204" s="36"/>
      <c r="MF204" s="36"/>
      <c r="MG204" s="36"/>
      <c r="MH204" s="36"/>
      <c r="MI204" s="36"/>
      <c r="MJ204" s="36"/>
      <c r="MK204" s="36"/>
      <c r="ML204" s="36"/>
      <c r="MM204" s="36"/>
      <c r="MN204" s="36"/>
      <c r="MO204" s="36"/>
      <c r="MP204" s="36"/>
      <c r="MQ204" s="36"/>
      <c r="MR204" s="36"/>
      <c r="MS204" s="36"/>
      <c r="MT204" s="36"/>
      <c r="MU204" s="36"/>
      <c r="MV204" s="36"/>
      <c r="MW204" s="36"/>
      <c r="MX204" s="36"/>
      <c r="MY204" s="36"/>
      <c r="MZ204" s="36"/>
      <c r="NA204" s="36"/>
      <c r="NB204" s="36"/>
      <c r="NC204" s="36"/>
      <c r="ND204" s="36"/>
      <c r="NE204" s="36"/>
      <c r="NF204" s="36"/>
      <c r="NG204" s="36"/>
      <c r="NH204" s="36"/>
      <c r="NI204" s="36"/>
      <c r="NJ204" s="36"/>
      <c r="NK204" s="36"/>
      <c r="NL204" s="36"/>
      <c r="NM204" s="36"/>
      <c r="NN204" s="36"/>
      <c r="NO204" s="36"/>
      <c r="NP204" s="36"/>
      <c r="NQ204" s="36"/>
      <c r="NR204" s="36"/>
      <c r="NS204" s="36"/>
      <c r="NT204" s="36"/>
      <c r="NU204" s="36"/>
      <c r="NV204" s="36"/>
      <c r="NW204" s="36"/>
      <c r="NX204" s="36"/>
      <c r="NY204" s="36"/>
      <c r="NZ204" s="36"/>
      <c r="OA204" s="36"/>
      <c r="OB204" s="36"/>
      <c r="OC204" s="36"/>
      <c r="OD204" s="36"/>
      <c r="OE204" s="36"/>
      <c r="OF204" s="36"/>
      <c r="OG204" s="36"/>
      <c r="OH204" s="36"/>
      <c r="OI204" s="36"/>
      <c r="OJ204" s="36"/>
      <c r="OK204" s="36"/>
      <c r="OL204" s="36"/>
      <c r="OM204" s="36"/>
      <c r="ON204" s="36"/>
      <c r="OO204" s="36"/>
      <c r="OP204" s="36"/>
      <c r="OQ204" s="36"/>
      <c r="OR204" s="36"/>
      <c r="OS204" s="36"/>
      <c r="OT204" s="36"/>
      <c r="OU204" s="36"/>
      <c r="OV204" s="36"/>
      <c r="OW204" s="36"/>
      <c r="OX204" s="36"/>
      <c r="OY204" s="36"/>
      <c r="OZ204" s="36"/>
      <c r="PA204" s="36"/>
      <c r="PB204" s="36"/>
      <c r="PC204" s="36"/>
      <c r="PD204" s="36"/>
      <c r="PE204" s="36"/>
      <c r="PF204" s="36"/>
      <c r="PG204" s="36"/>
      <c r="PH204" s="36"/>
      <c r="PI204" s="36"/>
      <c r="PJ204" s="36"/>
      <c r="PK204" s="36"/>
      <c r="PL204" s="36"/>
      <c r="PM204" s="36"/>
      <c r="PN204" s="36"/>
      <c r="PO204" s="36"/>
      <c r="PP204" s="36"/>
      <c r="PQ204" s="36"/>
      <c r="PR204" s="36"/>
      <c r="PS204" s="36"/>
      <c r="PT204" s="36"/>
      <c r="PU204" s="36"/>
      <c r="PV204" s="36"/>
      <c r="PW204" s="36"/>
      <c r="PX204" s="36"/>
      <c r="PY204" s="36"/>
      <c r="PZ204" s="36"/>
      <c r="QA204" s="36"/>
      <c r="QB204" s="36"/>
      <c r="QC204" s="36"/>
      <c r="QD204" s="36"/>
      <c r="QE204" s="36"/>
      <c r="QF204" s="36"/>
      <c r="QG204" s="36"/>
      <c r="QH204" s="36"/>
      <c r="QI204" s="36"/>
      <c r="QJ204" s="36"/>
      <c r="QK204" s="36"/>
      <c r="QL204" s="36"/>
      <c r="QM204" s="36"/>
      <c r="QN204" s="36"/>
      <c r="QO204" s="36"/>
      <c r="QP204" s="36"/>
      <c r="QQ204" s="36"/>
      <c r="QR204" s="36"/>
      <c r="QS204" s="36"/>
      <c r="QT204" s="36"/>
      <c r="QU204" s="36"/>
      <c r="QV204" s="36"/>
      <c r="QW204" s="36"/>
      <c r="QX204" s="36"/>
      <c r="QY204" s="36"/>
      <c r="QZ204" s="36"/>
      <c r="RA204" s="36"/>
      <c r="RB204" s="36"/>
      <c r="RC204" s="36"/>
      <c r="RD204" s="36"/>
      <c r="RE204" s="36"/>
      <c r="RF204" s="36"/>
      <c r="RG204" s="36"/>
      <c r="RH204" s="36"/>
      <c r="RI204" s="36"/>
      <c r="RJ204" s="36"/>
      <c r="RK204" s="36"/>
      <c r="RL204" s="36"/>
      <c r="RM204" s="36"/>
      <c r="RN204" s="36"/>
      <c r="RO204" s="36"/>
      <c r="RP204" s="36"/>
      <c r="RQ204" s="36"/>
      <c r="RR204" s="36"/>
      <c r="RS204" s="36"/>
      <c r="RT204" s="36"/>
      <c r="RU204" s="36"/>
      <c r="RV204" s="36"/>
      <c r="RW204" s="36"/>
      <c r="RX204" s="36"/>
      <c r="RY204" s="36"/>
      <c r="RZ204" s="36"/>
      <c r="SA204" s="36"/>
      <c r="SB204" s="36"/>
      <c r="SC204" s="36"/>
      <c r="SD204" s="36"/>
      <c r="SE204" s="36"/>
      <c r="SF204" s="36"/>
      <c r="SG204" s="36"/>
      <c r="SH204" s="36"/>
      <c r="SI204" s="36"/>
      <c r="SJ204" s="36"/>
      <c r="SK204" s="36"/>
      <c r="SL204" s="36"/>
      <c r="SM204" s="36"/>
      <c r="SN204" s="36"/>
      <c r="SO204" s="36"/>
      <c r="SP204" s="36"/>
      <c r="SQ204" s="36"/>
      <c r="SR204" s="36"/>
      <c r="SS204" s="36"/>
      <c r="ST204" s="36"/>
      <c r="SU204" s="36"/>
      <c r="SV204" s="36"/>
      <c r="SW204" s="36"/>
      <c r="SX204" s="36"/>
      <c r="SY204" s="36"/>
      <c r="SZ204" s="36"/>
      <c r="TA204" s="36"/>
      <c r="TB204" s="36"/>
      <c r="TC204" s="36"/>
      <c r="TD204" s="36"/>
      <c r="TE204" s="36"/>
      <c r="TF204" s="36"/>
      <c r="TG204" s="36"/>
      <c r="TH204" s="36"/>
      <c r="TI204" s="36"/>
    </row>
    <row r="205" spans="1:529" s="23" customFormat="1" ht="47.25" customHeight="1" x14ac:dyDescent="0.25">
      <c r="A205" s="43" t="s">
        <v>421</v>
      </c>
      <c r="B205" s="44">
        <f>'дод 4'!A156</f>
        <v>7462</v>
      </c>
      <c r="C205" s="43" t="s">
        <v>465</v>
      </c>
      <c r="D205" s="74" t="str">
        <f>'дод 4'!C156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05" s="66">
        <f t="shared" ref="E205:E207" si="96">F205+I205</f>
        <v>0</v>
      </c>
      <c r="F205" s="66"/>
      <c r="G205" s="66"/>
      <c r="H205" s="66"/>
      <c r="I205" s="66"/>
      <c r="J205" s="66">
        <f t="shared" ref="J205:J207" si="97">L205+O205</f>
        <v>80000000</v>
      </c>
      <c r="K205" s="66"/>
      <c r="L205" s="66">
        <v>80000000</v>
      </c>
      <c r="M205" s="66"/>
      <c r="N205" s="66"/>
      <c r="O205" s="66"/>
      <c r="P205" s="66">
        <f t="shared" ref="P205:P207" si="98">E205+J205</f>
        <v>80000000</v>
      </c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  <c r="IW205" s="26"/>
      <c r="IX205" s="26"/>
      <c r="IY205" s="26"/>
      <c r="IZ205" s="26"/>
      <c r="JA205" s="26"/>
      <c r="JB205" s="26"/>
      <c r="JC205" s="26"/>
      <c r="JD205" s="26"/>
      <c r="JE205" s="26"/>
      <c r="JF205" s="26"/>
      <c r="JG205" s="26"/>
      <c r="JH205" s="26"/>
      <c r="JI205" s="26"/>
      <c r="JJ205" s="26"/>
      <c r="JK205" s="26"/>
      <c r="JL205" s="26"/>
      <c r="JM205" s="26"/>
      <c r="JN205" s="26"/>
      <c r="JO205" s="26"/>
      <c r="JP205" s="26"/>
      <c r="JQ205" s="26"/>
      <c r="JR205" s="26"/>
      <c r="JS205" s="26"/>
      <c r="JT205" s="26"/>
      <c r="JU205" s="26"/>
      <c r="JV205" s="26"/>
      <c r="JW205" s="26"/>
      <c r="JX205" s="26"/>
      <c r="JY205" s="26"/>
      <c r="JZ205" s="26"/>
      <c r="KA205" s="26"/>
      <c r="KB205" s="26"/>
      <c r="KC205" s="26"/>
      <c r="KD205" s="26"/>
      <c r="KE205" s="26"/>
      <c r="KF205" s="26"/>
      <c r="KG205" s="26"/>
      <c r="KH205" s="26"/>
      <c r="KI205" s="26"/>
      <c r="KJ205" s="26"/>
      <c r="KK205" s="26"/>
      <c r="KL205" s="26"/>
      <c r="KM205" s="26"/>
      <c r="KN205" s="26"/>
      <c r="KO205" s="26"/>
      <c r="KP205" s="26"/>
      <c r="KQ205" s="26"/>
      <c r="KR205" s="26"/>
      <c r="KS205" s="26"/>
      <c r="KT205" s="26"/>
      <c r="KU205" s="26"/>
      <c r="KV205" s="26"/>
      <c r="KW205" s="26"/>
      <c r="KX205" s="26"/>
      <c r="KY205" s="26"/>
      <c r="KZ205" s="26"/>
      <c r="LA205" s="26"/>
      <c r="LB205" s="26"/>
      <c r="LC205" s="26"/>
      <c r="LD205" s="26"/>
      <c r="LE205" s="26"/>
      <c r="LF205" s="26"/>
      <c r="LG205" s="26"/>
      <c r="LH205" s="26"/>
      <c r="LI205" s="26"/>
      <c r="LJ205" s="26"/>
      <c r="LK205" s="26"/>
      <c r="LL205" s="26"/>
      <c r="LM205" s="26"/>
      <c r="LN205" s="26"/>
      <c r="LO205" s="26"/>
      <c r="LP205" s="26"/>
      <c r="LQ205" s="26"/>
      <c r="LR205" s="26"/>
      <c r="LS205" s="26"/>
      <c r="LT205" s="26"/>
      <c r="LU205" s="26"/>
      <c r="LV205" s="26"/>
      <c r="LW205" s="26"/>
      <c r="LX205" s="26"/>
      <c r="LY205" s="26"/>
      <c r="LZ205" s="26"/>
      <c r="MA205" s="26"/>
      <c r="MB205" s="26"/>
      <c r="MC205" s="26"/>
      <c r="MD205" s="26"/>
      <c r="ME205" s="26"/>
      <c r="MF205" s="26"/>
      <c r="MG205" s="26"/>
      <c r="MH205" s="26"/>
      <c r="MI205" s="26"/>
      <c r="MJ205" s="26"/>
      <c r="MK205" s="26"/>
      <c r="ML205" s="26"/>
      <c r="MM205" s="26"/>
      <c r="MN205" s="26"/>
      <c r="MO205" s="26"/>
      <c r="MP205" s="26"/>
      <c r="MQ205" s="26"/>
      <c r="MR205" s="26"/>
      <c r="MS205" s="26"/>
      <c r="MT205" s="26"/>
      <c r="MU205" s="26"/>
      <c r="MV205" s="26"/>
      <c r="MW205" s="26"/>
      <c r="MX205" s="26"/>
      <c r="MY205" s="26"/>
      <c r="MZ205" s="26"/>
      <c r="NA205" s="26"/>
      <c r="NB205" s="26"/>
      <c r="NC205" s="26"/>
      <c r="ND205" s="26"/>
      <c r="NE205" s="26"/>
      <c r="NF205" s="26"/>
      <c r="NG205" s="26"/>
      <c r="NH205" s="26"/>
      <c r="NI205" s="26"/>
      <c r="NJ205" s="26"/>
      <c r="NK205" s="26"/>
      <c r="NL205" s="26"/>
      <c r="NM205" s="26"/>
      <c r="NN205" s="26"/>
      <c r="NO205" s="26"/>
      <c r="NP205" s="26"/>
      <c r="NQ205" s="26"/>
      <c r="NR205" s="26"/>
      <c r="NS205" s="26"/>
      <c r="NT205" s="26"/>
      <c r="NU205" s="26"/>
      <c r="NV205" s="26"/>
      <c r="NW205" s="26"/>
      <c r="NX205" s="26"/>
      <c r="NY205" s="26"/>
      <c r="NZ205" s="26"/>
      <c r="OA205" s="26"/>
      <c r="OB205" s="26"/>
      <c r="OC205" s="26"/>
      <c r="OD205" s="26"/>
      <c r="OE205" s="26"/>
      <c r="OF205" s="26"/>
      <c r="OG205" s="26"/>
      <c r="OH205" s="26"/>
      <c r="OI205" s="26"/>
      <c r="OJ205" s="26"/>
      <c r="OK205" s="26"/>
      <c r="OL205" s="26"/>
      <c r="OM205" s="26"/>
      <c r="ON205" s="26"/>
      <c r="OO205" s="26"/>
      <c r="OP205" s="26"/>
      <c r="OQ205" s="26"/>
      <c r="OR205" s="26"/>
      <c r="OS205" s="26"/>
      <c r="OT205" s="26"/>
      <c r="OU205" s="26"/>
      <c r="OV205" s="26"/>
      <c r="OW205" s="26"/>
      <c r="OX205" s="26"/>
      <c r="OY205" s="26"/>
      <c r="OZ205" s="26"/>
      <c r="PA205" s="26"/>
      <c r="PB205" s="26"/>
      <c r="PC205" s="26"/>
      <c r="PD205" s="26"/>
      <c r="PE205" s="26"/>
      <c r="PF205" s="26"/>
      <c r="PG205" s="26"/>
      <c r="PH205" s="26"/>
      <c r="PI205" s="26"/>
      <c r="PJ205" s="26"/>
      <c r="PK205" s="26"/>
      <c r="PL205" s="26"/>
      <c r="PM205" s="26"/>
      <c r="PN205" s="26"/>
      <c r="PO205" s="26"/>
      <c r="PP205" s="26"/>
      <c r="PQ205" s="26"/>
      <c r="PR205" s="26"/>
      <c r="PS205" s="26"/>
      <c r="PT205" s="26"/>
      <c r="PU205" s="26"/>
      <c r="PV205" s="26"/>
      <c r="PW205" s="26"/>
      <c r="PX205" s="26"/>
      <c r="PY205" s="26"/>
      <c r="PZ205" s="26"/>
      <c r="QA205" s="26"/>
      <c r="QB205" s="26"/>
      <c r="QC205" s="26"/>
      <c r="QD205" s="26"/>
      <c r="QE205" s="26"/>
      <c r="QF205" s="26"/>
      <c r="QG205" s="26"/>
      <c r="QH205" s="26"/>
      <c r="QI205" s="26"/>
      <c r="QJ205" s="26"/>
      <c r="QK205" s="26"/>
      <c r="QL205" s="26"/>
      <c r="QM205" s="26"/>
      <c r="QN205" s="26"/>
      <c r="QO205" s="26"/>
      <c r="QP205" s="26"/>
      <c r="QQ205" s="26"/>
      <c r="QR205" s="26"/>
      <c r="QS205" s="26"/>
      <c r="QT205" s="26"/>
      <c r="QU205" s="26"/>
      <c r="QV205" s="26"/>
      <c r="QW205" s="26"/>
      <c r="QX205" s="26"/>
      <c r="QY205" s="26"/>
      <c r="QZ205" s="26"/>
      <c r="RA205" s="26"/>
      <c r="RB205" s="26"/>
      <c r="RC205" s="26"/>
      <c r="RD205" s="26"/>
      <c r="RE205" s="26"/>
      <c r="RF205" s="26"/>
      <c r="RG205" s="26"/>
      <c r="RH205" s="26"/>
      <c r="RI205" s="26"/>
      <c r="RJ205" s="26"/>
      <c r="RK205" s="26"/>
      <c r="RL205" s="26"/>
      <c r="RM205" s="26"/>
      <c r="RN205" s="26"/>
      <c r="RO205" s="26"/>
      <c r="RP205" s="26"/>
      <c r="RQ205" s="26"/>
      <c r="RR205" s="26"/>
      <c r="RS205" s="26"/>
      <c r="RT205" s="26"/>
      <c r="RU205" s="26"/>
      <c r="RV205" s="26"/>
      <c r="RW205" s="26"/>
      <c r="RX205" s="26"/>
      <c r="RY205" s="26"/>
      <c r="RZ205" s="26"/>
      <c r="SA205" s="26"/>
      <c r="SB205" s="26"/>
      <c r="SC205" s="26"/>
      <c r="SD205" s="26"/>
      <c r="SE205" s="26"/>
      <c r="SF205" s="26"/>
      <c r="SG205" s="26"/>
      <c r="SH205" s="26"/>
      <c r="SI205" s="26"/>
      <c r="SJ205" s="26"/>
      <c r="SK205" s="26"/>
      <c r="SL205" s="26"/>
      <c r="SM205" s="26"/>
      <c r="SN205" s="26"/>
      <c r="SO205" s="26"/>
      <c r="SP205" s="26"/>
      <c r="SQ205" s="26"/>
      <c r="SR205" s="26"/>
      <c r="SS205" s="26"/>
      <c r="ST205" s="26"/>
      <c r="SU205" s="26"/>
      <c r="SV205" s="26"/>
      <c r="SW205" s="26"/>
      <c r="SX205" s="26"/>
      <c r="SY205" s="26"/>
      <c r="SZ205" s="26"/>
      <c r="TA205" s="26"/>
      <c r="TB205" s="26"/>
      <c r="TC205" s="26"/>
      <c r="TD205" s="26"/>
      <c r="TE205" s="26"/>
      <c r="TF205" s="26"/>
      <c r="TG205" s="26"/>
      <c r="TH205" s="26"/>
      <c r="TI205" s="26"/>
    </row>
    <row r="206" spans="1:529" s="27" customFormat="1" ht="97.5" customHeight="1" x14ac:dyDescent="0.25">
      <c r="A206" s="145"/>
      <c r="B206" s="146"/>
      <c r="C206" s="146"/>
      <c r="D206" s="143" t="s">
        <v>461</v>
      </c>
      <c r="E206" s="144">
        <f t="shared" si="96"/>
        <v>0</v>
      </c>
      <c r="F206" s="144"/>
      <c r="G206" s="144"/>
      <c r="H206" s="144"/>
      <c r="I206" s="144"/>
      <c r="J206" s="144">
        <f t="shared" si="97"/>
        <v>80000000</v>
      </c>
      <c r="K206" s="144"/>
      <c r="L206" s="144">
        <v>80000000</v>
      </c>
      <c r="M206" s="144"/>
      <c r="N206" s="144"/>
      <c r="O206" s="144"/>
      <c r="P206" s="144">
        <f t="shared" si="98"/>
        <v>80000000</v>
      </c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  <c r="GV206" s="36"/>
      <c r="GW206" s="36"/>
      <c r="GX206" s="36"/>
      <c r="GY206" s="36"/>
      <c r="GZ206" s="36"/>
      <c r="HA206" s="36"/>
      <c r="HB206" s="36"/>
      <c r="HC206" s="36"/>
      <c r="HD206" s="36"/>
      <c r="HE206" s="36"/>
      <c r="HF206" s="36"/>
      <c r="HG206" s="36"/>
      <c r="HH206" s="36"/>
      <c r="HI206" s="36"/>
      <c r="HJ206" s="36"/>
      <c r="HK206" s="36"/>
      <c r="HL206" s="36"/>
      <c r="HM206" s="36"/>
      <c r="HN206" s="36"/>
      <c r="HO206" s="36"/>
      <c r="HP206" s="36"/>
      <c r="HQ206" s="36"/>
      <c r="HR206" s="36"/>
      <c r="HS206" s="36"/>
      <c r="HT206" s="36"/>
      <c r="HU206" s="36"/>
      <c r="HV206" s="36"/>
      <c r="HW206" s="36"/>
      <c r="HX206" s="36"/>
      <c r="HY206" s="36"/>
      <c r="HZ206" s="36"/>
      <c r="IA206" s="36"/>
      <c r="IB206" s="36"/>
      <c r="IC206" s="36"/>
      <c r="ID206" s="36"/>
      <c r="IE206" s="36"/>
      <c r="IF206" s="36"/>
      <c r="IG206" s="36"/>
      <c r="IH206" s="36"/>
      <c r="II206" s="36"/>
      <c r="IJ206" s="36"/>
      <c r="IK206" s="36"/>
      <c r="IL206" s="36"/>
      <c r="IM206" s="36"/>
      <c r="IN206" s="36"/>
      <c r="IO206" s="36"/>
      <c r="IP206" s="36"/>
      <c r="IQ206" s="36"/>
      <c r="IR206" s="36"/>
      <c r="IS206" s="36"/>
      <c r="IT206" s="36"/>
      <c r="IU206" s="36"/>
      <c r="IV206" s="36"/>
      <c r="IW206" s="36"/>
      <c r="IX206" s="36"/>
      <c r="IY206" s="36"/>
      <c r="IZ206" s="36"/>
      <c r="JA206" s="36"/>
      <c r="JB206" s="36"/>
      <c r="JC206" s="36"/>
      <c r="JD206" s="36"/>
      <c r="JE206" s="36"/>
      <c r="JF206" s="36"/>
      <c r="JG206" s="36"/>
      <c r="JH206" s="36"/>
      <c r="JI206" s="36"/>
      <c r="JJ206" s="36"/>
      <c r="JK206" s="36"/>
      <c r="JL206" s="36"/>
      <c r="JM206" s="36"/>
      <c r="JN206" s="36"/>
      <c r="JO206" s="36"/>
      <c r="JP206" s="36"/>
      <c r="JQ206" s="36"/>
      <c r="JR206" s="36"/>
      <c r="JS206" s="36"/>
      <c r="JT206" s="36"/>
      <c r="JU206" s="36"/>
      <c r="JV206" s="36"/>
      <c r="JW206" s="36"/>
      <c r="JX206" s="36"/>
      <c r="JY206" s="36"/>
      <c r="JZ206" s="36"/>
      <c r="KA206" s="36"/>
      <c r="KB206" s="36"/>
      <c r="KC206" s="36"/>
      <c r="KD206" s="36"/>
      <c r="KE206" s="36"/>
      <c r="KF206" s="36"/>
      <c r="KG206" s="36"/>
      <c r="KH206" s="36"/>
      <c r="KI206" s="36"/>
      <c r="KJ206" s="36"/>
      <c r="KK206" s="36"/>
      <c r="KL206" s="36"/>
      <c r="KM206" s="36"/>
      <c r="KN206" s="36"/>
      <c r="KO206" s="36"/>
      <c r="KP206" s="36"/>
      <c r="KQ206" s="36"/>
      <c r="KR206" s="36"/>
      <c r="KS206" s="36"/>
      <c r="KT206" s="36"/>
      <c r="KU206" s="36"/>
      <c r="KV206" s="36"/>
      <c r="KW206" s="36"/>
      <c r="KX206" s="36"/>
      <c r="KY206" s="36"/>
      <c r="KZ206" s="36"/>
      <c r="LA206" s="36"/>
      <c r="LB206" s="36"/>
      <c r="LC206" s="36"/>
      <c r="LD206" s="36"/>
      <c r="LE206" s="36"/>
      <c r="LF206" s="36"/>
      <c r="LG206" s="36"/>
      <c r="LH206" s="36"/>
      <c r="LI206" s="36"/>
      <c r="LJ206" s="36"/>
      <c r="LK206" s="36"/>
      <c r="LL206" s="36"/>
      <c r="LM206" s="36"/>
      <c r="LN206" s="36"/>
      <c r="LO206" s="36"/>
      <c r="LP206" s="36"/>
      <c r="LQ206" s="36"/>
      <c r="LR206" s="36"/>
      <c r="LS206" s="36"/>
      <c r="LT206" s="36"/>
      <c r="LU206" s="36"/>
      <c r="LV206" s="36"/>
      <c r="LW206" s="36"/>
      <c r="LX206" s="36"/>
      <c r="LY206" s="36"/>
      <c r="LZ206" s="36"/>
      <c r="MA206" s="36"/>
      <c r="MB206" s="36"/>
      <c r="MC206" s="36"/>
      <c r="MD206" s="36"/>
      <c r="ME206" s="36"/>
      <c r="MF206" s="36"/>
      <c r="MG206" s="36"/>
      <c r="MH206" s="36"/>
      <c r="MI206" s="36"/>
      <c r="MJ206" s="36"/>
      <c r="MK206" s="36"/>
      <c r="ML206" s="36"/>
      <c r="MM206" s="36"/>
      <c r="MN206" s="36"/>
      <c r="MO206" s="36"/>
      <c r="MP206" s="36"/>
      <c r="MQ206" s="36"/>
      <c r="MR206" s="36"/>
      <c r="MS206" s="36"/>
      <c r="MT206" s="36"/>
      <c r="MU206" s="36"/>
      <c r="MV206" s="36"/>
      <c r="MW206" s="36"/>
      <c r="MX206" s="36"/>
      <c r="MY206" s="36"/>
      <c r="MZ206" s="36"/>
      <c r="NA206" s="36"/>
      <c r="NB206" s="36"/>
      <c r="NC206" s="36"/>
      <c r="ND206" s="36"/>
      <c r="NE206" s="36"/>
      <c r="NF206" s="36"/>
      <c r="NG206" s="36"/>
      <c r="NH206" s="36"/>
      <c r="NI206" s="36"/>
      <c r="NJ206" s="36"/>
      <c r="NK206" s="36"/>
      <c r="NL206" s="36"/>
      <c r="NM206" s="36"/>
      <c r="NN206" s="36"/>
      <c r="NO206" s="36"/>
      <c r="NP206" s="36"/>
      <c r="NQ206" s="36"/>
      <c r="NR206" s="36"/>
      <c r="NS206" s="36"/>
      <c r="NT206" s="36"/>
      <c r="NU206" s="36"/>
      <c r="NV206" s="36"/>
      <c r="NW206" s="36"/>
      <c r="NX206" s="36"/>
      <c r="NY206" s="36"/>
      <c r="NZ206" s="36"/>
      <c r="OA206" s="36"/>
      <c r="OB206" s="36"/>
      <c r="OC206" s="36"/>
      <c r="OD206" s="36"/>
      <c r="OE206" s="36"/>
      <c r="OF206" s="36"/>
      <c r="OG206" s="36"/>
      <c r="OH206" s="36"/>
      <c r="OI206" s="36"/>
      <c r="OJ206" s="36"/>
      <c r="OK206" s="36"/>
      <c r="OL206" s="36"/>
      <c r="OM206" s="36"/>
      <c r="ON206" s="36"/>
      <c r="OO206" s="36"/>
      <c r="OP206" s="36"/>
      <c r="OQ206" s="36"/>
      <c r="OR206" s="36"/>
      <c r="OS206" s="36"/>
      <c r="OT206" s="36"/>
      <c r="OU206" s="36"/>
      <c r="OV206" s="36"/>
      <c r="OW206" s="36"/>
      <c r="OX206" s="36"/>
      <c r="OY206" s="36"/>
      <c r="OZ206" s="36"/>
      <c r="PA206" s="36"/>
      <c r="PB206" s="36"/>
      <c r="PC206" s="36"/>
      <c r="PD206" s="36"/>
      <c r="PE206" s="36"/>
      <c r="PF206" s="36"/>
      <c r="PG206" s="36"/>
      <c r="PH206" s="36"/>
      <c r="PI206" s="36"/>
      <c r="PJ206" s="36"/>
      <c r="PK206" s="36"/>
      <c r="PL206" s="36"/>
      <c r="PM206" s="36"/>
      <c r="PN206" s="36"/>
      <c r="PO206" s="36"/>
      <c r="PP206" s="36"/>
      <c r="PQ206" s="36"/>
      <c r="PR206" s="36"/>
      <c r="PS206" s="36"/>
      <c r="PT206" s="36"/>
      <c r="PU206" s="36"/>
      <c r="PV206" s="36"/>
      <c r="PW206" s="36"/>
      <c r="PX206" s="36"/>
      <c r="PY206" s="36"/>
      <c r="PZ206" s="36"/>
      <c r="QA206" s="36"/>
      <c r="QB206" s="36"/>
      <c r="QC206" s="36"/>
      <c r="QD206" s="36"/>
      <c r="QE206" s="36"/>
      <c r="QF206" s="36"/>
      <c r="QG206" s="36"/>
      <c r="QH206" s="36"/>
      <c r="QI206" s="36"/>
      <c r="QJ206" s="36"/>
      <c r="QK206" s="36"/>
      <c r="QL206" s="36"/>
      <c r="QM206" s="36"/>
      <c r="QN206" s="36"/>
      <c r="QO206" s="36"/>
      <c r="QP206" s="36"/>
      <c r="QQ206" s="36"/>
      <c r="QR206" s="36"/>
      <c r="QS206" s="36"/>
      <c r="QT206" s="36"/>
      <c r="QU206" s="36"/>
      <c r="QV206" s="36"/>
      <c r="QW206" s="36"/>
      <c r="QX206" s="36"/>
      <c r="QY206" s="36"/>
      <c r="QZ206" s="36"/>
      <c r="RA206" s="36"/>
      <c r="RB206" s="36"/>
      <c r="RC206" s="36"/>
      <c r="RD206" s="36"/>
      <c r="RE206" s="36"/>
      <c r="RF206" s="36"/>
      <c r="RG206" s="36"/>
      <c r="RH206" s="36"/>
      <c r="RI206" s="36"/>
      <c r="RJ206" s="36"/>
      <c r="RK206" s="36"/>
      <c r="RL206" s="36"/>
      <c r="RM206" s="36"/>
      <c r="RN206" s="36"/>
      <c r="RO206" s="36"/>
      <c r="RP206" s="36"/>
      <c r="RQ206" s="36"/>
      <c r="RR206" s="36"/>
      <c r="RS206" s="36"/>
      <c r="RT206" s="36"/>
      <c r="RU206" s="36"/>
      <c r="RV206" s="36"/>
      <c r="RW206" s="36"/>
      <c r="RX206" s="36"/>
      <c r="RY206" s="36"/>
      <c r="RZ206" s="36"/>
      <c r="SA206" s="36"/>
      <c r="SB206" s="36"/>
      <c r="SC206" s="36"/>
      <c r="SD206" s="36"/>
      <c r="SE206" s="36"/>
      <c r="SF206" s="36"/>
      <c r="SG206" s="36"/>
      <c r="SH206" s="36"/>
      <c r="SI206" s="36"/>
      <c r="SJ206" s="36"/>
      <c r="SK206" s="36"/>
      <c r="SL206" s="36"/>
      <c r="SM206" s="36"/>
      <c r="SN206" s="36"/>
      <c r="SO206" s="36"/>
      <c r="SP206" s="36"/>
      <c r="SQ206" s="36"/>
      <c r="SR206" s="36"/>
      <c r="SS206" s="36"/>
      <c r="ST206" s="36"/>
      <c r="SU206" s="36"/>
      <c r="SV206" s="36"/>
      <c r="SW206" s="36"/>
      <c r="SX206" s="36"/>
      <c r="SY206" s="36"/>
      <c r="SZ206" s="36"/>
      <c r="TA206" s="36"/>
      <c r="TB206" s="36"/>
      <c r="TC206" s="36"/>
      <c r="TD206" s="36"/>
      <c r="TE206" s="36"/>
      <c r="TF206" s="36"/>
      <c r="TG206" s="36"/>
      <c r="TH206" s="36"/>
      <c r="TI206" s="36"/>
    </row>
    <row r="207" spans="1:529" s="27" customFormat="1" ht="25.5" customHeight="1" x14ac:dyDescent="0.25">
      <c r="A207" s="43" t="s">
        <v>522</v>
      </c>
      <c r="B207" s="44">
        <v>7530</v>
      </c>
      <c r="C207" s="43" t="s">
        <v>258</v>
      </c>
      <c r="D207" s="136" t="s">
        <v>256</v>
      </c>
      <c r="E207" s="66">
        <f t="shared" si="96"/>
        <v>49600</v>
      </c>
      <c r="F207" s="66">
        <v>49600</v>
      </c>
      <c r="G207" s="144"/>
      <c r="H207" s="144"/>
      <c r="I207" s="144"/>
      <c r="J207" s="66">
        <f t="shared" si="97"/>
        <v>650000</v>
      </c>
      <c r="K207" s="66">
        <v>650000</v>
      </c>
      <c r="L207" s="66"/>
      <c r="M207" s="66"/>
      <c r="N207" s="66"/>
      <c r="O207" s="66">
        <v>650000</v>
      </c>
      <c r="P207" s="66">
        <f t="shared" si="98"/>
        <v>699600</v>
      </c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  <c r="HK207" s="36"/>
      <c r="HL207" s="36"/>
      <c r="HM207" s="36"/>
      <c r="HN207" s="36"/>
      <c r="HO207" s="36"/>
      <c r="HP207" s="36"/>
      <c r="HQ207" s="36"/>
      <c r="HR207" s="36"/>
      <c r="HS207" s="36"/>
      <c r="HT207" s="36"/>
      <c r="HU207" s="36"/>
      <c r="HV207" s="36"/>
      <c r="HW207" s="36"/>
      <c r="HX207" s="36"/>
      <c r="HY207" s="36"/>
      <c r="HZ207" s="36"/>
      <c r="IA207" s="36"/>
      <c r="IB207" s="36"/>
      <c r="IC207" s="36"/>
      <c r="ID207" s="3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  <c r="IP207" s="36"/>
      <c r="IQ207" s="36"/>
      <c r="IR207" s="36"/>
      <c r="IS207" s="36"/>
      <c r="IT207" s="36"/>
      <c r="IU207" s="36"/>
      <c r="IV207" s="36"/>
      <c r="IW207" s="36"/>
      <c r="IX207" s="36"/>
      <c r="IY207" s="36"/>
      <c r="IZ207" s="36"/>
      <c r="JA207" s="36"/>
      <c r="JB207" s="36"/>
      <c r="JC207" s="36"/>
      <c r="JD207" s="36"/>
      <c r="JE207" s="36"/>
      <c r="JF207" s="36"/>
      <c r="JG207" s="36"/>
      <c r="JH207" s="36"/>
      <c r="JI207" s="36"/>
      <c r="JJ207" s="36"/>
      <c r="JK207" s="36"/>
      <c r="JL207" s="36"/>
      <c r="JM207" s="36"/>
      <c r="JN207" s="36"/>
      <c r="JO207" s="36"/>
      <c r="JP207" s="36"/>
      <c r="JQ207" s="36"/>
      <c r="JR207" s="36"/>
      <c r="JS207" s="36"/>
      <c r="JT207" s="36"/>
      <c r="JU207" s="36"/>
      <c r="JV207" s="36"/>
      <c r="JW207" s="36"/>
      <c r="JX207" s="36"/>
      <c r="JY207" s="36"/>
      <c r="JZ207" s="36"/>
      <c r="KA207" s="36"/>
      <c r="KB207" s="36"/>
      <c r="KC207" s="36"/>
      <c r="KD207" s="36"/>
      <c r="KE207" s="36"/>
      <c r="KF207" s="36"/>
      <c r="KG207" s="36"/>
      <c r="KH207" s="36"/>
      <c r="KI207" s="36"/>
      <c r="KJ207" s="36"/>
      <c r="KK207" s="36"/>
      <c r="KL207" s="36"/>
      <c r="KM207" s="36"/>
      <c r="KN207" s="36"/>
      <c r="KO207" s="36"/>
      <c r="KP207" s="36"/>
      <c r="KQ207" s="36"/>
      <c r="KR207" s="36"/>
      <c r="KS207" s="36"/>
      <c r="KT207" s="36"/>
      <c r="KU207" s="36"/>
      <c r="KV207" s="36"/>
      <c r="KW207" s="36"/>
      <c r="KX207" s="36"/>
      <c r="KY207" s="36"/>
      <c r="KZ207" s="36"/>
      <c r="LA207" s="36"/>
      <c r="LB207" s="36"/>
      <c r="LC207" s="36"/>
      <c r="LD207" s="36"/>
      <c r="LE207" s="36"/>
      <c r="LF207" s="36"/>
      <c r="LG207" s="36"/>
      <c r="LH207" s="36"/>
      <c r="LI207" s="36"/>
      <c r="LJ207" s="36"/>
      <c r="LK207" s="36"/>
      <c r="LL207" s="36"/>
      <c r="LM207" s="36"/>
      <c r="LN207" s="36"/>
      <c r="LO207" s="36"/>
      <c r="LP207" s="36"/>
      <c r="LQ207" s="36"/>
      <c r="LR207" s="36"/>
      <c r="LS207" s="36"/>
      <c r="LT207" s="36"/>
      <c r="LU207" s="36"/>
      <c r="LV207" s="36"/>
      <c r="LW207" s="36"/>
      <c r="LX207" s="36"/>
      <c r="LY207" s="36"/>
      <c r="LZ207" s="36"/>
      <c r="MA207" s="36"/>
      <c r="MB207" s="36"/>
      <c r="MC207" s="36"/>
      <c r="MD207" s="36"/>
      <c r="ME207" s="36"/>
      <c r="MF207" s="36"/>
      <c r="MG207" s="36"/>
      <c r="MH207" s="36"/>
      <c r="MI207" s="36"/>
      <c r="MJ207" s="36"/>
      <c r="MK207" s="36"/>
      <c r="ML207" s="36"/>
      <c r="MM207" s="36"/>
      <c r="MN207" s="36"/>
      <c r="MO207" s="36"/>
      <c r="MP207" s="36"/>
      <c r="MQ207" s="36"/>
      <c r="MR207" s="36"/>
      <c r="MS207" s="36"/>
      <c r="MT207" s="36"/>
      <c r="MU207" s="36"/>
      <c r="MV207" s="36"/>
      <c r="MW207" s="36"/>
      <c r="MX207" s="36"/>
      <c r="MY207" s="36"/>
      <c r="MZ207" s="36"/>
      <c r="NA207" s="36"/>
      <c r="NB207" s="36"/>
      <c r="NC207" s="36"/>
      <c r="ND207" s="36"/>
      <c r="NE207" s="36"/>
      <c r="NF207" s="36"/>
      <c r="NG207" s="36"/>
      <c r="NH207" s="36"/>
      <c r="NI207" s="36"/>
      <c r="NJ207" s="36"/>
      <c r="NK207" s="36"/>
      <c r="NL207" s="36"/>
      <c r="NM207" s="36"/>
      <c r="NN207" s="36"/>
      <c r="NO207" s="36"/>
      <c r="NP207" s="36"/>
      <c r="NQ207" s="36"/>
      <c r="NR207" s="36"/>
      <c r="NS207" s="36"/>
      <c r="NT207" s="36"/>
      <c r="NU207" s="36"/>
      <c r="NV207" s="36"/>
      <c r="NW207" s="36"/>
      <c r="NX207" s="36"/>
      <c r="NY207" s="36"/>
      <c r="NZ207" s="36"/>
      <c r="OA207" s="36"/>
      <c r="OB207" s="36"/>
      <c r="OC207" s="36"/>
      <c r="OD207" s="36"/>
      <c r="OE207" s="36"/>
      <c r="OF207" s="36"/>
      <c r="OG207" s="36"/>
      <c r="OH207" s="36"/>
      <c r="OI207" s="36"/>
      <c r="OJ207" s="36"/>
      <c r="OK207" s="36"/>
      <c r="OL207" s="36"/>
      <c r="OM207" s="36"/>
      <c r="ON207" s="36"/>
      <c r="OO207" s="36"/>
      <c r="OP207" s="36"/>
      <c r="OQ207" s="36"/>
      <c r="OR207" s="36"/>
      <c r="OS207" s="36"/>
      <c r="OT207" s="36"/>
      <c r="OU207" s="36"/>
      <c r="OV207" s="36"/>
      <c r="OW207" s="36"/>
      <c r="OX207" s="36"/>
      <c r="OY207" s="36"/>
      <c r="OZ207" s="36"/>
      <c r="PA207" s="36"/>
      <c r="PB207" s="36"/>
      <c r="PC207" s="36"/>
      <c r="PD207" s="36"/>
      <c r="PE207" s="36"/>
      <c r="PF207" s="36"/>
      <c r="PG207" s="36"/>
      <c r="PH207" s="36"/>
      <c r="PI207" s="36"/>
      <c r="PJ207" s="36"/>
      <c r="PK207" s="36"/>
      <c r="PL207" s="36"/>
      <c r="PM207" s="36"/>
      <c r="PN207" s="36"/>
      <c r="PO207" s="36"/>
      <c r="PP207" s="36"/>
      <c r="PQ207" s="36"/>
      <c r="PR207" s="36"/>
      <c r="PS207" s="36"/>
      <c r="PT207" s="36"/>
      <c r="PU207" s="36"/>
      <c r="PV207" s="36"/>
      <c r="PW207" s="36"/>
      <c r="PX207" s="36"/>
      <c r="PY207" s="36"/>
      <c r="PZ207" s="36"/>
      <c r="QA207" s="36"/>
      <c r="QB207" s="36"/>
      <c r="QC207" s="36"/>
      <c r="QD207" s="36"/>
      <c r="QE207" s="36"/>
      <c r="QF207" s="36"/>
      <c r="QG207" s="36"/>
      <c r="QH207" s="36"/>
      <c r="QI207" s="36"/>
      <c r="QJ207" s="36"/>
      <c r="QK207" s="36"/>
      <c r="QL207" s="36"/>
      <c r="QM207" s="36"/>
      <c r="QN207" s="36"/>
      <c r="QO207" s="36"/>
      <c r="QP207" s="36"/>
      <c r="QQ207" s="36"/>
      <c r="QR207" s="36"/>
      <c r="QS207" s="36"/>
      <c r="QT207" s="36"/>
      <c r="QU207" s="36"/>
      <c r="QV207" s="36"/>
      <c r="QW207" s="36"/>
      <c r="QX207" s="36"/>
      <c r="QY207" s="36"/>
      <c r="QZ207" s="36"/>
      <c r="RA207" s="36"/>
      <c r="RB207" s="36"/>
      <c r="RC207" s="36"/>
      <c r="RD207" s="36"/>
      <c r="RE207" s="36"/>
      <c r="RF207" s="36"/>
      <c r="RG207" s="36"/>
      <c r="RH207" s="36"/>
      <c r="RI207" s="36"/>
      <c r="RJ207" s="36"/>
      <c r="RK207" s="36"/>
      <c r="RL207" s="36"/>
      <c r="RM207" s="36"/>
      <c r="RN207" s="36"/>
      <c r="RO207" s="36"/>
      <c r="RP207" s="36"/>
      <c r="RQ207" s="36"/>
      <c r="RR207" s="36"/>
      <c r="RS207" s="36"/>
      <c r="RT207" s="36"/>
      <c r="RU207" s="36"/>
      <c r="RV207" s="36"/>
      <c r="RW207" s="36"/>
      <c r="RX207" s="36"/>
      <c r="RY207" s="36"/>
      <c r="RZ207" s="36"/>
      <c r="SA207" s="36"/>
      <c r="SB207" s="36"/>
      <c r="SC207" s="36"/>
      <c r="SD207" s="36"/>
      <c r="SE207" s="36"/>
      <c r="SF207" s="36"/>
      <c r="SG207" s="36"/>
      <c r="SH207" s="36"/>
      <c r="SI207" s="36"/>
      <c r="SJ207" s="36"/>
      <c r="SK207" s="36"/>
      <c r="SL207" s="36"/>
      <c r="SM207" s="36"/>
      <c r="SN207" s="36"/>
      <c r="SO207" s="36"/>
      <c r="SP207" s="36"/>
      <c r="SQ207" s="36"/>
      <c r="SR207" s="36"/>
      <c r="SS207" s="36"/>
      <c r="ST207" s="36"/>
      <c r="SU207" s="36"/>
      <c r="SV207" s="36"/>
      <c r="SW207" s="36"/>
      <c r="SX207" s="36"/>
      <c r="SY207" s="36"/>
      <c r="SZ207" s="36"/>
      <c r="TA207" s="36"/>
      <c r="TB207" s="36"/>
      <c r="TC207" s="36"/>
      <c r="TD207" s="36"/>
      <c r="TE207" s="36"/>
      <c r="TF207" s="36"/>
      <c r="TG207" s="36"/>
      <c r="TH207" s="36"/>
      <c r="TI207" s="36"/>
    </row>
    <row r="208" spans="1:529" s="23" customFormat="1" ht="20.25" customHeight="1" x14ac:dyDescent="0.25">
      <c r="A208" s="43" t="s">
        <v>219</v>
      </c>
      <c r="B208" s="44" t="str">
        <f>'дод 4'!A163</f>
        <v>7640</v>
      </c>
      <c r="C208" s="44" t="str">
        <f>'дод 4'!B163</f>
        <v>0470</v>
      </c>
      <c r="D208" s="24" t="s">
        <v>513</v>
      </c>
      <c r="E208" s="66">
        <f t="shared" si="90"/>
        <v>2200000</v>
      </c>
      <c r="F208" s="66">
        <f>750000-250000+200000</f>
        <v>700000</v>
      </c>
      <c r="G208" s="66"/>
      <c r="H208" s="66"/>
      <c r="I208" s="66">
        <f>750000+250000+500000</f>
        <v>1500000</v>
      </c>
      <c r="J208" s="66">
        <f t="shared" si="92"/>
        <v>0</v>
      </c>
      <c r="K208" s="66"/>
      <c r="L208" s="66"/>
      <c r="M208" s="66"/>
      <c r="N208" s="66"/>
      <c r="O208" s="66"/>
      <c r="P208" s="66">
        <f t="shared" si="91"/>
        <v>2200000</v>
      </c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  <c r="IW208" s="26"/>
      <c r="IX208" s="26"/>
      <c r="IY208" s="26"/>
      <c r="IZ208" s="26"/>
      <c r="JA208" s="26"/>
      <c r="JB208" s="26"/>
      <c r="JC208" s="26"/>
      <c r="JD208" s="26"/>
      <c r="JE208" s="26"/>
      <c r="JF208" s="26"/>
      <c r="JG208" s="26"/>
      <c r="JH208" s="26"/>
      <c r="JI208" s="26"/>
      <c r="JJ208" s="26"/>
      <c r="JK208" s="26"/>
      <c r="JL208" s="26"/>
      <c r="JM208" s="26"/>
      <c r="JN208" s="26"/>
      <c r="JO208" s="26"/>
      <c r="JP208" s="26"/>
      <c r="JQ208" s="26"/>
      <c r="JR208" s="26"/>
      <c r="JS208" s="26"/>
      <c r="JT208" s="26"/>
      <c r="JU208" s="26"/>
      <c r="JV208" s="26"/>
      <c r="JW208" s="26"/>
      <c r="JX208" s="26"/>
      <c r="JY208" s="26"/>
      <c r="JZ208" s="26"/>
      <c r="KA208" s="26"/>
      <c r="KB208" s="26"/>
      <c r="KC208" s="26"/>
      <c r="KD208" s="26"/>
      <c r="KE208" s="26"/>
      <c r="KF208" s="26"/>
      <c r="KG208" s="26"/>
      <c r="KH208" s="26"/>
      <c r="KI208" s="26"/>
      <c r="KJ208" s="26"/>
      <c r="KK208" s="26"/>
      <c r="KL208" s="26"/>
      <c r="KM208" s="26"/>
      <c r="KN208" s="26"/>
      <c r="KO208" s="26"/>
      <c r="KP208" s="26"/>
      <c r="KQ208" s="26"/>
      <c r="KR208" s="26"/>
      <c r="KS208" s="26"/>
      <c r="KT208" s="26"/>
      <c r="KU208" s="26"/>
      <c r="KV208" s="26"/>
      <c r="KW208" s="26"/>
      <c r="KX208" s="26"/>
      <c r="KY208" s="26"/>
      <c r="KZ208" s="26"/>
      <c r="LA208" s="26"/>
      <c r="LB208" s="26"/>
      <c r="LC208" s="26"/>
      <c r="LD208" s="26"/>
      <c r="LE208" s="26"/>
      <c r="LF208" s="26"/>
      <c r="LG208" s="26"/>
      <c r="LH208" s="26"/>
      <c r="LI208" s="26"/>
      <c r="LJ208" s="26"/>
      <c r="LK208" s="26"/>
      <c r="LL208" s="26"/>
      <c r="LM208" s="26"/>
      <c r="LN208" s="26"/>
      <c r="LO208" s="26"/>
      <c r="LP208" s="26"/>
      <c r="LQ208" s="26"/>
      <c r="LR208" s="26"/>
      <c r="LS208" s="26"/>
      <c r="LT208" s="26"/>
      <c r="LU208" s="26"/>
      <c r="LV208" s="26"/>
      <c r="LW208" s="26"/>
      <c r="LX208" s="26"/>
      <c r="LY208" s="26"/>
      <c r="LZ208" s="26"/>
      <c r="MA208" s="26"/>
      <c r="MB208" s="26"/>
      <c r="MC208" s="26"/>
      <c r="MD208" s="26"/>
      <c r="ME208" s="26"/>
      <c r="MF208" s="26"/>
      <c r="MG208" s="26"/>
      <c r="MH208" s="26"/>
      <c r="MI208" s="26"/>
      <c r="MJ208" s="26"/>
      <c r="MK208" s="26"/>
      <c r="ML208" s="26"/>
      <c r="MM208" s="26"/>
      <c r="MN208" s="26"/>
      <c r="MO208" s="26"/>
      <c r="MP208" s="26"/>
      <c r="MQ208" s="26"/>
      <c r="MR208" s="26"/>
      <c r="MS208" s="26"/>
      <c r="MT208" s="26"/>
      <c r="MU208" s="26"/>
      <c r="MV208" s="26"/>
      <c r="MW208" s="26"/>
      <c r="MX208" s="26"/>
      <c r="MY208" s="26"/>
      <c r="MZ208" s="26"/>
      <c r="NA208" s="26"/>
      <c r="NB208" s="26"/>
      <c r="NC208" s="26"/>
      <c r="ND208" s="26"/>
      <c r="NE208" s="26"/>
      <c r="NF208" s="26"/>
      <c r="NG208" s="26"/>
      <c r="NH208" s="26"/>
      <c r="NI208" s="26"/>
      <c r="NJ208" s="26"/>
      <c r="NK208" s="26"/>
      <c r="NL208" s="26"/>
      <c r="NM208" s="26"/>
      <c r="NN208" s="26"/>
      <c r="NO208" s="26"/>
      <c r="NP208" s="26"/>
      <c r="NQ208" s="26"/>
      <c r="NR208" s="26"/>
      <c r="NS208" s="26"/>
      <c r="NT208" s="26"/>
      <c r="NU208" s="26"/>
      <c r="NV208" s="26"/>
      <c r="NW208" s="26"/>
      <c r="NX208" s="26"/>
      <c r="NY208" s="26"/>
      <c r="NZ208" s="26"/>
      <c r="OA208" s="26"/>
      <c r="OB208" s="26"/>
      <c r="OC208" s="26"/>
      <c r="OD208" s="26"/>
      <c r="OE208" s="26"/>
      <c r="OF208" s="26"/>
      <c r="OG208" s="26"/>
      <c r="OH208" s="26"/>
      <c r="OI208" s="26"/>
      <c r="OJ208" s="26"/>
      <c r="OK208" s="26"/>
      <c r="OL208" s="26"/>
      <c r="OM208" s="26"/>
      <c r="ON208" s="26"/>
      <c r="OO208" s="26"/>
      <c r="OP208" s="26"/>
      <c r="OQ208" s="26"/>
      <c r="OR208" s="26"/>
      <c r="OS208" s="26"/>
      <c r="OT208" s="26"/>
      <c r="OU208" s="26"/>
      <c r="OV208" s="26"/>
      <c r="OW208" s="26"/>
      <c r="OX208" s="26"/>
      <c r="OY208" s="26"/>
      <c r="OZ208" s="26"/>
      <c r="PA208" s="26"/>
      <c r="PB208" s="26"/>
      <c r="PC208" s="26"/>
      <c r="PD208" s="26"/>
      <c r="PE208" s="26"/>
      <c r="PF208" s="26"/>
      <c r="PG208" s="26"/>
      <c r="PH208" s="26"/>
      <c r="PI208" s="26"/>
      <c r="PJ208" s="26"/>
      <c r="PK208" s="26"/>
      <c r="PL208" s="26"/>
      <c r="PM208" s="26"/>
      <c r="PN208" s="26"/>
      <c r="PO208" s="26"/>
      <c r="PP208" s="26"/>
      <c r="PQ208" s="26"/>
      <c r="PR208" s="26"/>
      <c r="PS208" s="26"/>
      <c r="PT208" s="26"/>
      <c r="PU208" s="26"/>
      <c r="PV208" s="26"/>
      <c r="PW208" s="26"/>
      <c r="PX208" s="26"/>
      <c r="PY208" s="26"/>
      <c r="PZ208" s="26"/>
      <c r="QA208" s="26"/>
      <c r="QB208" s="26"/>
      <c r="QC208" s="26"/>
      <c r="QD208" s="26"/>
      <c r="QE208" s="26"/>
      <c r="QF208" s="26"/>
      <c r="QG208" s="26"/>
      <c r="QH208" s="26"/>
      <c r="QI208" s="26"/>
      <c r="QJ208" s="26"/>
      <c r="QK208" s="26"/>
      <c r="QL208" s="26"/>
      <c r="QM208" s="26"/>
      <c r="QN208" s="26"/>
      <c r="QO208" s="26"/>
      <c r="QP208" s="26"/>
      <c r="QQ208" s="26"/>
      <c r="QR208" s="26"/>
      <c r="QS208" s="26"/>
      <c r="QT208" s="26"/>
      <c r="QU208" s="26"/>
      <c r="QV208" s="26"/>
      <c r="QW208" s="26"/>
      <c r="QX208" s="26"/>
      <c r="QY208" s="26"/>
      <c r="QZ208" s="26"/>
      <c r="RA208" s="26"/>
      <c r="RB208" s="26"/>
      <c r="RC208" s="26"/>
      <c r="RD208" s="26"/>
      <c r="RE208" s="26"/>
      <c r="RF208" s="26"/>
      <c r="RG208" s="26"/>
      <c r="RH208" s="26"/>
      <c r="RI208" s="26"/>
      <c r="RJ208" s="26"/>
      <c r="RK208" s="26"/>
      <c r="RL208" s="26"/>
      <c r="RM208" s="26"/>
      <c r="RN208" s="26"/>
      <c r="RO208" s="26"/>
      <c r="RP208" s="26"/>
      <c r="RQ208" s="26"/>
      <c r="RR208" s="26"/>
      <c r="RS208" s="26"/>
      <c r="RT208" s="26"/>
      <c r="RU208" s="26"/>
      <c r="RV208" s="26"/>
      <c r="RW208" s="26"/>
      <c r="RX208" s="26"/>
      <c r="RY208" s="26"/>
      <c r="RZ208" s="26"/>
      <c r="SA208" s="26"/>
      <c r="SB208" s="26"/>
      <c r="SC208" s="26"/>
      <c r="SD208" s="26"/>
      <c r="SE208" s="26"/>
      <c r="SF208" s="26"/>
      <c r="SG208" s="26"/>
      <c r="SH208" s="26"/>
      <c r="SI208" s="26"/>
      <c r="SJ208" s="26"/>
      <c r="SK208" s="26"/>
      <c r="SL208" s="26"/>
      <c r="SM208" s="26"/>
      <c r="SN208" s="26"/>
      <c r="SO208" s="26"/>
      <c r="SP208" s="26"/>
      <c r="SQ208" s="26"/>
      <c r="SR208" s="26"/>
      <c r="SS208" s="26"/>
      <c r="ST208" s="26"/>
      <c r="SU208" s="26"/>
      <c r="SV208" s="26"/>
      <c r="SW208" s="26"/>
      <c r="SX208" s="26"/>
      <c r="SY208" s="26"/>
      <c r="SZ208" s="26"/>
      <c r="TA208" s="26"/>
      <c r="TB208" s="26"/>
      <c r="TC208" s="26"/>
      <c r="TD208" s="26"/>
      <c r="TE208" s="26"/>
      <c r="TF208" s="26"/>
      <c r="TG208" s="26"/>
      <c r="TH208" s="26"/>
      <c r="TI208" s="26"/>
    </row>
    <row r="209" spans="1:529" s="23" customFormat="1" ht="23.25" customHeight="1" x14ac:dyDescent="0.25">
      <c r="A209" s="43" t="s">
        <v>363</v>
      </c>
      <c r="B209" s="44" t="str">
        <f>'дод 4'!A167</f>
        <v>7670</v>
      </c>
      <c r="C209" s="44" t="str">
        <f>'дод 4'!B167</f>
        <v>0490</v>
      </c>
      <c r="D209" s="24" t="str">
        <f>'дод 4'!C167</f>
        <v>Внески до статутного капіталу суб’єктів господарювання</v>
      </c>
      <c r="E209" s="66">
        <f t="shared" si="90"/>
        <v>0</v>
      </c>
      <c r="F209" s="66"/>
      <c r="G209" s="66"/>
      <c r="H209" s="66"/>
      <c r="I209" s="66"/>
      <c r="J209" s="66">
        <f t="shared" si="92"/>
        <v>7042330</v>
      </c>
      <c r="K209" s="66">
        <f>7042330+10000000-10000000</f>
        <v>7042330</v>
      </c>
      <c r="L209" s="66"/>
      <c r="M209" s="66"/>
      <c r="N209" s="66"/>
      <c r="O209" s="66">
        <f>7042330+10000000-10000000</f>
        <v>7042330</v>
      </c>
      <c r="P209" s="66">
        <f t="shared" si="91"/>
        <v>7042330</v>
      </c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  <c r="IW209" s="26"/>
      <c r="IX209" s="26"/>
      <c r="IY209" s="26"/>
      <c r="IZ209" s="26"/>
      <c r="JA209" s="26"/>
      <c r="JB209" s="26"/>
      <c r="JC209" s="26"/>
      <c r="JD209" s="26"/>
      <c r="JE209" s="26"/>
      <c r="JF209" s="26"/>
      <c r="JG209" s="26"/>
      <c r="JH209" s="26"/>
      <c r="JI209" s="26"/>
      <c r="JJ209" s="26"/>
      <c r="JK209" s="26"/>
      <c r="JL209" s="26"/>
      <c r="JM209" s="26"/>
      <c r="JN209" s="26"/>
      <c r="JO209" s="26"/>
      <c r="JP209" s="26"/>
      <c r="JQ209" s="26"/>
      <c r="JR209" s="26"/>
      <c r="JS209" s="26"/>
      <c r="JT209" s="26"/>
      <c r="JU209" s="26"/>
      <c r="JV209" s="26"/>
      <c r="JW209" s="26"/>
      <c r="JX209" s="26"/>
      <c r="JY209" s="26"/>
      <c r="JZ209" s="26"/>
      <c r="KA209" s="26"/>
      <c r="KB209" s="26"/>
      <c r="KC209" s="26"/>
      <c r="KD209" s="26"/>
      <c r="KE209" s="26"/>
      <c r="KF209" s="26"/>
      <c r="KG209" s="26"/>
      <c r="KH209" s="26"/>
      <c r="KI209" s="26"/>
      <c r="KJ209" s="26"/>
      <c r="KK209" s="26"/>
      <c r="KL209" s="26"/>
      <c r="KM209" s="26"/>
      <c r="KN209" s="26"/>
      <c r="KO209" s="26"/>
      <c r="KP209" s="26"/>
      <c r="KQ209" s="26"/>
      <c r="KR209" s="26"/>
      <c r="KS209" s="26"/>
      <c r="KT209" s="26"/>
      <c r="KU209" s="26"/>
      <c r="KV209" s="26"/>
      <c r="KW209" s="26"/>
      <c r="KX209" s="26"/>
      <c r="KY209" s="26"/>
      <c r="KZ209" s="26"/>
      <c r="LA209" s="26"/>
      <c r="LB209" s="26"/>
      <c r="LC209" s="26"/>
      <c r="LD209" s="26"/>
      <c r="LE209" s="26"/>
      <c r="LF209" s="26"/>
      <c r="LG209" s="26"/>
      <c r="LH209" s="26"/>
      <c r="LI209" s="26"/>
      <c r="LJ209" s="26"/>
      <c r="LK209" s="26"/>
      <c r="LL209" s="26"/>
      <c r="LM209" s="26"/>
      <c r="LN209" s="26"/>
      <c r="LO209" s="26"/>
      <c r="LP209" s="26"/>
      <c r="LQ209" s="26"/>
      <c r="LR209" s="26"/>
      <c r="LS209" s="26"/>
      <c r="LT209" s="26"/>
      <c r="LU209" s="26"/>
      <c r="LV209" s="26"/>
      <c r="LW209" s="26"/>
      <c r="LX209" s="26"/>
      <c r="LY209" s="26"/>
      <c r="LZ209" s="26"/>
      <c r="MA209" s="26"/>
      <c r="MB209" s="26"/>
      <c r="MC209" s="26"/>
      <c r="MD209" s="26"/>
      <c r="ME209" s="26"/>
      <c r="MF209" s="26"/>
      <c r="MG209" s="26"/>
      <c r="MH209" s="26"/>
      <c r="MI209" s="26"/>
      <c r="MJ209" s="26"/>
      <c r="MK209" s="26"/>
      <c r="ML209" s="26"/>
      <c r="MM209" s="26"/>
      <c r="MN209" s="26"/>
      <c r="MO209" s="26"/>
      <c r="MP209" s="26"/>
      <c r="MQ209" s="26"/>
      <c r="MR209" s="26"/>
      <c r="MS209" s="26"/>
      <c r="MT209" s="26"/>
      <c r="MU209" s="26"/>
      <c r="MV209" s="26"/>
      <c r="MW209" s="26"/>
      <c r="MX209" s="26"/>
      <c r="MY209" s="26"/>
      <c r="MZ209" s="26"/>
      <c r="NA209" s="26"/>
      <c r="NB209" s="26"/>
      <c r="NC209" s="26"/>
      <c r="ND209" s="26"/>
      <c r="NE209" s="26"/>
      <c r="NF209" s="26"/>
      <c r="NG209" s="26"/>
      <c r="NH209" s="26"/>
      <c r="NI209" s="26"/>
      <c r="NJ209" s="26"/>
      <c r="NK209" s="26"/>
      <c r="NL209" s="26"/>
      <c r="NM209" s="26"/>
      <c r="NN209" s="26"/>
      <c r="NO209" s="26"/>
      <c r="NP209" s="26"/>
      <c r="NQ209" s="26"/>
      <c r="NR209" s="26"/>
      <c r="NS209" s="26"/>
      <c r="NT209" s="26"/>
      <c r="NU209" s="26"/>
      <c r="NV209" s="26"/>
      <c r="NW209" s="26"/>
      <c r="NX209" s="26"/>
      <c r="NY209" s="26"/>
      <c r="NZ209" s="26"/>
      <c r="OA209" s="26"/>
      <c r="OB209" s="26"/>
      <c r="OC209" s="26"/>
      <c r="OD209" s="26"/>
      <c r="OE209" s="26"/>
      <c r="OF209" s="26"/>
      <c r="OG209" s="26"/>
      <c r="OH209" s="26"/>
      <c r="OI209" s="26"/>
      <c r="OJ209" s="26"/>
      <c r="OK209" s="26"/>
      <c r="OL209" s="26"/>
      <c r="OM209" s="26"/>
      <c r="ON209" s="26"/>
      <c r="OO209" s="26"/>
      <c r="OP209" s="26"/>
      <c r="OQ209" s="26"/>
      <c r="OR209" s="26"/>
      <c r="OS209" s="26"/>
      <c r="OT209" s="26"/>
      <c r="OU209" s="26"/>
      <c r="OV209" s="26"/>
      <c r="OW209" s="26"/>
      <c r="OX209" s="26"/>
      <c r="OY209" s="26"/>
      <c r="OZ209" s="26"/>
      <c r="PA209" s="26"/>
      <c r="PB209" s="26"/>
      <c r="PC209" s="26"/>
      <c r="PD209" s="26"/>
      <c r="PE209" s="26"/>
      <c r="PF209" s="26"/>
      <c r="PG209" s="26"/>
      <c r="PH209" s="26"/>
      <c r="PI209" s="26"/>
      <c r="PJ209" s="26"/>
      <c r="PK209" s="26"/>
      <c r="PL209" s="26"/>
      <c r="PM209" s="26"/>
      <c r="PN209" s="26"/>
      <c r="PO209" s="26"/>
      <c r="PP209" s="26"/>
      <c r="PQ209" s="26"/>
      <c r="PR209" s="26"/>
      <c r="PS209" s="26"/>
      <c r="PT209" s="26"/>
      <c r="PU209" s="26"/>
      <c r="PV209" s="26"/>
      <c r="PW209" s="26"/>
      <c r="PX209" s="26"/>
      <c r="PY209" s="26"/>
      <c r="PZ209" s="26"/>
      <c r="QA209" s="26"/>
      <c r="QB209" s="26"/>
      <c r="QC209" s="26"/>
      <c r="QD209" s="26"/>
      <c r="QE209" s="26"/>
      <c r="QF209" s="26"/>
      <c r="QG209" s="26"/>
      <c r="QH209" s="26"/>
      <c r="QI209" s="26"/>
      <c r="QJ209" s="26"/>
      <c r="QK209" s="26"/>
      <c r="QL209" s="26"/>
      <c r="QM209" s="26"/>
      <c r="QN209" s="26"/>
      <c r="QO209" s="26"/>
      <c r="QP209" s="26"/>
      <c r="QQ209" s="26"/>
      <c r="QR209" s="26"/>
      <c r="QS209" s="26"/>
      <c r="QT209" s="26"/>
      <c r="QU209" s="26"/>
      <c r="QV209" s="26"/>
      <c r="QW209" s="26"/>
      <c r="QX209" s="26"/>
      <c r="QY209" s="26"/>
      <c r="QZ209" s="26"/>
      <c r="RA209" s="26"/>
      <c r="RB209" s="26"/>
      <c r="RC209" s="26"/>
      <c r="RD209" s="26"/>
      <c r="RE209" s="26"/>
      <c r="RF209" s="26"/>
      <c r="RG209" s="26"/>
      <c r="RH209" s="26"/>
      <c r="RI209" s="26"/>
      <c r="RJ209" s="26"/>
      <c r="RK209" s="26"/>
      <c r="RL209" s="26"/>
      <c r="RM209" s="26"/>
      <c r="RN209" s="26"/>
      <c r="RO209" s="26"/>
      <c r="RP209" s="26"/>
      <c r="RQ209" s="26"/>
      <c r="RR209" s="26"/>
      <c r="RS209" s="26"/>
      <c r="RT209" s="26"/>
      <c r="RU209" s="26"/>
      <c r="RV209" s="26"/>
      <c r="RW209" s="26"/>
      <c r="RX209" s="26"/>
      <c r="RY209" s="26"/>
      <c r="RZ209" s="26"/>
      <c r="SA209" s="26"/>
      <c r="SB209" s="26"/>
      <c r="SC209" s="26"/>
      <c r="SD209" s="26"/>
      <c r="SE209" s="26"/>
      <c r="SF209" s="26"/>
      <c r="SG209" s="26"/>
      <c r="SH209" s="26"/>
      <c r="SI209" s="26"/>
      <c r="SJ209" s="26"/>
      <c r="SK209" s="26"/>
      <c r="SL209" s="26"/>
      <c r="SM209" s="26"/>
      <c r="SN209" s="26"/>
      <c r="SO209" s="26"/>
      <c r="SP209" s="26"/>
      <c r="SQ209" s="26"/>
      <c r="SR209" s="26"/>
      <c r="SS209" s="26"/>
      <c r="ST209" s="26"/>
      <c r="SU209" s="26"/>
      <c r="SV209" s="26"/>
      <c r="SW209" s="26"/>
      <c r="SX209" s="26"/>
      <c r="SY209" s="26"/>
      <c r="SZ209" s="26"/>
      <c r="TA209" s="26"/>
      <c r="TB209" s="26"/>
      <c r="TC209" s="26"/>
      <c r="TD209" s="26"/>
      <c r="TE209" s="26"/>
      <c r="TF209" s="26"/>
      <c r="TG209" s="26"/>
      <c r="TH209" s="26"/>
      <c r="TI209" s="26"/>
    </row>
    <row r="210" spans="1:529" s="23" customFormat="1" ht="95.25" customHeight="1" x14ac:dyDescent="0.25">
      <c r="A210" s="52" t="s">
        <v>328</v>
      </c>
      <c r="B210" s="45">
        <v>7691</v>
      </c>
      <c r="C210" s="45" t="s">
        <v>89</v>
      </c>
      <c r="D210" s="22" t="str">
        <f>'дод 4'!C169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10" s="66">
        <f t="shared" si="90"/>
        <v>0</v>
      </c>
      <c r="F210" s="66"/>
      <c r="G210" s="66"/>
      <c r="H210" s="66"/>
      <c r="I210" s="66"/>
      <c r="J210" s="66">
        <f t="shared" si="92"/>
        <v>290090.27</v>
      </c>
      <c r="K210" s="66"/>
      <c r="L210" s="66">
        <f>41000+115890.27</f>
        <v>156890.27000000002</v>
      </c>
      <c r="M210" s="66"/>
      <c r="N210" s="66"/>
      <c r="O210" s="66">
        <v>133200</v>
      </c>
      <c r="P210" s="66">
        <f t="shared" si="91"/>
        <v>290090.27</v>
      </c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  <c r="IW210" s="26"/>
      <c r="IX210" s="26"/>
      <c r="IY210" s="26"/>
      <c r="IZ210" s="26"/>
      <c r="JA210" s="26"/>
      <c r="JB210" s="26"/>
      <c r="JC210" s="26"/>
      <c r="JD210" s="26"/>
      <c r="JE210" s="26"/>
      <c r="JF210" s="26"/>
      <c r="JG210" s="26"/>
      <c r="JH210" s="26"/>
      <c r="JI210" s="26"/>
      <c r="JJ210" s="26"/>
      <c r="JK210" s="26"/>
      <c r="JL210" s="26"/>
      <c r="JM210" s="26"/>
      <c r="JN210" s="26"/>
      <c r="JO210" s="26"/>
      <c r="JP210" s="26"/>
      <c r="JQ210" s="26"/>
      <c r="JR210" s="26"/>
      <c r="JS210" s="26"/>
      <c r="JT210" s="26"/>
      <c r="JU210" s="26"/>
      <c r="JV210" s="26"/>
      <c r="JW210" s="26"/>
      <c r="JX210" s="26"/>
      <c r="JY210" s="26"/>
      <c r="JZ210" s="26"/>
      <c r="KA210" s="26"/>
      <c r="KB210" s="26"/>
      <c r="KC210" s="26"/>
      <c r="KD210" s="26"/>
      <c r="KE210" s="26"/>
      <c r="KF210" s="26"/>
      <c r="KG210" s="26"/>
      <c r="KH210" s="26"/>
      <c r="KI210" s="26"/>
      <c r="KJ210" s="26"/>
      <c r="KK210" s="26"/>
      <c r="KL210" s="26"/>
      <c r="KM210" s="26"/>
      <c r="KN210" s="26"/>
      <c r="KO210" s="26"/>
      <c r="KP210" s="26"/>
      <c r="KQ210" s="26"/>
      <c r="KR210" s="26"/>
      <c r="KS210" s="26"/>
      <c r="KT210" s="26"/>
      <c r="KU210" s="26"/>
      <c r="KV210" s="26"/>
      <c r="KW210" s="26"/>
      <c r="KX210" s="26"/>
      <c r="KY210" s="26"/>
      <c r="KZ210" s="26"/>
      <c r="LA210" s="26"/>
      <c r="LB210" s="26"/>
      <c r="LC210" s="26"/>
      <c r="LD210" s="26"/>
      <c r="LE210" s="26"/>
      <c r="LF210" s="26"/>
      <c r="LG210" s="26"/>
      <c r="LH210" s="26"/>
      <c r="LI210" s="26"/>
      <c r="LJ210" s="26"/>
      <c r="LK210" s="26"/>
      <c r="LL210" s="26"/>
      <c r="LM210" s="26"/>
      <c r="LN210" s="26"/>
      <c r="LO210" s="26"/>
      <c r="LP210" s="26"/>
      <c r="LQ210" s="26"/>
      <c r="LR210" s="26"/>
      <c r="LS210" s="26"/>
      <c r="LT210" s="26"/>
      <c r="LU210" s="26"/>
      <c r="LV210" s="26"/>
      <c r="LW210" s="26"/>
      <c r="LX210" s="26"/>
      <c r="LY210" s="26"/>
      <c r="LZ210" s="26"/>
      <c r="MA210" s="26"/>
      <c r="MB210" s="26"/>
      <c r="MC210" s="26"/>
      <c r="MD210" s="26"/>
      <c r="ME210" s="26"/>
      <c r="MF210" s="26"/>
      <c r="MG210" s="26"/>
      <c r="MH210" s="26"/>
      <c r="MI210" s="26"/>
      <c r="MJ210" s="26"/>
      <c r="MK210" s="26"/>
      <c r="ML210" s="26"/>
      <c r="MM210" s="26"/>
      <c r="MN210" s="26"/>
      <c r="MO210" s="26"/>
      <c r="MP210" s="26"/>
      <c r="MQ210" s="26"/>
      <c r="MR210" s="26"/>
      <c r="MS210" s="26"/>
      <c r="MT210" s="26"/>
      <c r="MU210" s="26"/>
      <c r="MV210" s="26"/>
      <c r="MW210" s="26"/>
      <c r="MX210" s="26"/>
      <c r="MY210" s="26"/>
      <c r="MZ210" s="26"/>
      <c r="NA210" s="26"/>
      <c r="NB210" s="26"/>
      <c r="NC210" s="26"/>
      <c r="ND210" s="26"/>
      <c r="NE210" s="26"/>
      <c r="NF210" s="26"/>
      <c r="NG210" s="26"/>
      <c r="NH210" s="26"/>
      <c r="NI210" s="26"/>
      <c r="NJ210" s="26"/>
      <c r="NK210" s="26"/>
      <c r="NL210" s="26"/>
      <c r="NM210" s="26"/>
      <c r="NN210" s="26"/>
      <c r="NO210" s="26"/>
      <c r="NP210" s="26"/>
      <c r="NQ210" s="26"/>
      <c r="NR210" s="26"/>
      <c r="NS210" s="26"/>
      <c r="NT210" s="26"/>
      <c r="NU210" s="26"/>
      <c r="NV210" s="26"/>
      <c r="NW210" s="26"/>
      <c r="NX210" s="26"/>
      <c r="NY210" s="26"/>
      <c r="NZ210" s="26"/>
      <c r="OA210" s="26"/>
      <c r="OB210" s="26"/>
      <c r="OC210" s="26"/>
      <c r="OD210" s="26"/>
      <c r="OE210" s="26"/>
      <c r="OF210" s="26"/>
      <c r="OG210" s="26"/>
      <c r="OH210" s="26"/>
      <c r="OI210" s="26"/>
      <c r="OJ210" s="26"/>
      <c r="OK210" s="26"/>
      <c r="OL210" s="26"/>
      <c r="OM210" s="26"/>
      <c r="ON210" s="26"/>
      <c r="OO210" s="26"/>
      <c r="OP210" s="26"/>
      <c r="OQ210" s="26"/>
      <c r="OR210" s="26"/>
      <c r="OS210" s="26"/>
      <c r="OT210" s="26"/>
      <c r="OU210" s="26"/>
      <c r="OV210" s="26"/>
      <c r="OW210" s="26"/>
      <c r="OX210" s="26"/>
      <c r="OY210" s="26"/>
      <c r="OZ210" s="26"/>
      <c r="PA210" s="26"/>
      <c r="PB210" s="26"/>
      <c r="PC210" s="26"/>
      <c r="PD210" s="26"/>
      <c r="PE210" s="26"/>
      <c r="PF210" s="26"/>
      <c r="PG210" s="26"/>
      <c r="PH210" s="26"/>
      <c r="PI210" s="26"/>
      <c r="PJ210" s="26"/>
      <c r="PK210" s="26"/>
      <c r="PL210" s="26"/>
      <c r="PM210" s="26"/>
      <c r="PN210" s="26"/>
      <c r="PO210" s="26"/>
      <c r="PP210" s="26"/>
      <c r="PQ210" s="26"/>
      <c r="PR210" s="26"/>
      <c r="PS210" s="26"/>
      <c r="PT210" s="26"/>
      <c r="PU210" s="26"/>
      <c r="PV210" s="26"/>
      <c r="PW210" s="26"/>
      <c r="PX210" s="26"/>
      <c r="PY210" s="26"/>
      <c r="PZ210" s="26"/>
      <c r="QA210" s="26"/>
      <c r="QB210" s="26"/>
      <c r="QC210" s="26"/>
      <c r="QD210" s="26"/>
      <c r="QE210" s="26"/>
      <c r="QF210" s="26"/>
      <c r="QG210" s="26"/>
      <c r="QH210" s="26"/>
      <c r="QI210" s="26"/>
      <c r="QJ210" s="26"/>
      <c r="QK210" s="26"/>
      <c r="QL210" s="26"/>
      <c r="QM210" s="26"/>
      <c r="QN210" s="26"/>
      <c r="QO210" s="26"/>
      <c r="QP210" s="26"/>
      <c r="QQ210" s="26"/>
      <c r="QR210" s="26"/>
      <c r="QS210" s="26"/>
      <c r="QT210" s="26"/>
      <c r="QU210" s="26"/>
      <c r="QV210" s="26"/>
      <c r="QW210" s="26"/>
      <c r="QX210" s="26"/>
      <c r="QY210" s="26"/>
      <c r="QZ210" s="26"/>
      <c r="RA210" s="26"/>
      <c r="RB210" s="26"/>
      <c r="RC210" s="26"/>
      <c r="RD210" s="26"/>
      <c r="RE210" s="26"/>
      <c r="RF210" s="26"/>
      <c r="RG210" s="26"/>
      <c r="RH210" s="26"/>
      <c r="RI210" s="26"/>
      <c r="RJ210" s="26"/>
      <c r="RK210" s="26"/>
      <c r="RL210" s="26"/>
      <c r="RM210" s="26"/>
      <c r="RN210" s="26"/>
      <c r="RO210" s="26"/>
      <c r="RP210" s="26"/>
      <c r="RQ210" s="26"/>
      <c r="RR210" s="26"/>
      <c r="RS210" s="26"/>
      <c r="RT210" s="26"/>
      <c r="RU210" s="26"/>
      <c r="RV210" s="26"/>
      <c r="RW210" s="26"/>
      <c r="RX210" s="26"/>
      <c r="RY210" s="26"/>
      <c r="RZ210" s="26"/>
      <c r="SA210" s="26"/>
      <c r="SB210" s="26"/>
      <c r="SC210" s="26"/>
      <c r="SD210" s="26"/>
      <c r="SE210" s="26"/>
      <c r="SF210" s="26"/>
      <c r="SG210" s="26"/>
      <c r="SH210" s="26"/>
      <c r="SI210" s="26"/>
      <c r="SJ210" s="26"/>
      <c r="SK210" s="26"/>
      <c r="SL210" s="26"/>
      <c r="SM210" s="26"/>
      <c r="SN210" s="26"/>
      <c r="SO210" s="26"/>
      <c r="SP210" s="26"/>
      <c r="SQ210" s="26"/>
      <c r="SR210" s="26"/>
      <c r="SS210" s="26"/>
      <c r="ST210" s="26"/>
      <c r="SU210" s="26"/>
      <c r="SV210" s="26"/>
      <c r="SW210" s="26"/>
      <c r="SX210" s="26"/>
      <c r="SY210" s="26"/>
      <c r="SZ210" s="26"/>
      <c r="TA210" s="26"/>
      <c r="TB210" s="26"/>
      <c r="TC210" s="26"/>
      <c r="TD210" s="26"/>
      <c r="TE210" s="26"/>
      <c r="TF210" s="26"/>
      <c r="TG210" s="26"/>
      <c r="TH210" s="26"/>
      <c r="TI210" s="26"/>
    </row>
    <row r="211" spans="1:529" s="23" customFormat="1" ht="31.5" customHeight="1" x14ac:dyDescent="0.25">
      <c r="A211" s="52" t="s">
        <v>437</v>
      </c>
      <c r="B211" s="45" t="str">
        <f>'дод 4'!A177</f>
        <v>8110</v>
      </c>
      <c r="C211" s="45" t="str">
        <f>'дод 4'!B177</f>
        <v>0320</v>
      </c>
      <c r="D211" s="130" t="str">
        <f>'дод 4'!C177</f>
        <v>Заходи із запобігання та ліквідації надзвичайних ситуацій та наслідків стихійного лиха</v>
      </c>
      <c r="E211" s="66">
        <f t="shared" ref="E211" si="99">F211+I211</f>
        <v>2088318</v>
      </c>
      <c r="F211" s="66">
        <f>1610000+1443000-64682-900000</f>
        <v>2088318</v>
      </c>
      <c r="G211" s="66"/>
      <c r="H211" s="66">
        <v>48000</v>
      </c>
      <c r="I211" s="66"/>
      <c r="J211" s="66">
        <f t="shared" ref="J211" si="100">L211+O211</f>
        <v>0</v>
      </c>
      <c r="K211" s="66"/>
      <c r="L211" s="66"/>
      <c r="M211" s="66"/>
      <c r="N211" s="66"/>
      <c r="O211" s="66"/>
      <c r="P211" s="66">
        <f t="shared" ref="P211" si="101">E211+J211</f>
        <v>2088318</v>
      </c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  <c r="IW211" s="26"/>
      <c r="IX211" s="26"/>
      <c r="IY211" s="26"/>
      <c r="IZ211" s="26"/>
      <c r="JA211" s="26"/>
      <c r="JB211" s="26"/>
      <c r="JC211" s="26"/>
      <c r="JD211" s="26"/>
      <c r="JE211" s="26"/>
      <c r="JF211" s="26"/>
      <c r="JG211" s="26"/>
      <c r="JH211" s="26"/>
      <c r="JI211" s="26"/>
      <c r="JJ211" s="26"/>
      <c r="JK211" s="26"/>
      <c r="JL211" s="26"/>
      <c r="JM211" s="26"/>
      <c r="JN211" s="26"/>
      <c r="JO211" s="26"/>
      <c r="JP211" s="26"/>
      <c r="JQ211" s="26"/>
      <c r="JR211" s="26"/>
      <c r="JS211" s="26"/>
      <c r="JT211" s="26"/>
      <c r="JU211" s="26"/>
      <c r="JV211" s="26"/>
      <c r="JW211" s="26"/>
      <c r="JX211" s="26"/>
      <c r="JY211" s="26"/>
      <c r="JZ211" s="26"/>
      <c r="KA211" s="26"/>
      <c r="KB211" s="26"/>
      <c r="KC211" s="26"/>
      <c r="KD211" s="26"/>
      <c r="KE211" s="26"/>
      <c r="KF211" s="26"/>
      <c r="KG211" s="26"/>
      <c r="KH211" s="26"/>
      <c r="KI211" s="26"/>
      <c r="KJ211" s="26"/>
      <c r="KK211" s="26"/>
      <c r="KL211" s="26"/>
      <c r="KM211" s="26"/>
      <c r="KN211" s="26"/>
      <c r="KO211" s="26"/>
      <c r="KP211" s="26"/>
      <c r="KQ211" s="26"/>
      <c r="KR211" s="26"/>
      <c r="KS211" s="26"/>
      <c r="KT211" s="26"/>
      <c r="KU211" s="26"/>
      <c r="KV211" s="26"/>
      <c r="KW211" s="26"/>
      <c r="KX211" s="26"/>
      <c r="KY211" s="26"/>
      <c r="KZ211" s="26"/>
      <c r="LA211" s="26"/>
      <c r="LB211" s="26"/>
      <c r="LC211" s="26"/>
      <c r="LD211" s="26"/>
      <c r="LE211" s="26"/>
      <c r="LF211" s="26"/>
      <c r="LG211" s="26"/>
      <c r="LH211" s="26"/>
      <c r="LI211" s="26"/>
      <c r="LJ211" s="26"/>
      <c r="LK211" s="26"/>
      <c r="LL211" s="26"/>
      <c r="LM211" s="26"/>
      <c r="LN211" s="26"/>
      <c r="LO211" s="26"/>
      <c r="LP211" s="26"/>
      <c r="LQ211" s="26"/>
      <c r="LR211" s="26"/>
      <c r="LS211" s="26"/>
      <c r="LT211" s="26"/>
      <c r="LU211" s="26"/>
      <c r="LV211" s="26"/>
      <c r="LW211" s="26"/>
      <c r="LX211" s="26"/>
      <c r="LY211" s="26"/>
      <c r="LZ211" s="26"/>
      <c r="MA211" s="26"/>
      <c r="MB211" s="26"/>
      <c r="MC211" s="26"/>
      <c r="MD211" s="26"/>
      <c r="ME211" s="26"/>
      <c r="MF211" s="26"/>
      <c r="MG211" s="26"/>
      <c r="MH211" s="26"/>
      <c r="MI211" s="26"/>
      <c r="MJ211" s="26"/>
      <c r="MK211" s="26"/>
      <c r="ML211" s="26"/>
      <c r="MM211" s="26"/>
      <c r="MN211" s="26"/>
      <c r="MO211" s="26"/>
      <c r="MP211" s="26"/>
      <c r="MQ211" s="26"/>
      <c r="MR211" s="26"/>
      <c r="MS211" s="26"/>
      <c r="MT211" s="26"/>
      <c r="MU211" s="26"/>
      <c r="MV211" s="26"/>
      <c r="MW211" s="26"/>
      <c r="MX211" s="26"/>
      <c r="MY211" s="26"/>
      <c r="MZ211" s="26"/>
      <c r="NA211" s="26"/>
      <c r="NB211" s="26"/>
      <c r="NC211" s="26"/>
      <c r="ND211" s="26"/>
      <c r="NE211" s="26"/>
      <c r="NF211" s="26"/>
      <c r="NG211" s="26"/>
      <c r="NH211" s="26"/>
      <c r="NI211" s="26"/>
      <c r="NJ211" s="26"/>
      <c r="NK211" s="26"/>
      <c r="NL211" s="26"/>
      <c r="NM211" s="26"/>
      <c r="NN211" s="26"/>
      <c r="NO211" s="26"/>
      <c r="NP211" s="26"/>
      <c r="NQ211" s="26"/>
      <c r="NR211" s="26"/>
      <c r="NS211" s="26"/>
      <c r="NT211" s="26"/>
      <c r="NU211" s="26"/>
      <c r="NV211" s="26"/>
      <c r="NW211" s="26"/>
      <c r="NX211" s="26"/>
      <c r="NY211" s="26"/>
      <c r="NZ211" s="26"/>
      <c r="OA211" s="26"/>
      <c r="OB211" s="26"/>
      <c r="OC211" s="26"/>
      <c r="OD211" s="26"/>
      <c r="OE211" s="26"/>
      <c r="OF211" s="26"/>
      <c r="OG211" s="26"/>
      <c r="OH211" s="26"/>
      <c r="OI211" s="26"/>
      <c r="OJ211" s="26"/>
      <c r="OK211" s="26"/>
      <c r="OL211" s="26"/>
      <c r="OM211" s="26"/>
      <c r="ON211" s="26"/>
      <c r="OO211" s="26"/>
      <c r="OP211" s="26"/>
      <c r="OQ211" s="26"/>
      <c r="OR211" s="26"/>
      <c r="OS211" s="26"/>
      <c r="OT211" s="26"/>
      <c r="OU211" s="26"/>
      <c r="OV211" s="26"/>
      <c r="OW211" s="26"/>
      <c r="OX211" s="26"/>
      <c r="OY211" s="26"/>
      <c r="OZ211" s="26"/>
      <c r="PA211" s="26"/>
      <c r="PB211" s="26"/>
      <c r="PC211" s="26"/>
      <c r="PD211" s="26"/>
      <c r="PE211" s="26"/>
      <c r="PF211" s="26"/>
      <c r="PG211" s="26"/>
      <c r="PH211" s="26"/>
      <c r="PI211" s="26"/>
      <c r="PJ211" s="26"/>
      <c r="PK211" s="26"/>
      <c r="PL211" s="26"/>
      <c r="PM211" s="26"/>
      <c r="PN211" s="26"/>
      <c r="PO211" s="26"/>
      <c r="PP211" s="26"/>
      <c r="PQ211" s="26"/>
      <c r="PR211" s="26"/>
      <c r="PS211" s="26"/>
      <c r="PT211" s="26"/>
      <c r="PU211" s="26"/>
      <c r="PV211" s="26"/>
      <c r="PW211" s="26"/>
      <c r="PX211" s="26"/>
      <c r="PY211" s="26"/>
      <c r="PZ211" s="26"/>
      <c r="QA211" s="26"/>
      <c r="QB211" s="26"/>
      <c r="QC211" s="26"/>
      <c r="QD211" s="26"/>
      <c r="QE211" s="26"/>
      <c r="QF211" s="26"/>
      <c r="QG211" s="26"/>
      <c r="QH211" s="26"/>
      <c r="QI211" s="26"/>
      <c r="QJ211" s="26"/>
      <c r="QK211" s="26"/>
      <c r="QL211" s="26"/>
      <c r="QM211" s="26"/>
      <c r="QN211" s="26"/>
      <c r="QO211" s="26"/>
      <c r="QP211" s="26"/>
      <c r="QQ211" s="26"/>
      <c r="QR211" s="26"/>
      <c r="QS211" s="26"/>
      <c r="QT211" s="26"/>
      <c r="QU211" s="26"/>
      <c r="QV211" s="26"/>
      <c r="QW211" s="26"/>
      <c r="QX211" s="26"/>
      <c r="QY211" s="26"/>
      <c r="QZ211" s="26"/>
      <c r="RA211" s="26"/>
      <c r="RB211" s="26"/>
      <c r="RC211" s="26"/>
      <c r="RD211" s="26"/>
      <c r="RE211" s="26"/>
      <c r="RF211" s="26"/>
      <c r="RG211" s="26"/>
      <c r="RH211" s="26"/>
      <c r="RI211" s="26"/>
      <c r="RJ211" s="26"/>
      <c r="RK211" s="26"/>
      <c r="RL211" s="26"/>
      <c r="RM211" s="26"/>
      <c r="RN211" s="26"/>
      <c r="RO211" s="26"/>
      <c r="RP211" s="26"/>
      <c r="RQ211" s="26"/>
      <c r="RR211" s="26"/>
      <c r="RS211" s="26"/>
      <c r="RT211" s="26"/>
      <c r="RU211" s="26"/>
      <c r="RV211" s="26"/>
      <c r="RW211" s="26"/>
      <c r="RX211" s="26"/>
      <c r="RY211" s="26"/>
      <c r="RZ211" s="26"/>
      <c r="SA211" s="26"/>
      <c r="SB211" s="26"/>
      <c r="SC211" s="26"/>
      <c r="SD211" s="26"/>
      <c r="SE211" s="26"/>
      <c r="SF211" s="26"/>
      <c r="SG211" s="26"/>
      <c r="SH211" s="26"/>
      <c r="SI211" s="26"/>
      <c r="SJ211" s="26"/>
      <c r="SK211" s="26"/>
      <c r="SL211" s="26"/>
      <c r="SM211" s="26"/>
      <c r="SN211" s="26"/>
      <c r="SO211" s="26"/>
      <c r="SP211" s="26"/>
      <c r="SQ211" s="26"/>
      <c r="SR211" s="26"/>
      <c r="SS211" s="26"/>
      <c r="ST211" s="26"/>
      <c r="SU211" s="26"/>
      <c r="SV211" s="26"/>
      <c r="SW211" s="26"/>
      <c r="SX211" s="26"/>
      <c r="SY211" s="26"/>
      <c r="SZ211" s="26"/>
      <c r="TA211" s="26"/>
      <c r="TB211" s="26"/>
      <c r="TC211" s="26"/>
      <c r="TD211" s="26"/>
      <c r="TE211" s="26"/>
      <c r="TF211" s="26"/>
      <c r="TG211" s="26"/>
      <c r="TH211" s="26"/>
      <c r="TI211" s="26"/>
    </row>
    <row r="212" spans="1:529" s="23" customFormat="1" x14ac:dyDescent="0.25">
      <c r="A212" s="52" t="s">
        <v>435</v>
      </c>
      <c r="B212" s="45" t="str">
        <f>'дод 4'!A181</f>
        <v>8230</v>
      </c>
      <c r="C212" s="45" t="str">
        <f>'дод 4'!B181</f>
        <v>0380</v>
      </c>
      <c r="D212" s="130" t="str">
        <f>'дод 4'!C181</f>
        <v>Інші заходи громадського порядку та безпеки</v>
      </c>
      <c r="E212" s="66">
        <f t="shared" ref="E212" si="102">F212+I212</f>
        <v>0</v>
      </c>
      <c r="F212" s="66"/>
      <c r="G212" s="66"/>
      <c r="H212" s="66"/>
      <c r="I212" s="66"/>
      <c r="J212" s="66">
        <f t="shared" ref="J212" si="103">L212+O212</f>
        <v>0</v>
      </c>
      <c r="K212" s="66"/>
      <c r="L212" s="66"/>
      <c r="M212" s="66"/>
      <c r="N212" s="66"/>
      <c r="O212" s="66"/>
      <c r="P212" s="66">
        <f t="shared" ref="P212" si="104">E212+J212</f>
        <v>0</v>
      </c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  <c r="IW212" s="26"/>
      <c r="IX212" s="26"/>
      <c r="IY212" s="26"/>
      <c r="IZ212" s="26"/>
      <c r="JA212" s="26"/>
      <c r="JB212" s="26"/>
      <c r="JC212" s="26"/>
      <c r="JD212" s="26"/>
      <c r="JE212" s="26"/>
      <c r="JF212" s="26"/>
      <c r="JG212" s="26"/>
      <c r="JH212" s="26"/>
      <c r="JI212" s="26"/>
      <c r="JJ212" s="26"/>
      <c r="JK212" s="26"/>
      <c r="JL212" s="26"/>
      <c r="JM212" s="26"/>
      <c r="JN212" s="26"/>
      <c r="JO212" s="26"/>
      <c r="JP212" s="26"/>
      <c r="JQ212" s="26"/>
      <c r="JR212" s="26"/>
      <c r="JS212" s="26"/>
      <c r="JT212" s="26"/>
      <c r="JU212" s="26"/>
      <c r="JV212" s="26"/>
      <c r="JW212" s="26"/>
      <c r="JX212" s="26"/>
      <c r="JY212" s="26"/>
      <c r="JZ212" s="26"/>
      <c r="KA212" s="26"/>
      <c r="KB212" s="26"/>
      <c r="KC212" s="26"/>
      <c r="KD212" s="26"/>
      <c r="KE212" s="26"/>
      <c r="KF212" s="26"/>
      <c r="KG212" s="26"/>
      <c r="KH212" s="26"/>
      <c r="KI212" s="26"/>
      <c r="KJ212" s="26"/>
      <c r="KK212" s="26"/>
      <c r="KL212" s="26"/>
      <c r="KM212" s="26"/>
      <c r="KN212" s="26"/>
      <c r="KO212" s="26"/>
      <c r="KP212" s="26"/>
      <c r="KQ212" s="26"/>
      <c r="KR212" s="26"/>
      <c r="KS212" s="26"/>
      <c r="KT212" s="26"/>
      <c r="KU212" s="26"/>
      <c r="KV212" s="26"/>
      <c r="KW212" s="26"/>
      <c r="KX212" s="26"/>
      <c r="KY212" s="26"/>
      <c r="KZ212" s="26"/>
      <c r="LA212" s="26"/>
      <c r="LB212" s="26"/>
      <c r="LC212" s="26"/>
      <c r="LD212" s="26"/>
      <c r="LE212" s="26"/>
      <c r="LF212" s="26"/>
      <c r="LG212" s="26"/>
      <c r="LH212" s="26"/>
      <c r="LI212" s="26"/>
      <c r="LJ212" s="26"/>
      <c r="LK212" s="26"/>
      <c r="LL212" s="26"/>
      <c r="LM212" s="26"/>
      <c r="LN212" s="26"/>
      <c r="LO212" s="26"/>
      <c r="LP212" s="26"/>
      <c r="LQ212" s="26"/>
      <c r="LR212" s="26"/>
      <c r="LS212" s="26"/>
      <c r="LT212" s="26"/>
      <c r="LU212" s="26"/>
      <c r="LV212" s="26"/>
      <c r="LW212" s="26"/>
      <c r="LX212" s="26"/>
      <c r="LY212" s="26"/>
      <c r="LZ212" s="26"/>
      <c r="MA212" s="26"/>
      <c r="MB212" s="26"/>
      <c r="MC212" s="26"/>
      <c r="MD212" s="26"/>
      <c r="ME212" s="26"/>
      <c r="MF212" s="26"/>
      <c r="MG212" s="26"/>
      <c r="MH212" s="26"/>
      <c r="MI212" s="26"/>
      <c r="MJ212" s="26"/>
      <c r="MK212" s="26"/>
      <c r="ML212" s="26"/>
      <c r="MM212" s="26"/>
      <c r="MN212" s="26"/>
      <c r="MO212" s="26"/>
      <c r="MP212" s="26"/>
      <c r="MQ212" s="26"/>
      <c r="MR212" s="26"/>
      <c r="MS212" s="26"/>
      <c r="MT212" s="26"/>
      <c r="MU212" s="26"/>
      <c r="MV212" s="26"/>
      <c r="MW212" s="26"/>
      <c r="MX212" s="26"/>
      <c r="MY212" s="26"/>
      <c r="MZ212" s="26"/>
      <c r="NA212" s="26"/>
      <c r="NB212" s="26"/>
      <c r="NC212" s="26"/>
      <c r="ND212" s="26"/>
      <c r="NE212" s="26"/>
      <c r="NF212" s="26"/>
      <c r="NG212" s="26"/>
      <c r="NH212" s="26"/>
      <c r="NI212" s="26"/>
      <c r="NJ212" s="26"/>
      <c r="NK212" s="26"/>
      <c r="NL212" s="26"/>
      <c r="NM212" s="26"/>
      <c r="NN212" s="26"/>
      <c r="NO212" s="26"/>
      <c r="NP212" s="26"/>
      <c r="NQ212" s="26"/>
      <c r="NR212" s="26"/>
      <c r="NS212" s="26"/>
      <c r="NT212" s="26"/>
      <c r="NU212" s="26"/>
      <c r="NV212" s="26"/>
      <c r="NW212" s="26"/>
      <c r="NX212" s="26"/>
      <c r="NY212" s="26"/>
      <c r="NZ212" s="26"/>
      <c r="OA212" s="26"/>
      <c r="OB212" s="26"/>
      <c r="OC212" s="26"/>
      <c r="OD212" s="26"/>
      <c r="OE212" s="26"/>
      <c r="OF212" s="26"/>
      <c r="OG212" s="26"/>
      <c r="OH212" s="26"/>
      <c r="OI212" s="26"/>
      <c r="OJ212" s="26"/>
      <c r="OK212" s="26"/>
      <c r="OL212" s="26"/>
      <c r="OM212" s="26"/>
      <c r="ON212" s="26"/>
      <c r="OO212" s="26"/>
      <c r="OP212" s="26"/>
      <c r="OQ212" s="26"/>
      <c r="OR212" s="26"/>
      <c r="OS212" s="26"/>
      <c r="OT212" s="26"/>
      <c r="OU212" s="26"/>
      <c r="OV212" s="26"/>
      <c r="OW212" s="26"/>
      <c r="OX212" s="26"/>
      <c r="OY212" s="26"/>
      <c r="OZ212" s="26"/>
      <c r="PA212" s="26"/>
      <c r="PB212" s="26"/>
      <c r="PC212" s="26"/>
      <c r="PD212" s="26"/>
      <c r="PE212" s="26"/>
      <c r="PF212" s="26"/>
      <c r="PG212" s="26"/>
      <c r="PH212" s="26"/>
      <c r="PI212" s="26"/>
      <c r="PJ212" s="26"/>
      <c r="PK212" s="26"/>
      <c r="PL212" s="26"/>
      <c r="PM212" s="26"/>
      <c r="PN212" s="26"/>
      <c r="PO212" s="26"/>
      <c r="PP212" s="26"/>
      <c r="PQ212" s="26"/>
      <c r="PR212" s="26"/>
      <c r="PS212" s="26"/>
      <c r="PT212" s="26"/>
      <c r="PU212" s="26"/>
      <c r="PV212" s="26"/>
      <c r="PW212" s="26"/>
      <c r="PX212" s="26"/>
      <c r="PY212" s="26"/>
      <c r="PZ212" s="26"/>
      <c r="QA212" s="26"/>
      <c r="QB212" s="26"/>
      <c r="QC212" s="26"/>
      <c r="QD212" s="26"/>
      <c r="QE212" s="26"/>
      <c r="QF212" s="26"/>
      <c r="QG212" s="26"/>
      <c r="QH212" s="26"/>
      <c r="QI212" s="26"/>
      <c r="QJ212" s="26"/>
      <c r="QK212" s="26"/>
      <c r="QL212" s="26"/>
      <c r="QM212" s="26"/>
      <c r="QN212" s="26"/>
      <c r="QO212" s="26"/>
      <c r="QP212" s="26"/>
      <c r="QQ212" s="26"/>
      <c r="QR212" s="26"/>
      <c r="QS212" s="26"/>
      <c r="QT212" s="26"/>
      <c r="QU212" s="26"/>
      <c r="QV212" s="26"/>
      <c r="QW212" s="26"/>
      <c r="QX212" s="26"/>
      <c r="QY212" s="26"/>
      <c r="QZ212" s="26"/>
      <c r="RA212" s="26"/>
      <c r="RB212" s="26"/>
      <c r="RC212" s="26"/>
      <c r="RD212" s="26"/>
      <c r="RE212" s="26"/>
      <c r="RF212" s="26"/>
      <c r="RG212" s="26"/>
      <c r="RH212" s="26"/>
      <c r="RI212" s="26"/>
      <c r="RJ212" s="26"/>
      <c r="RK212" s="26"/>
      <c r="RL212" s="26"/>
      <c r="RM212" s="26"/>
      <c r="RN212" s="26"/>
      <c r="RO212" s="26"/>
      <c r="RP212" s="26"/>
      <c r="RQ212" s="26"/>
      <c r="RR212" s="26"/>
      <c r="RS212" s="26"/>
      <c r="RT212" s="26"/>
      <c r="RU212" s="26"/>
      <c r="RV212" s="26"/>
      <c r="RW212" s="26"/>
      <c r="RX212" s="26"/>
      <c r="RY212" s="26"/>
      <c r="RZ212" s="26"/>
      <c r="SA212" s="26"/>
      <c r="SB212" s="26"/>
      <c r="SC212" s="26"/>
      <c r="SD212" s="26"/>
      <c r="SE212" s="26"/>
      <c r="SF212" s="26"/>
      <c r="SG212" s="26"/>
      <c r="SH212" s="26"/>
      <c r="SI212" s="26"/>
      <c r="SJ212" s="26"/>
      <c r="SK212" s="26"/>
      <c r="SL212" s="26"/>
      <c r="SM212" s="26"/>
      <c r="SN212" s="26"/>
      <c r="SO212" s="26"/>
      <c r="SP212" s="26"/>
      <c r="SQ212" s="26"/>
      <c r="SR212" s="26"/>
      <c r="SS212" s="26"/>
      <c r="ST212" s="26"/>
      <c r="SU212" s="26"/>
      <c r="SV212" s="26"/>
      <c r="SW212" s="26"/>
      <c r="SX212" s="26"/>
      <c r="SY212" s="26"/>
      <c r="SZ212" s="26"/>
      <c r="TA212" s="26"/>
      <c r="TB212" s="26"/>
      <c r="TC212" s="26"/>
      <c r="TD212" s="26"/>
      <c r="TE212" s="26"/>
      <c r="TF212" s="26"/>
      <c r="TG212" s="26"/>
      <c r="TH212" s="26"/>
      <c r="TI212" s="26"/>
    </row>
    <row r="213" spans="1:529" s="23" customFormat="1" ht="20.25" customHeight="1" x14ac:dyDescent="0.25">
      <c r="A213" s="43" t="s">
        <v>220</v>
      </c>
      <c r="B213" s="44" t="str">
        <f>'дод 4'!A184</f>
        <v>8340</v>
      </c>
      <c r="C213" s="44" t="str">
        <f>'дод 4'!B184</f>
        <v>0540</v>
      </c>
      <c r="D213" s="24" t="str">
        <f>'дод 4'!C184</f>
        <v>Природоохоронні заходи за рахунок цільових фондів</v>
      </c>
      <c r="E213" s="66">
        <f t="shared" si="90"/>
        <v>0</v>
      </c>
      <c r="F213" s="66"/>
      <c r="G213" s="66"/>
      <c r="H213" s="66"/>
      <c r="I213" s="66"/>
      <c r="J213" s="66">
        <f t="shared" si="92"/>
        <v>5599043.4500000002</v>
      </c>
      <c r="K213" s="66"/>
      <c r="L213" s="66">
        <f>1870000-540000</f>
        <v>1330000</v>
      </c>
      <c r="M213" s="66"/>
      <c r="N213" s="66">
        <f>540000-540000</f>
        <v>0</v>
      </c>
      <c r="O213" s="66">
        <f>1946500+1782543.45+540000</f>
        <v>4269043.45</v>
      </c>
      <c r="P213" s="66">
        <f t="shared" si="91"/>
        <v>5599043.4500000002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  <c r="IW213" s="26"/>
      <c r="IX213" s="26"/>
      <c r="IY213" s="26"/>
      <c r="IZ213" s="26"/>
      <c r="JA213" s="26"/>
      <c r="JB213" s="26"/>
      <c r="JC213" s="26"/>
      <c r="JD213" s="26"/>
      <c r="JE213" s="26"/>
      <c r="JF213" s="26"/>
      <c r="JG213" s="26"/>
      <c r="JH213" s="26"/>
      <c r="JI213" s="26"/>
      <c r="JJ213" s="26"/>
      <c r="JK213" s="26"/>
      <c r="JL213" s="26"/>
      <c r="JM213" s="26"/>
      <c r="JN213" s="26"/>
      <c r="JO213" s="26"/>
      <c r="JP213" s="26"/>
      <c r="JQ213" s="26"/>
      <c r="JR213" s="26"/>
      <c r="JS213" s="26"/>
      <c r="JT213" s="26"/>
      <c r="JU213" s="26"/>
      <c r="JV213" s="26"/>
      <c r="JW213" s="26"/>
      <c r="JX213" s="26"/>
      <c r="JY213" s="26"/>
      <c r="JZ213" s="26"/>
      <c r="KA213" s="26"/>
      <c r="KB213" s="26"/>
      <c r="KC213" s="26"/>
      <c r="KD213" s="26"/>
      <c r="KE213" s="26"/>
      <c r="KF213" s="26"/>
      <c r="KG213" s="26"/>
      <c r="KH213" s="26"/>
      <c r="KI213" s="26"/>
      <c r="KJ213" s="26"/>
      <c r="KK213" s="26"/>
      <c r="KL213" s="26"/>
      <c r="KM213" s="26"/>
      <c r="KN213" s="26"/>
      <c r="KO213" s="26"/>
      <c r="KP213" s="26"/>
      <c r="KQ213" s="26"/>
      <c r="KR213" s="26"/>
      <c r="KS213" s="26"/>
      <c r="KT213" s="26"/>
      <c r="KU213" s="26"/>
      <c r="KV213" s="26"/>
      <c r="KW213" s="26"/>
      <c r="KX213" s="26"/>
      <c r="KY213" s="26"/>
      <c r="KZ213" s="26"/>
      <c r="LA213" s="26"/>
      <c r="LB213" s="26"/>
      <c r="LC213" s="26"/>
      <c r="LD213" s="26"/>
      <c r="LE213" s="26"/>
      <c r="LF213" s="26"/>
      <c r="LG213" s="26"/>
      <c r="LH213" s="26"/>
      <c r="LI213" s="26"/>
      <c r="LJ213" s="26"/>
      <c r="LK213" s="26"/>
      <c r="LL213" s="26"/>
      <c r="LM213" s="26"/>
      <c r="LN213" s="26"/>
      <c r="LO213" s="26"/>
      <c r="LP213" s="26"/>
      <c r="LQ213" s="26"/>
      <c r="LR213" s="26"/>
      <c r="LS213" s="26"/>
      <c r="LT213" s="26"/>
      <c r="LU213" s="26"/>
      <c r="LV213" s="26"/>
      <c r="LW213" s="26"/>
      <c r="LX213" s="26"/>
      <c r="LY213" s="26"/>
      <c r="LZ213" s="26"/>
      <c r="MA213" s="26"/>
      <c r="MB213" s="26"/>
      <c r="MC213" s="26"/>
      <c r="MD213" s="26"/>
      <c r="ME213" s="26"/>
      <c r="MF213" s="26"/>
      <c r="MG213" s="26"/>
      <c r="MH213" s="26"/>
      <c r="MI213" s="26"/>
      <c r="MJ213" s="26"/>
      <c r="MK213" s="26"/>
      <c r="ML213" s="26"/>
      <c r="MM213" s="26"/>
      <c r="MN213" s="26"/>
      <c r="MO213" s="26"/>
      <c r="MP213" s="26"/>
      <c r="MQ213" s="26"/>
      <c r="MR213" s="26"/>
      <c r="MS213" s="26"/>
      <c r="MT213" s="26"/>
      <c r="MU213" s="26"/>
      <c r="MV213" s="26"/>
      <c r="MW213" s="26"/>
      <c r="MX213" s="26"/>
      <c r="MY213" s="26"/>
      <c r="MZ213" s="26"/>
      <c r="NA213" s="26"/>
      <c r="NB213" s="26"/>
      <c r="NC213" s="26"/>
      <c r="ND213" s="26"/>
      <c r="NE213" s="26"/>
      <c r="NF213" s="26"/>
      <c r="NG213" s="26"/>
      <c r="NH213" s="26"/>
      <c r="NI213" s="26"/>
      <c r="NJ213" s="26"/>
      <c r="NK213" s="26"/>
      <c r="NL213" s="26"/>
      <c r="NM213" s="26"/>
      <c r="NN213" s="26"/>
      <c r="NO213" s="26"/>
      <c r="NP213" s="26"/>
      <c r="NQ213" s="26"/>
      <c r="NR213" s="26"/>
      <c r="NS213" s="26"/>
      <c r="NT213" s="26"/>
      <c r="NU213" s="26"/>
      <c r="NV213" s="26"/>
      <c r="NW213" s="26"/>
      <c r="NX213" s="26"/>
      <c r="NY213" s="26"/>
      <c r="NZ213" s="26"/>
      <c r="OA213" s="26"/>
      <c r="OB213" s="26"/>
      <c r="OC213" s="26"/>
      <c r="OD213" s="26"/>
      <c r="OE213" s="26"/>
      <c r="OF213" s="26"/>
      <c r="OG213" s="26"/>
      <c r="OH213" s="26"/>
      <c r="OI213" s="26"/>
      <c r="OJ213" s="26"/>
      <c r="OK213" s="26"/>
      <c r="OL213" s="26"/>
      <c r="OM213" s="26"/>
      <c r="ON213" s="26"/>
      <c r="OO213" s="26"/>
      <c r="OP213" s="26"/>
      <c r="OQ213" s="26"/>
      <c r="OR213" s="26"/>
      <c r="OS213" s="26"/>
      <c r="OT213" s="26"/>
      <c r="OU213" s="26"/>
      <c r="OV213" s="26"/>
      <c r="OW213" s="26"/>
      <c r="OX213" s="26"/>
      <c r="OY213" s="26"/>
      <c r="OZ213" s="26"/>
      <c r="PA213" s="26"/>
      <c r="PB213" s="26"/>
      <c r="PC213" s="26"/>
      <c r="PD213" s="26"/>
      <c r="PE213" s="26"/>
      <c r="PF213" s="26"/>
      <c r="PG213" s="26"/>
      <c r="PH213" s="26"/>
      <c r="PI213" s="26"/>
      <c r="PJ213" s="26"/>
      <c r="PK213" s="26"/>
      <c r="PL213" s="26"/>
      <c r="PM213" s="26"/>
      <c r="PN213" s="26"/>
      <c r="PO213" s="26"/>
      <c r="PP213" s="26"/>
      <c r="PQ213" s="26"/>
      <c r="PR213" s="26"/>
      <c r="PS213" s="26"/>
      <c r="PT213" s="26"/>
      <c r="PU213" s="26"/>
      <c r="PV213" s="26"/>
      <c r="PW213" s="26"/>
      <c r="PX213" s="26"/>
      <c r="PY213" s="26"/>
      <c r="PZ213" s="26"/>
      <c r="QA213" s="26"/>
      <c r="QB213" s="26"/>
      <c r="QC213" s="26"/>
      <c r="QD213" s="26"/>
      <c r="QE213" s="26"/>
      <c r="QF213" s="26"/>
      <c r="QG213" s="26"/>
      <c r="QH213" s="26"/>
      <c r="QI213" s="26"/>
      <c r="QJ213" s="26"/>
      <c r="QK213" s="26"/>
      <c r="QL213" s="26"/>
      <c r="QM213" s="26"/>
      <c r="QN213" s="26"/>
      <c r="QO213" s="26"/>
      <c r="QP213" s="26"/>
      <c r="QQ213" s="26"/>
      <c r="QR213" s="26"/>
      <c r="QS213" s="26"/>
      <c r="QT213" s="26"/>
      <c r="QU213" s="26"/>
      <c r="QV213" s="26"/>
      <c r="QW213" s="26"/>
      <c r="QX213" s="26"/>
      <c r="QY213" s="26"/>
      <c r="QZ213" s="26"/>
      <c r="RA213" s="26"/>
      <c r="RB213" s="26"/>
      <c r="RC213" s="26"/>
      <c r="RD213" s="26"/>
      <c r="RE213" s="26"/>
      <c r="RF213" s="26"/>
      <c r="RG213" s="26"/>
      <c r="RH213" s="26"/>
      <c r="RI213" s="26"/>
      <c r="RJ213" s="26"/>
      <c r="RK213" s="26"/>
      <c r="RL213" s="26"/>
      <c r="RM213" s="26"/>
      <c r="RN213" s="26"/>
      <c r="RO213" s="26"/>
      <c r="RP213" s="26"/>
      <c r="RQ213" s="26"/>
      <c r="RR213" s="26"/>
      <c r="RS213" s="26"/>
      <c r="RT213" s="26"/>
      <c r="RU213" s="26"/>
      <c r="RV213" s="26"/>
      <c r="RW213" s="26"/>
      <c r="RX213" s="26"/>
      <c r="RY213" s="26"/>
      <c r="RZ213" s="26"/>
      <c r="SA213" s="26"/>
      <c r="SB213" s="26"/>
      <c r="SC213" s="26"/>
      <c r="SD213" s="26"/>
      <c r="SE213" s="26"/>
      <c r="SF213" s="26"/>
      <c r="SG213" s="26"/>
      <c r="SH213" s="26"/>
      <c r="SI213" s="26"/>
      <c r="SJ213" s="26"/>
      <c r="SK213" s="26"/>
      <c r="SL213" s="26"/>
      <c r="SM213" s="26"/>
      <c r="SN213" s="26"/>
      <c r="SO213" s="26"/>
      <c r="SP213" s="26"/>
      <c r="SQ213" s="26"/>
      <c r="SR213" s="26"/>
      <c r="SS213" s="26"/>
      <c r="ST213" s="26"/>
      <c r="SU213" s="26"/>
      <c r="SV213" s="26"/>
      <c r="SW213" s="26"/>
      <c r="SX213" s="26"/>
      <c r="SY213" s="26"/>
      <c r="SZ213" s="26"/>
      <c r="TA213" s="26"/>
      <c r="TB213" s="26"/>
      <c r="TC213" s="26"/>
      <c r="TD213" s="26"/>
      <c r="TE213" s="26"/>
      <c r="TF213" s="26"/>
      <c r="TG213" s="26"/>
      <c r="TH213" s="26"/>
      <c r="TI213" s="26"/>
    </row>
    <row r="214" spans="1:529" s="23" customFormat="1" ht="20.25" customHeight="1" x14ac:dyDescent="0.25">
      <c r="A214" s="43" t="s">
        <v>221</v>
      </c>
      <c r="B214" s="44" t="str">
        <f>'дод 4'!A197</f>
        <v>9770</v>
      </c>
      <c r="C214" s="44" t="str">
        <f>'дод 4'!B197</f>
        <v>0180</v>
      </c>
      <c r="D214" s="24" t="str">
        <f>'дод 4'!C197</f>
        <v>Інші субвенції з місцевого бюджету</v>
      </c>
      <c r="E214" s="66">
        <f t="shared" si="90"/>
        <v>368000</v>
      </c>
      <c r="F214" s="66">
        <v>368000</v>
      </c>
      <c r="G214" s="66"/>
      <c r="H214" s="66"/>
      <c r="I214" s="66"/>
      <c r="J214" s="66">
        <f t="shared" si="92"/>
        <v>7632000</v>
      </c>
      <c r="K214" s="66">
        <f>8000000-368000</f>
        <v>7632000</v>
      </c>
      <c r="L214" s="66"/>
      <c r="M214" s="66"/>
      <c r="N214" s="66"/>
      <c r="O214" s="66">
        <f>8000000-368000</f>
        <v>7632000</v>
      </c>
      <c r="P214" s="66">
        <f t="shared" si="91"/>
        <v>8000000</v>
      </c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  <c r="IV214" s="26"/>
      <c r="IW214" s="26"/>
      <c r="IX214" s="26"/>
      <c r="IY214" s="26"/>
      <c r="IZ214" s="26"/>
      <c r="JA214" s="26"/>
      <c r="JB214" s="26"/>
      <c r="JC214" s="26"/>
      <c r="JD214" s="26"/>
      <c r="JE214" s="26"/>
      <c r="JF214" s="26"/>
      <c r="JG214" s="26"/>
      <c r="JH214" s="26"/>
      <c r="JI214" s="26"/>
      <c r="JJ214" s="26"/>
      <c r="JK214" s="26"/>
      <c r="JL214" s="26"/>
      <c r="JM214" s="26"/>
      <c r="JN214" s="26"/>
      <c r="JO214" s="26"/>
      <c r="JP214" s="26"/>
      <c r="JQ214" s="26"/>
      <c r="JR214" s="26"/>
      <c r="JS214" s="26"/>
      <c r="JT214" s="26"/>
      <c r="JU214" s="26"/>
      <c r="JV214" s="26"/>
      <c r="JW214" s="26"/>
      <c r="JX214" s="26"/>
      <c r="JY214" s="26"/>
      <c r="JZ214" s="26"/>
      <c r="KA214" s="26"/>
      <c r="KB214" s="26"/>
      <c r="KC214" s="26"/>
      <c r="KD214" s="26"/>
      <c r="KE214" s="26"/>
      <c r="KF214" s="26"/>
      <c r="KG214" s="26"/>
      <c r="KH214" s="26"/>
      <c r="KI214" s="26"/>
      <c r="KJ214" s="26"/>
      <c r="KK214" s="26"/>
      <c r="KL214" s="26"/>
      <c r="KM214" s="26"/>
      <c r="KN214" s="26"/>
      <c r="KO214" s="26"/>
      <c r="KP214" s="26"/>
      <c r="KQ214" s="26"/>
      <c r="KR214" s="26"/>
      <c r="KS214" s="26"/>
      <c r="KT214" s="26"/>
      <c r="KU214" s="26"/>
      <c r="KV214" s="26"/>
      <c r="KW214" s="26"/>
      <c r="KX214" s="26"/>
      <c r="KY214" s="26"/>
      <c r="KZ214" s="26"/>
      <c r="LA214" s="26"/>
      <c r="LB214" s="26"/>
      <c r="LC214" s="26"/>
      <c r="LD214" s="26"/>
      <c r="LE214" s="26"/>
      <c r="LF214" s="26"/>
      <c r="LG214" s="26"/>
      <c r="LH214" s="26"/>
      <c r="LI214" s="26"/>
      <c r="LJ214" s="26"/>
      <c r="LK214" s="26"/>
      <c r="LL214" s="26"/>
      <c r="LM214" s="26"/>
      <c r="LN214" s="26"/>
      <c r="LO214" s="26"/>
      <c r="LP214" s="26"/>
      <c r="LQ214" s="26"/>
      <c r="LR214" s="26"/>
      <c r="LS214" s="26"/>
      <c r="LT214" s="26"/>
      <c r="LU214" s="26"/>
      <c r="LV214" s="26"/>
      <c r="LW214" s="26"/>
      <c r="LX214" s="26"/>
      <c r="LY214" s="26"/>
      <c r="LZ214" s="26"/>
      <c r="MA214" s="26"/>
      <c r="MB214" s="26"/>
      <c r="MC214" s="26"/>
      <c r="MD214" s="26"/>
      <c r="ME214" s="26"/>
      <c r="MF214" s="26"/>
      <c r="MG214" s="26"/>
      <c r="MH214" s="26"/>
      <c r="MI214" s="26"/>
      <c r="MJ214" s="26"/>
      <c r="MK214" s="26"/>
      <c r="ML214" s="26"/>
      <c r="MM214" s="26"/>
      <c r="MN214" s="26"/>
      <c r="MO214" s="26"/>
      <c r="MP214" s="26"/>
      <c r="MQ214" s="26"/>
      <c r="MR214" s="26"/>
      <c r="MS214" s="26"/>
      <c r="MT214" s="26"/>
      <c r="MU214" s="26"/>
      <c r="MV214" s="26"/>
      <c r="MW214" s="26"/>
      <c r="MX214" s="26"/>
      <c r="MY214" s="26"/>
      <c r="MZ214" s="26"/>
      <c r="NA214" s="26"/>
      <c r="NB214" s="26"/>
      <c r="NC214" s="26"/>
      <c r="ND214" s="26"/>
      <c r="NE214" s="26"/>
      <c r="NF214" s="26"/>
      <c r="NG214" s="26"/>
      <c r="NH214" s="26"/>
      <c r="NI214" s="26"/>
      <c r="NJ214" s="26"/>
      <c r="NK214" s="26"/>
      <c r="NL214" s="26"/>
      <c r="NM214" s="26"/>
      <c r="NN214" s="26"/>
      <c r="NO214" s="26"/>
      <c r="NP214" s="26"/>
      <c r="NQ214" s="26"/>
      <c r="NR214" s="26"/>
      <c r="NS214" s="26"/>
      <c r="NT214" s="26"/>
      <c r="NU214" s="26"/>
      <c r="NV214" s="26"/>
      <c r="NW214" s="26"/>
      <c r="NX214" s="26"/>
      <c r="NY214" s="26"/>
      <c r="NZ214" s="26"/>
      <c r="OA214" s="26"/>
      <c r="OB214" s="26"/>
      <c r="OC214" s="26"/>
      <c r="OD214" s="26"/>
      <c r="OE214" s="26"/>
      <c r="OF214" s="26"/>
      <c r="OG214" s="26"/>
      <c r="OH214" s="26"/>
      <c r="OI214" s="26"/>
      <c r="OJ214" s="26"/>
      <c r="OK214" s="26"/>
      <c r="OL214" s="26"/>
      <c r="OM214" s="26"/>
      <c r="ON214" s="26"/>
      <c r="OO214" s="26"/>
      <c r="OP214" s="26"/>
      <c r="OQ214" s="26"/>
      <c r="OR214" s="26"/>
      <c r="OS214" s="26"/>
      <c r="OT214" s="26"/>
      <c r="OU214" s="26"/>
      <c r="OV214" s="26"/>
      <c r="OW214" s="26"/>
      <c r="OX214" s="26"/>
      <c r="OY214" s="26"/>
      <c r="OZ214" s="26"/>
      <c r="PA214" s="26"/>
      <c r="PB214" s="26"/>
      <c r="PC214" s="26"/>
      <c r="PD214" s="26"/>
      <c r="PE214" s="26"/>
      <c r="PF214" s="26"/>
      <c r="PG214" s="26"/>
      <c r="PH214" s="26"/>
      <c r="PI214" s="26"/>
      <c r="PJ214" s="26"/>
      <c r="PK214" s="26"/>
      <c r="PL214" s="26"/>
      <c r="PM214" s="26"/>
      <c r="PN214" s="26"/>
      <c r="PO214" s="26"/>
      <c r="PP214" s="26"/>
      <c r="PQ214" s="26"/>
      <c r="PR214" s="26"/>
      <c r="PS214" s="26"/>
      <c r="PT214" s="26"/>
      <c r="PU214" s="26"/>
      <c r="PV214" s="26"/>
      <c r="PW214" s="26"/>
      <c r="PX214" s="26"/>
      <c r="PY214" s="26"/>
      <c r="PZ214" s="26"/>
      <c r="QA214" s="26"/>
      <c r="QB214" s="26"/>
      <c r="QC214" s="26"/>
      <c r="QD214" s="26"/>
      <c r="QE214" s="26"/>
      <c r="QF214" s="26"/>
      <c r="QG214" s="26"/>
      <c r="QH214" s="26"/>
      <c r="QI214" s="26"/>
      <c r="QJ214" s="26"/>
      <c r="QK214" s="26"/>
      <c r="QL214" s="26"/>
      <c r="QM214" s="26"/>
      <c r="QN214" s="26"/>
      <c r="QO214" s="26"/>
      <c r="QP214" s="26"/>
      <c r="QQ214" s="26"/>
      <c r="QR214" s="26"/>
      <c r="QS214" s="26"/>
      <c r="QT214" s="26"/>
      <c r="QU214" s="26"/>
      <c r="QV214" s="26"/>
      <c r="QW214" s="26"/>
      <c r="QX214" s="26"/>
      <c r="QY214" s="26"/>
      <c r="QZ214" s="26"/>
      <c r="RA214" s="26"/>
      <c r="RB214" s="26"/>
      <c r="RC214" s="26"/>
      <c r="RD214" s="26"/>
      <c r="RE214" s="26"/>
      <c r="RF214" s="26"/>
      <c r="RG214" s="26"/>
      <c r="RH214" s="26"/>
      <c r="RI214" s="26"/>
      <c r="RJ214" s="26"/>
      <c r="RK214" s="26"/>
      <c r="RL214" s="26"/>
      <c r="RM214" s="26"/>
      <c r="RN214" s="26"/>
      <c r="RO214" s="26"/>
      <c r="RP214" s="26"/>
      <c r="RQ214" s="26"/>
      <c r="RR214" s="26"/>
      <c r="RS214" s="26"/>
      <c r="RT214" s="26"/>
      <c r="RU214" s="26"/>
      <c r="RV214" s="26"/>
      <c r="RW214" s="26"/>
      <c r="RX214" s="26"/>
      <c r="RY214" s="26"/>
      <c r="RZ214" s="26"/>
      <c r="SA214" s="26"/>
      <c r="SB214" s="26"/>
      <c r="SC214" s="26"/>
      <c r="SD214" s="26"/>
      <c r="SE214" s="26"/>
      <c r="SF214" s="26"/>
      <c r="SG214" s="26"/>
      <c r="SH214" s="26"/>
      <c r="SI214" s="26"/>
      <c r="SJ214" s="26"/>
      <c r="SK214" s="26"/>
      <c r="SL214" s="26"/>
      <c r="SM214" s="26"/>
      <c r="SN214" s="26"/>
      <c r="SO214" s="26"/>
      <c r="SP214" s="26"/>
      <c r="SQ214" s="26"/>
      <c r="SR214" s="26"/>
      <c r="SS214" s="26"/>
      <c r="ST214" s="26"/>
      <c r="SU214" s="26"/>
      <c r="SV214" s="26"/>
      <c r="SW214" s="26"/>
      <c r="SX214" s="26"/>
      <c r="SY214" s="26"/>
      <c r="SZ214" s="26"/>
      <c r="TA214" s="26"/>
      <c r="TB214" s="26"/>
      <c r="TC214" s="26"/>
      <c r="TD214" s="26"/>
      <c r="TE214" s="26"/>
      <c r="TF214" s="26"/>
      <c r="TG214" s="26"/>
      <c r="TH214" s="26"/>
      <c r="TI214" s="26"/>
    </row>
    <row r="215" spans="1:529" s="31" customFormat="1" ht="33.75" customHeight="1" x14ac:dyDescent="0.2">
      <c r="A215" s="178" t="s">
        <v>31</v>
      </c>
      <c r="B215" s="71"/>
      <c r="C215" s="71"/>
      <c r="D215" s="30" t="s">
        <v>38</v>
      </c>
      <c r="E215" s="63">
        <f>E216</f>
        <v>6195500</v>
      </c>
      <c r="F215" s="63">
        <f t="shared" ref="F215:J216" si="105">F216</f>
        <v>6195500</v>
      </c>
      <c r="G215" s="63">
        <f t="shared" si="105"/>
        <v>4779400</v>
      </c>
      <c r="H215" s="63">
        <f t="shared" si="105"/>
        <v>98300</v>
      </c>
      <c r="I215" s="63">
        <f t="shared" si="105"/>
        <v>0</v>
      </c>
      <c r="J215" s="63">
        <f t="shared" si="105"/>
        <v>160000</v>
      </c>
      <c r="K215" s="63">
        <f t="shared" ref="K215:K216" si="106">K216</f>
        <v>160000</v>
      </c>
      <c r="L215" s="63">
        <f t="shared" ref="L215:L216" si="107">L216</f>
        <v>0</v>
      </c>
      <c r="M215" s="63">
        <f t="shared" ref="M215:M216" si="108">M216</f>
        <v>0</v>
      </c>
      <c r="N215" s="63">
        <f t="shared" ref="N215:N216" si="109">N216</f>
        <v>0</v>
      </c>
      <c r="O215" s="63">
        <f t="shared" ref="O215:P216" si="110">O216</f>
        <v>160000</v>
      </c>
      <c r="P215" s="63">
        <f t="shared" si="110"/>
        <v>6355500</v>
      </c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  <c r="IV215" s="38"/>
      <c r="IW215" s="38"/>
      <c r="IX215" s="38"/>
      <c r="IY215" s="38"/>
      <c r="IZ215" s="38"/>
      <c r="JA215" s="38"/>
      <c r="JB215" s="38"/>
      <c r="JC215" s="38"/>
      <c r="JD215" s="38"/>
      <c r="JE215" s="38"/>
      <c r="JF215" s="38"/>
      <c r="JG215" s="38"/>
      <c r="JH215" s="38"/>
      <c r="JI215" s="38"/>
      <c r="JJ215" s="38"/>
      <c r="JK215" s="38"/>
      <c r="JL215" s="38"/>
      <c r="JM215" s="38"/>
      <c r="JN215" s="38"/>
      <c r="JO215" s="38"/>
      <c r="JP215" s="38"/>
      <c r="JQ215" s="38"/>
      <c r="JR215" s="38"/>
      <c r="JS215" s="38"/>
      <c r="JT215" s="38"/>
      <c r="JU215" s="38"/>
      <c r="JV215" s="38"/>
      <c r="JW215" s="38"/>
      <c r="JX215" s="38"/>
      <c r="JY215" s="38"/>
      <c r="JZ215" s="38"/>
      <c r="KA215" s="38"/>
      <c r="KB215" s="38"/>
      <c r="KC215" s="38"/>
      <c r="KD215" s="38"/>
      <c r="KE215" s="38"/>
      <c r="KF215" s="38"/>
      <c r="KG215" s="38"/>
      <c r="KH215" s="38"/>
      <c r="KI215" s="38"/>
      <c r="KJ215" s="38"/>
      <c r="KK215" s="38"/>
      <c r="KL215" s="38"/>
      <c r="KM215" s="38"/>
      <c r="KN215" s="38"/>
      <c r="KO215" s="38"/>
      <c r="KP215" s="38"/>
      <c r="KQ215" s="38"/>
      <c r="KR215" s="38"/>
      <c r="KS215" s="38"/>
      <c r="KT215" s="38"/>
      <c r="KU215" s="38"/>
      <c r="KV215" s="38"/>
      <c r="KW215" s="38"/>
      <c r="KX215" s="38"/>
      <c r="KY215" s="38"/>
      <c r="KZ215" s="38"/>
      <c r="LA215" s="38"/>
      <c r="LB215" s="38"/>
      <c r="LC215" s="38"/>
      <c r="LD215" s="38"/>
      <c r="LE215" s="38"/>
      <c r="LF215" s="38"/>
      <c r="LG215" s="38"/>
      <c r="LH215" s="38"/>
      <c r="LI215" s="38"/>
      <c r="LJ215" s="38"/>
      <c r="LK215" s="38"/>
      <c r="LL215" s="38"/>
      <c r="LM215" s="38"/>
      <c r="LN215" s="38"/>
      <c r="LO215" s="38"/>
      <c r="LP215" s="38"/>
      <c r="LQ215" s="38"/>
      <c r="LR215" s="38"/>
      <c r="LS215" s="38"/>
      <c r="LT215" s="38"/>
      <c r="LU215" s="38"/>
      <c r="LV215" s="38"/>
      <c r="LW215" s="38"/>
      <c r="LX215" s="38"/>
      <c r="LY215" s="38"/>
      <c r="LZ215" s="38"/>
      <c r="MA215" s="38"/>
      <c r="MB215" s="38"/>
      <c r="MC215" s="38"/>
      <c r="MD215" s="38"/>
      <c r="ME215" s="38"/>
      <c r="MF215" s="38"/>
      <c r="MG215" s="38"/>
      <c r="MH215" s="38"/>
      <c r="MI215" s="38"/>
      <c r="MJ215" s="38"/>
      <c r="MK215" s="38"/>
      <c r="ML215" s="38"/>
      <c r="MM215" s="38"/>
      <c r="MN215" s="38"/>
      <c r="MO215" s="38"/>
      <c r="MP215" s="38"/>
      <c r="MQ215" s="38"/>
      <c r="MR215" s="38"/>
      <c r="MS215" s="38"/>
      <c r="MT215" s="38"/>
      <c r="MU215" s="38"/>
      <c r="MV215" s="38"/>
      <c r="MW215" s="38"/>
      <c r="MX215" s="38"/>
      <c r="MY215" s="38"/>
      <c r="MZ215" s="38"/>
      <c r="NA215" s="38"/>
      <c r="NB215" s="38"/>
      <c r="NC215" s="38"/>
      <c r="ND215" s="38"/>
      <c r="NE215" s="38"/>
      <c r="NF215" s="38"/>
      <c r="NG215" s="38"/>
      <c r="NH215" s="38"/>
      <c r="NI215" s="38"/>
      <c r="NJ215" s="38"/>
      <c r="NK215" s="38"/>
      <c r="NL215" s="38"/>
      <c r="NM215" s="38"/>
      <c r="NN215" s="38"/>
      <c r="NO215" s="38"/>
      <c r="NP215" s="38"/>
      <c r="NQ215" s="38"/>
      <c r="NR215" s="38"/>
      <c r="NS215" s="38"/>
      <c r="NT215" s="38"/>
      <c r="NU215" s="38"/>
      <c r="NV215" s="38"/>
      <c r="NW215" s="38"/>
      <c r="NX215" s="38"/>
      <c r="NY215" s="38"/>
      <c r="NZ215" s="38"/>
      <c r="OA215" s="38"/>
      <c r="OB215" s="38"/>
      <c r="OC215" s="38"/>
      <c r="OD215" s="38"/>
      <c r="OE215" s="38"/>
      <c r="OF215" s="38"/>
      <c r="OG215" s="38"/>
      <c r="OH215" s="38"/>
      <c r="OI215" s="38"/>
      <c r="OJ215" s="38"/>
      <c r="OK215" s="38"/>
      <c r="OL215" s="38"/>
      <c r="OM215" s="38"/>
      <c r="ON215" s="38"/>
      <c r="OO215" s="38"/>
      <c r="OP215" s="38"/>
      <c r="OQ215" s="38"/>
      <c r="OR215" s="38"/>
      <c r="OS215" s="38"/>
      <c r="OT215" s="38"/>
      <c r="OU215" s="38"/>
      <c r="OV215" s="38"/>
      <c r="OW215" s="38"/>
      <c r="OX215" s="38"/>
      <c r="OY215" s="38"/>
      <c r="OZ215" s="38"/>
      <c r="PA215" s="38"/>
      <c r="PB215" s="38"/>
      <c r="PC215" s="38"/>
      <c r="PD215" s="38"/>
      <c r="PE215" s="38"/>
      <c r="PF215" s="38"/>
      <c r="PG215" s="38"/>
      <c r="PH215" s="38"/>
      <c r="PI215" s="38"/>
      <c r="PJ215" s="38"/>
      <c r="PK215" s="38"/>
      <c r="PL215" s="38"/>
      <c r="PM215" s="38"/>
      <c r="PN215" s="38"/>
      <c r="PO215" s="38"/>
      <c r="PP215" s="38"/>
      <c r="PQ215" s="38"/>
      <c r="PR215" s="38"/>
      <c r="PS215" s="38"/>
      <c r="PT215" s="38"/>
      <c r="PU215" s="38"/>
      <c r="PV215" s="38"/>
      <c r="PW215" s="38"/>
      <c r="PX215" s="38"/>
      <c r="PY215" s="38"/>
      <c r="PZ215" s="38"/>
      <c r="QA215" s="38"/>
      <c r="QB215" s="38"/>
      <c r="QC215" s="38"/>
      <c r="QD215" s="38"/>
      <c r="QE215" s="38"/>
      <c r="QF215" s="38"/>
      <c r="QG215" s="38"/>
      <c r="QH215" s="38"/>
      <c r="QI215" s="38"/>
      <c r="QJ215" s="38"/>
      <c r="QK215" s="38"/>
      <c r="QL215" s="38"/>
      <c r="QM215" s="38"/>
      <c r="QN215" s="38"/>
      <c r="QO215" s="38"/>
      <c r="QP215" s="38"/>
      <c r="QQ215" s="38"/>
      <c r="QR215" s="38"/>
      <c r="QS215" s="38"/>
      <c r="QT215" s="38"/>
      <c r="QU215" s="38"/>
      <c r="QV215" s="38"/>
      <c r="QW215" s="38"/>
      <c r="QX215" s="38"/>
      <c r="QY215" s="38"/>
      <c r="QZ215" s="38"/>
      <c r="RA215" s="38"/>
      <c r="RB215" s="38"/>
      <c r="RC215" s="38"/>
      <c r="RD215" s="38"/>
      <c r="RE215" s="38"/>
      <c r="RF215" s="38"/>
      <c r="RG215" s="38"/>
      <c r="RH215" s="38"/>
      <c r="RI215" s="38"/>
      <c r="RJ215" s="38"/>
      <c r="RK215" s="38"/>
      <c r="RL215" s="38"/>
      <c r="RM215" s="38"/>
      <c r="RN215" s="38"/>
      <c r="RO215" s="38"/>
      <c r="RP215" s="38"/>
      <c r="RQ215" s="38"/>
      <c r="RR215" s="38"/>
      <c r="RS215" s="38"/>
      <c r="RT215" s="38"/>
      <c r="RU215" s="38"/>
      <c r="RV215" s="38"/>
      <c r="RW215" s="38"/>
      <c r="RX215" s="38"/>
      <c r="RY215" s="38"/>
      <c r="RZ215" s="38"/>
      <c r="SA215" s="38"/>
      <c r="SB215" s="38"/>
      <c r="SC215" s="38"/>
      <c r="SD215" s="38"/>
      <c r="SE215" s="38"/>
      <c r="SF215" s="38"/>
      <c r="SG215" s="38"/>
      <c r="SH215" s="38"/>
      <c r="SI215" s="38"/>
      <c r="SJ215" s="38"/>
      <c r="SK215" s="38"/>
      <c r="SL215" s="38"/>
      <c r="SM215" s="38"/>
      <c r="SN215" s="38"/>
      <c r="SO215" s="38"/>
      <c r="SP215" s="38"/>
      <c r="SQ215" s="38"/>
      <c r="SR215" s="38"/>
      <c r="SS215" s="38"/>
      <c r="ST215" s="38"/>
      <c r="SU215" s="38"/>
      <c r="SV215" s="38"/>
      <c r="SW215" s="38"/>
      <c r="SX215" s="38"/>
      <c r="SY215" s="38"/>
      <c r="SZ215" s="38"/>
      <c r="TA215" s="38"/>
      <c r="TB215" s="38"/>
      <c r="TC215" s="38"/>
      <c r="TD215" s="38"/>
      <c r="TE215" s="38"/>
      <c r="TF215" s="38"/>
      <c r="TG215" s="38"/>
      <c r="TH215" s="38"/>
      <c r="TI215" s="38"/>
    </row>
    <row r="216" spans="1:529" s="40" customFormat="1" ht="36.75" customHeight="1" x14ac:dyDescent="0.25">
      <c r="A216" s="73" t="s">
        <v>126</v>
      </c>
      <c r="B216" s="72"/>
      <c r="C216" s="72"/>
      <c r="D216" s="33" t="s">
        <v>38</v>
      </c>
      <c r="E216" s="65">
        <f>E217</f>
        <v>6195500</v>
      </c>
      <c r="F216" s="65">
        <f t="shared" si="105"/>
        <v>6195500</v>
      </c>
      <c r="G216" s="65">
        <f t="shared" si="105"/>
        <v>4779400</v>
      </c>
      <c r="H216" s="65">
        <f t="shared" si="105"/>
        <v>98300</v>
      </c>
      <c r="I216" s="65">
        <f t="shared" si="105"/>
        <v>0</v>
      </c>
      <c r="J216" s="65">
        <f t="shared" si="105"/>
        <v>160000</v>
      </c>
      <c r="K216" s="65">
        <f t="shared" si="106"/>
        <v>160000</v>
      </c>
      <c r="L216" s="65">
        <f t="shared" si="107"/>
        <v>0</v>
      </c>
      <c r="M216" s="65">
        <f t="shared" si="108"/>
        <v>0</v>
      </c>
      <c r="N216" s="65">
        <f t="shared" si="109"/>
        <v>0</v>
      </c>
      <c r="O216" s="65">
        <f t="shared" si="110"/>
        <v>160000</v>
      </c>
      <c r="P216" s="65">
        <f t="shared" si="110"/>
        <v>6355500</v>
      </c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39"/>
      <c r="HT216" s="39"/>
      <c r="HU216" s="39"/>
      <c r="HV216" s="39"/>
      <c r="HW216" s="39"/>
      <c r="HX216" s="39"/>
      <c r="HY216" s="39"/>
      <c r="HZ216" s="39"/>
      <c r="IA216" s="39"/>
      <c r="IB216" s="39"/>
      <c r="IC216" s="39"/>
      <c r="ID216" s="39"/>
      <c r="IE216" s="39"/>
      <c r="IF216" s="39"/>
      <c r="IG216" s="39"/>
      <c r="IH216" s="39"/>
      <c r="II216" s="39"/>
      <c r="IJ216" s="39"/>
      <c r="IK216" s="39"/>
      <c r="IL216" s="39"/>
      <c r="IM216" s="39"/>
      <c r="IN216" s="39"/>
      <c r="IO216" s="39"/>
      <c r="IP216" s="39"/>
      <c r="IQ216" s="39"/>
      <c r="IR216" s="39"/>
      <c r="IS216" s="39"/>
      <c r="IT216" s="39"/>
      <c r="IU216" s="39"/>
      <c r="IV216" s="39"/>
      <c r="IW216" s="39"/>
      <c r="IX216" s="39"/>
      <c r="IY216" s="39"/>
      <c r="IZ216" s="39"/>
      <c r="JA216" s="39"/>
      <c r="JB216" s="39"/>
      <c r="JC216" s="39"/>
      <c r="JD216" s="39"/>
      <c r="JE216" s="39"/>
      <c r="JF216" s="39"/>
      <c r="JG216" s="39"/>
      <c r="JH216" s="39"/>
      <c r="JI216" s="39"/>
      <c r="JJ216" s="39"/>
      <c r="JK216" s="39"/>
      <c r="JL216" s="39"/>
      <c r="JM216" s="39"/>
      <c r="JN216" s="39"/>
      <c r="JO216" s="39"/>
      <c r="JP216" s="39"/>
      <c r="JQ216" s="39"/>
      <c r="JR216" s="39"/>
      <c r="JS216" s="39"/>
      <c r="JT216" s="39"/>
      <c r="JU216" s="39"/>
      <c r="JV216" s="39"/>
      <c r="JW216" s="39"/>
      <c r="JX216" s="39"/>
      <c r="JY216" s="39"/>
      <c r="JZ216" s="39"/>
      <c r="KA216" s="39"/>
      <c r="KB216" s="39"/>
      <c r="KC216" s="39"/>
      <c r="KD216" s="39"/>
      <c r="KE216" s="39"/>
      <c r="KF216" s="39"/>
      <c r="KG216" s="39"/>
      <c r="KH216" s="39"/>
      <c r="KI216" s="39"/>
      <c r="KJ216" s="39"/>
      <c r="KK216" s="39"/>
      <c r="KL216" s="39"/>
      <c r="KM216" s="39"/>
      <c r="KN216" s="39"/>
      <c r="KO216" s="39"/>
      <c r="KP216" s="39"/>
      <c r="KQ216" s="39"/>
      <c r="KR216" s="39"/>
      <c r="KS216" s="39"/>
      <c r="KT216" s="39"/>
      <c r="KU216" s="39"/>
      <c r="KV216" s="39"/>
      <c r="KW216" s="39"/>
      <c r="KX216" s="39"/>
      <c r="KY216" s="39"/>
      <c r="KZ216" s="39"/>
      <c r="LA216" s="39"/>
      <c r="LB216" s="39"/>
      <c r="LC216" s="39"/>
      <c r="LD216" s="39"/>
      <c r="LE216" s="39"/>
      <c r="LF216" s="39"/>
      <c r="LG216" s="39"/>
      <c r="LH216" s="39"/>
      <c r="LI216" s="39"/>
      <c r="LJ216" s="39"/>
      <c r="LK216" s="39"/>
      <c r="LL216" s="39"/>
      <c r="LM216" s="39"/>
      <c r="LN216" s="39"/>
      <c r="LO216" s="39"/>
      <c r="LP216" s="39"/>
      <c r="LQ216" s="39"/>
      <c r="LR216" s="39"/>
      <c r="LS216" s="39"/>
      <c r="LT216" s="39"/>
      <c r="LU216" s="39"/>
      <c r="LV216" s="39"/>
      <c r="LW216" s="39"/>
      <c r="LX216" s="39"/>
      <c r="LY216" s="39"/>
      <c r="LZ216" s="39"/>
      <c r="MA216" s="39"/>
      <c r="MB216" s="39"/>
      <c r="MC216" s="39"/>
      <c r="MD216" s="39"/>
      <c r="ME216" s="39"/>
      <c r="MF216" s="39"/>
      <c r="MG216" s="39"/>
      <c r="MH216" s="39"/>
      <c r="MI216" s="39"/>
      <c r="MJ216" s="39"/>
      <c r="MK216" s="39"/>
      <c r="ML216" s="39"/>
      <c r="MM216" s="39"/>
      <c r="MN216" s="39"/>
      <c r="MO216" s="39"/>
      <c r="MP216" s="39"/>
      <c r="MQ216" s="39"/>
      <c r="MR216" s="39"/>
      <c r="MS216" s="39"/>
      <c r="MT216" s="39"/>
      <c r="MU216" s="39"/>
      <c r="MV216" s="39"/>
      <c r="MW216" s="39"/>
      <c r="MX216" s="39"/>
      <c r="MY216" s="39"/>
      <c r="MZ216" s="39"/>
      <c r="NA216" s="39"/>
      <c r="NB216" s="39"/>
      <c r="NC216" s="39"/>
      <c r="ND216" s="39"/>
      <c r="NE216" s="39"/>
      <c r="NF216" s="39"/>
      <c r="NG216" s="39"/>
      <c r="NH216" s="39"/>
      <c r="NI216" s="39"/>
      <c r="NJ216" s="39"/>
      <c r="NK216" s="39"/>
      <c r="NL216" s="39"/>
      <c r="NM216" s="39"/>
      <c r="NN216" s="39"/>
      <c r="NO216" s="39"/>
      <c r="NP216" s="39"/>
      <c r="NQ216" s="39"/>
      <c r="NR216" s="39"/>
      <c r="NS216" s="39"/>
      <c r="NT216" s="39"/>
      <c r="NU216" s="39"/>
      <c r="NV216" s="39"/>
      <c r="NW216" s="39"/>
      <c r="NX216" s="39"/>
      <c r="NY216" s="39"/>
      <c r="NZ216" s="39"/>
      <c r="OA216" s="39"/>
      <c r="OB216" s="39"/>
      <c r="OC216" s="39"/>
      <c r="OD216" s="39"/>
      <c r="OE216" s="39"/>
      <c r="OF216" s="39"/>
      <c r="OG216" s="39"/>
      <c r="OH216" s="39"/>
      <c r="OI216" s="39"/>
      <c r="OJ216" s="39"/>
      <c r="OK216" s="39"/>
      <c r="OL216" s="39"/>
      <c r="OM216" s="39"/>
      <c r="ON216" s="39"/>
      <c r="OO216" s="39"/>
      <c r="OP216" s="39"/>
      <c r="OQ216" s="39"/>
      <c r="OR216" s="39"/>
      <c r="OS216" s="39"/>
      <c r="OT216" s="39"/>
      <c r="OU216" s="39"/>
      <c r="OV216" s="39"/>
      <c r="OW216" s="39"/>
      <c r="OX216" s="39"/>
      <c r="OY216" s="39"/>
      <c r="OZ216" s="39"/>
      <c r="PA216" s="39"/>
      <c r="PB216" s="39"/>
      <c r="PC216" s="39"/>
      <c r="PD216" s="39"/>
      <c r="PE216" s="39"/>
      <c r="PF216" s="39"/>
      <c r="PG216" s="39"/>
      <c r="PH216" s="39"/>
      <c r="PI216" s="39"/>
      <c r="PJ216" s="39"/>
      <c r="PK216" s="39"/>
      <c r="PL216" s="39"/>
      <c r="PM216" s="39"/>
      <c r="PN216" s="39"/>
      <c r="PO216" s="39"/>
      <c r="PP216" s="39"/>
      <c r="PQ216" s="39"/>
      <c r="PR216" s="39"/>
      <c r="PS216" s="39"/>
      <c r="PT216" s="39"/>
      <c r="PU216" s="39"/>
      <c r="PV216" s="39"/>
      <c r="PW216" s="39"/>
      <c r="PX216" s="39"/>
      <c r="PY216" s="39"/>
      <c r="PZ216" s="39"/>
      <c r="QA216" s="39"/>
      <c r="QB216" s="39"/>
      <c r="QC216" s="39"/>
      <c r="QD216" s="39"/>
      <c r="QE216" s="39"/>
      <c r="QF216" s="39"/>
      <c r="QG216" s="39"/>
      <c r="QH216" s="39"/>
      <c r="QI216" s="39"/>
      <c r="QJ216" s="39"/>
      <c r="QK216" s="39"/>
      <c r="QL216" s="39"/>
      <c r="QM216" s="39"/>
      <c r="QN216" s="39"/>
      <c r="QO216" s="39"/>
      <c r="QP216" s="39"/>
      <c r="QQ216" s="39"/>
      <c r="QR216" s="39"/>
      <c r="QS216" s="39"/>
      <c r="QT216" s="39"/>
      <c r="QU216" s="39"/>
      <c r="QV216" s="39"/>
      <c r="QW216" s="39"/>
      <c r="QX216" s="39"/>
      <c r="QY216" s="39"/>
      <c r="QZ216" s="39"/>
      <c r="RA216" s="39"/>
      <c r="RB216" s="39"/>
      <c r="RC216" s="39"/>
      <c r="RD216" s="39"/>
      <c r="RE216" s="39"/>
      <c r="RF216" s="39"/>
      <c r="RG216" s="39"/>
      <c r="RH216" s="39"/>
      <c r="RI216" s="39"/>
      <c r="RJ216" s="39"/>
      <c r="RK216" s="39"/>
      <c r="RL216" s="39"/>
      <c r="RM216" s="39"/>
      <c r="RN216" s="39"/>
      <c r="RO216" s="39"/>
      <c r="RP216" s="39"/>
      <c r="RQ216" s="39"/>
      <c r="RR216" s="39"/>
      <c r="RS216" s="39"/>
      <c r="RT216" s="39"/>
      <c r="RU216" s="39"/>
      <c r="RV216" s="39"/>
      <c r="RW216" s="39"/>
      <c r="RX216" s="39"/>
      <c r="RY216" s="39"/>
      <c r="RZ216" s="39"/>
      <c r="SA216" s="39"/>
      <c r="SB216" s="39"/>
      <c r="SC216" s="39"/>
      <c r="SD216" s="39"/>
      <c r="SE216" s="39"/>
      <c r="SF216" s="39"/>
      <c r="SG216" s="39"/>
      <c r="SH216" s="39"/>
      <c r="SI216" s="39"/>
      <c r="SJ216" s="39"/>
      <c r="SK216" s="39"/>
      <c r="SL216" s="39"/>
      <c r="SM216" s="39"/>
      <c r="SN216" s="39"/>
      <c r="SO216" s="39"/>
      <c r="SP216" s="39"/>
      <c r="SQ216" s="39"/>
      <c r="SR216" s="39"/>
      <c r="SS216" s="39"/>
      <c r="ST216" s="39"/>
      <c r="SU216" s="39"/>
      <c r="SV216" s="39"/>
      <c r="SW216" s="39"/>
      <c r="SX216" s="39"/>
      <c r="SY216" s="39"/>
      <c r="SZ216" s="39"/>
      <c r="TA216" s="39"/>
      <c r="TB216" s="39"/>
      <c r="TC216" s="39"/>
      <c r="TD216" s="39"/>
      <c r="TE216" s="39"/>
      <c r="TF216" s="39"/>
      <c r="TG216" s="39"/>
      <c r="TH216" s="39"/>
      <c r="TI216" s="39"/>
    </row>
    <row r="217" spans="1:529" s="23" customFormat="1" ht="45" x14ac:dyDescent="0.25">
      <c r="A217" s="43" t="s">
        <v>0</v>
      </c>
      <c r="B217" s="44" t="str">
        <f>'дод 4'!A20</f>
        <v>0160</v>
      </c>
      <c r="C217" s="44" t="str">
        <f>'дод 4'!B20</f>
        <v>0111</v>
      </c>
      <c r="D217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17" s="66">
        <f>F217+I217</f>
        <v>6195500</v>
      </c>
      <c r="F217" s="66">
        <f>6462800+10100-315400-11500+49500</f>
        <v>6195500</v>
      </c>
      <c r="G217" s="66">
        <f>5047300-258500-9400</f>
        <v>4779400</v>
      </c>
      <c r="H217" s="66">
        <v>98300</v>
      </c>
      <c r="I217" s="66"/>
      <c r="J217" s="66">
        <f>L217+O217</f>
        <v>160000</v>
      </c>
      <c r="K217" s="66">
        <v>160000</v>
      </c>
      <c r="L217" s="66"/>
      <c r="M217" s="66"/>
      <c r="N217" s="66"/>
      <c r="O217" s="66">
        <v>160000</v>
      </c>
      <c r="P217" s="66">
        <f>E217+J217</f>
        <v>6355500</v>
      </c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  <c r="IV217" s="26"/>
      <c r="IW217" s="26"/>
      <c r="IX217" s="26"/>
      <c r="IY217" s="26"/>
      <c r="IZ217" s="26"/>
      <c r="JA217" s="26"/>
      <c r="JB217" s="26"/>
      <c r="JC217" s="26"/>
      <c r="JD217" s="26"/>
      <c r="JE217" s="26"/>
      <c r="JF217" s="26"/>
      <c r="JG217" s="26"/>
      <c r="JH217" s="26"/>
      <c r="JI217" s="26"/>
      <c r="JJ217" s="26"/>
      <c r="JK217" s="26"/>
      <c r="JL217" s="26"/>
      <c r="JM217" s="26"/>
      <c r="JN217" s="26"/>
      <c r="JO217" s="26"/>
      <c r="JP217" s="26"/>
      <c r="JQ217" s="26"/>
      <c r="JR217" s="26"/>
      <c r="JS217" s="26"/>
      <c r="JT217" s="26"/>
      <c r="JU217" s="26"/>
      <c r="JV217" s="26"/>
      <c r="JW217" s="26"/>
      <c r="JX217" s="26"/>
      <c r="JY217" s="26"/>
      <c r="JZ217" s="26"/>
      <c r="KA217" s="26"/>
      <c r="KB217" s="26"/>
      <c r="KC217" s="26"/>
      <c r="KD217" s="26"/>
      <c r="KE217" s="26"/>
      <c r="KF217" s="26"/>
      <c r="KG217" s="26"/>
      <c r="KH217" s="26"/>
      <c r="KI217" s="26"/>
      <c r="KJ217" s="26"/>
      <c r="KK217" s="26"/>
      <c r="KL217" s="26"/>
      <c r="KM217" s="26"/>
      <c r="KN217" s="26"/>
      <c r="KO217" s="26"/>
      <c r="KP217" s="26"/>
      <c r="KQ217" s="26"/>
      <c r="KR217" s="26"/>
      <c r="KS217" s="26"/>
      <c r="KT217" s="26"/>
      <c r="KU217" s="26"/>
      <c r="KV217" s="26"/>
      <c r="KW217" s="26"/>
      <c r="KX217" s="26"/>
      <c r="KY217" s="26"/>
      <c r="KZ217" s="26"/>
      <c r="LA217" s="26"/>
      <c r="LB217" s="26"/>
      <c r="LC217" s="26"/>
      <c r="LD217" s="26"/>
      <c r="LE217" s="26"/>
      <c r="LF217" s="26"/>
      <c r="LG217" s="26"/>
      <c r="LH217" s="26"/>
      <c r="LI217" s="26"/>
      <c r="LJ217" s="26"/>
      <c r="LK217" s="26"/>
      <c r="LL217" s="26"/>
      <c r="LM217" s="26"/>
      <c r="LN217" s="26"/>
      <c r="LO217" s="26"/>
      <c r="LP217" s="26"/>
      <c r="LQ217" s="26"/>
      <c r="LR217" s="26"/>
      <c r="LS217" s="26"/>
      <c r="LT217" s="26"/>
      <c r="LU217" s="26"/>
      <c r="LV217" s="26"/>
      <c r="LW217" s="26"/>
      <c r="LX217" s="26"/>
      <c r="LY217" s="26"/>
      <c r="LZ217" s="26"/>
      <c r="MA217" s="26"/>
      <c r="MB217" s="26"/>
      <c r="MC217" s="26"/>
      <c r="MD217" s="26"/>
      <c r="ME217" s="26"/>
      <c r="MF217" s="26"/>
      <c r="MG217" s="26"/>
      <c r="MH217" s="26"/>
      <c r="MI217" s="26"/>
      <c r="MJ217" s="26"/>
      <c r="MK217" s="26"/>
      <c r="ML217" s="26"/>
      <c r="MM217" s="26"/>
      <c r="MN217" s="26"/>
      <c r="MO217" s="26"/>
      <c r="MP217" s="26"/>
      <c r="MQ217" s="26"/>
      <c r="MR217" s="26"/>
      <c r="MS217" s="26"/>
      <c r="MT217" s="26"/>
      <c r="MU217" s="26"/>
      <c r="MV217" s="26"/>
      <c r="MW217" s="26"/>
      <c r="MX217" s="26"/>
      <c r="MY217" s="26"/>
      <c r="MZ217" s="26"/>
      <c r="NA217" s="26"/>
      <c r="NB217" s="26"/>
      <c r="NC217" s="26"/>
      <c r="ND217" s="26"/>
      <c r="NE217" s="26"/>
      <c r="NF217" s="26"/>
      <c r="NG217" s="26"/>
      <c r="NH217" s="26"/>
      <c r="NI217" s="26"/>
      <c r="NJ217" s="26"/>
      <c r="NK217" s="26"/>
      <c r="NL217" s="26"/>
      <c r="NM217" s="26"/>
      <c r="NN217" s="26"/>
      <c r="NO217" s="26"/>
      <c r="NP217" s="26"/>
      <c r="NQ217" s="26"/>
      <c r="NR217" s="26"/>
      <c r="NS217" s="26"/>
      <c r="NT217" s="26"/>
      <c r="NU217" s="26"/>
      <c r="NV217" s="26"/>
      <c r="NW217" s="26"/>
      <c r="NX217" s="26"/>
      <c r="NY217" s="26"/>
      <c r="NZ217" s="26"/>
      <c r="OA217" s="26"/>
      <c r="OB217" s="26"/>
      <c r="OC217" s="26"/>
      <c r="OD217" s="26"/>
      <c r="OE217" s="26"/>
      <c r="OF217" s="26"/>
      <c r="OG217" s="26"/>
      <c r="OH217" s="26"/>
      <c r="OI217" s="26"/>
      <c r="OJ217" s="26"/>
      <c r="OK217" s="26"/>
      <c r="OL217" s="26"/>
      <c r="OM217" s="26"/>
      <c r="ON217" s="26"/>
      <c r="OO217" s="26"/>
      <c r="OP217" s="26"/>
      <c r="OQ217" s="26"/>
      <c r="OR217" s="26"/>
      <c r="OS217" s="26"/>
      <c r="OT217" s="26"/>
      <c r="OU217" s="26"/>
      <c r="OV217" s="26"/>
      <c r="OW217" s="26"/>
      <c r="OX217" s="26"/>
      <c r="OY217" s="26"/>
      <c r="OZ217" s="26"/>
      <c r="PA217" s="26"/>
      <c r="PB217" s="26"/>
      <c r="PC217" s="26"/>
      <c r="PD217" s="26"/>
      <c r="PE217" s="26"/>
      <c r="PF217" s="26"/>
      <c r="PG217" s="26"/>
      <c r="PH217" s="26"/>
      <c r="PI217" s="26"/>
      <c r="PJ217" s="26"/>
      <c r="PK217" s="26"/>
      <c r="PL217" s="26"/>
      <c r="PM217" s="26"/>
      <c r="PN217" s="26"/>
      <c r="PO217" s="26"/>
      <c r="PP217" s="26"/>
      <c r="PQ217" s="26"/>
      <c r="PR217" s="26"/>
      <c r="PS217" s="26"/>
      <c r="PT217" s="26"/>
      <c r="PU217" s="26"/>
      <c r="PV217" s="26"/>
      <c r="PW217" s="26"/>
      <c r="PX217" s="26"/>
      <c r="PY217" s="26"/>
      <c r="PZ217" s="26"/>
      <c r="QA217" s="26"/>
      <c r="QB217" s="26"/>
      <c r="QC217" s="26"/>
      <c r="QD217" s="26"/>
      <c r="QE217" s="26"/>
      <c r="QF217" s="26"/>
      <c r="QG217" s="26"/>
      <c r="QH217" s="26"/>
      <c r="QI217" s="26"/>
      <c r="QJ217" s="26"/>
      <c r="QK217" s="26"/>
      <c r="QL217" s="26"/>
      <c r="QM217" s="26"/>
      <c r="QN217" s="26"/>
      <c r="QO217" s="26"/>
      <c r="QP217" s="26"/>
      <c r="QQ217" s="26"/>
      <c r="QR217" s="26"/>
      <c r="QS217" s="26"/>
      <c r="QT217" s="26"/>
      <c r="QU217" s="26"/>
      <c r="QV217" s="26"/>
      <c r="QW217" s="26"/>
      <c r="QX217" s="26"/>
      <c r="QY217" s="26"/>
      <c r="QZ217" s="26"/>
      <c r="RA217" s="26"/>
      <c r="RB217" s="26"/>
      <c r="RC217" s="26"/>
      <c r="RD217" s="26"/>
      <c r="RE217" s="26"/>
      <c r="RF217" s="26"/>
      <c r="RG217" s="26"/>
      <c r="RH217" s="26"/>
      <c r="RI217" s="26"/>
      <c r="RJ217" s="26"/>
      <c r="RK217" s="26"/>
      <c r="RL217" s="26"/>
      <c r="RM217" s="26"/>
      <c r="RN217" s="26"/>
      <c r="RO217" s="26"/>
      <c r="RP217" s="26"/>
      <c r="RQ217" s="26"/>
      <c r="RR217" s="26"/>
      <c r="RS217" s="26"/>
      <c r="RT217" s="26"/>
      <c r="RU217" s="26"/>
      <c r="RV217" s="26"/>
      <c r="RW217" s="26"/>
      <c r="RX217" s="26"/>
      <c r="RY217" s="26"/>
      <c r="RZ217" s="26"/>
      <c r="SA217" s="26"/>
      <c r="SB217" s="26"/>
      <c r="SC217" s="26"/>
      <c r="SD217" s="26"/>
      <c r="SE217" s="26"/>
      <c r="SF217" s="26"/>
      <c r="SG217" s="26"/>
      <c r="SH217" s="26"/>
      <c r="SI217" s="26"/>
      <c r="SJ217" s="26"/>
      <c r="SK217" s="26"/>
      <c r="SL217" s="26"/>
      <c r="SM217" s="26"/>
      <c r="SN217" s="26"/>
      <c r="SO217" s="26"/>
      <c r="SP217" s="26"/>
      <c r="SQ217" s="26"/>
      <c r="SR217" s="26"/>
      <c r="SS217" s="26"/>
      <c r="ST217" s="26"/>
      <c r="SU217" s="26"/>
      <c r="SV217" s="26"/>
      <c r="SW217" s="26"/>
      <c r="SX217" s="26"/>
      <c r="SY217" s="26"/>
      <c r="SZ217" s="26"/>
      <c r="TA217" s="26"/>
      <c r="TB217" s="26"/>
      <c r="TC217" s="26"/>
      <c r="TD217" s="26"/>
      <c r="TE217" s="26"/>
      <c r="TF217" s="26"/>
      <c r="TG217" s="26"/>
      <c r="TH217" s="26"/>
      <c r="TI217" s="26"/>
    </row>
    <row r="218" spans="1:529" s="31" customFormat="1" ht="34.5" customHeight="1" x14ac:dyDescent="0.2">
      <c r="A218" s="178" t="s">
        <v>32</v>
      </c>
      <c r="B218" s="71"/>
      <c r="C218" s="71"/>
      <c r="D218" s="30" t="s">
        <v>37</v>
      </c>
      <c r="E218" s="63">
        <f>E219</f>
        <v>3706717</v>
      </c>
      <c r="F218" s="63">
        <f t="shared" ref="F218:J218" si="111">F219</f>
        <v>3621811</v>
      </c>
      <c r="G218" s="63">
        <f t="shared" si="111"/>
        <v>1552300</v>
      </c>
      <c r="H218" s="63">
        <f t="shared" si="111"/>
        <v>0</v>
      </c>
      <c r="I218" s="63">
        <f t="shared" si="111"/>
        <v>84906</v>
      </c>
      <c r="J218" s="63">
        <f t="shared" si="111"/>
        <v>218696508.18000001</v>
      </c>
      <c r="K218" s="63">
        <f t="shared" ref="K218" si="112">K219</f>
        <v>204849236</v>
      </c>
      <c r="L218" s="63">
        <f t="shared" ref="L218" si="113">L219</f>
        <v>3200000</v>
      </c>
      <c r="M218" s="63">
        <f t="shared" ref="M218" si="114">M219</f>
        <v>2348000</v>
      </c>
      <c r="N218" s="63">
        <f t="shared" ref="N218" si="115">N219</f>
        <v>90600</v>
      </c>
      <c r="O218" s="63">
        <f t="shared" ref="O218:P218" si="116">O219</f>
        <v>215496508.18000001</v>
      </c>
      <c r="P218" s="63">
        <f t="shared" si="116"/>
        <v>222403225.18000001</v>
      </c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  <c r="IV218" s="38"/>
      <c r="IW218" s="38"/>
      <c r="IX218" s="38"/>
      <c r="IY218" s="38"/>
      <c r="IZ218" s="38"/>
      <c r="JA218" s="38"/>
      <c r="JB218" s="38"/>
      <c r="JC218" s="38"/>
      <c r="JD218" s="38"/>
      <c r="JE218" s="38"/>
      <c r="JF218" s="38"/>
      <c r="JG218" s="38"/>
      <c r="JH218" s="38"/>
      <c r="JI218" s="38"/>
      <c r="JJ218" s="38"/>
      <c r="JK218" s="38"/>
      <c r="JL218" s="38"/>
      <c r="JM218" s="38"/>
      <c r="JN218" s="38"/>
      <c r="JO218" s="38"/>
      <c r="JP218" s="38"/>
      <c r="JQ218" s="38"/>
      <c r="JR218" s="38"/>
      <c r="JS218" s="38"/>
      <c r="JT218" s="38"/>
      <c r="JU218" s="38"/>
      <c r="JV218" s="38"/>
      <c r="JW218" s="38"/>
      <c r="JX218" s="38"/>
      <c r="JY218" s="38"/>
      <c r="JZ218" s="38"/>
      <c r="KA218" s="38"/>
      <c r="KB218" s="38"/>
      <c r="KC218" s="38"/>
      <c r="KD218" s="38"/>
      <c r="KE218" s="38"/>
      <c r="KF218" s="38"/>
      <c r="KG218" s="38"/>
      <c r="KH218" s="38"/>
      <c r="KI218" s="38"/>
      <c r="KJ218" s="38"/>
      <c r="KK218" s="38"/>
      <c r="KL218" s="38"/>
      <c r="KM218" s="38"/>
      <c r="KN218" s="38"/>
      <c r="KO218" s="38"/>
      <c r="KP218" s="38"/>
      <c r="KQ218" s="38"/>
      <c r="KR218" s="38"/>
      <c r="KS218" s="38"/>
      <c r="KT218" s="38"/>
      <c r="KU218" s="38"/>
      <c r="KV218" s="38"/>
      <c r="KW218" s="38"/>
      <c r="KX218" s="38"/>
      <c r="KY218" s="38"/>
      <c r="KZ218" s="38"/>
      <c r="LA218" s="38"/>
      <c r="LB218" s="38"/>
      <c r="LC218" s="38"/>
      <c r="LD218" s="38"/>
      <c r="LE218" s="38"/>
      <c r="LF218" s="38"/>
      <c r="LG218" s="38"/>
      <c r="LH218" s="38"/>
      <c r="LI218" s="38"/>
      <c r="LJ218" s="38"/>
      <c r="LK218" s="38"/>
      <c r="LL218" s="38"/>
      <c r="LM218" s="38"/>
      <c r="LN218" s="38"/>
      <c r="LO218" s="38"/>
      <c r="LP218" s="38"/>
      <c r="LQ218" s="38"/>
      <c r="LR218" s="38"/>
      <c r="LS218" s="38"/>
      <c r="LT218" s="38"/>
      <c r="LU218" s="38"/>
      <c r="LV218" s="38"/>
      <c r="LW218" s="38"/>
      <c r="LX218" s="38"/>
      <c r="LY218" s="38"/>
      <c r="LZ218" s="38"/>
      <c r="MA218" s="38"/>
      <c r="MB218" s="38"/>
      <c r="MC218" s="38"/>
      <c r="MD218" s="38"/>
      <c r="ME218" s="38"/>
      <c r="MF218" s="38"/>
      <c r="MG218" s="38"/>
      <c r="MH218" s="38"/>
      <c r="MI218" s="38"/>
      <c r="MJ218" s="38"/>
      <c r="MK218" s="38"/>
      <c r="ML218" s="38"/>
      <c r="MM218" s="38"/>
      <c r="MN218" s="38"/>
      <c r="MO218" s="38"/>
      <c r="MP218" s="38"/>
      <c r="MQ218" s="38"/>
      <c r="MR218" s="38"/>
      <c r="MS218" s="38"/>
      <c r="MT218" s="38"/>
      <c r="MU218" s="38"/>
      <c r="MV218" s="38"/>
      <c r="MW218" s="38"/>
      <c r="MX218" s="38"/>
      <c r="MY218" s="38"/>
      <c r="MZ218" s="38"/>
      <c r="NA218" s="38"/>
      <c r="NB218" s="38"/>
      <c r="NC218" s="38"/>
      <c r="ND218" s="38"/>
      <c r="NE218" s="38"/>
      <c r="NF218" s="38"/>
      <c r="NG218" s="38"/>
      <c r="NH218" s="38"/>
      <c r="NI218" s="38"/>
      <c r="NJ218" s="38"/>
      <c r="NK218" s="38"/>
      <c r="NL218" s="38"/>
      <c r="NM218" s="38"/>
      <c r="NN218" s="38"/>
      <c r="NO218" s="38"/>
      <c r="NP218" s="38"/>
      <c r="NQ218" s="38"/>
      <c r="NR218" s="38"/>
      <c r="NS218" s="38"/>
      <c r="NT218" s="38"/>
      <c r="NU218" s="38"/>
      <c r="NV218" s="38"/>
      <c r="NW218" s="38"/>
      <c r="NX218" s="38"/>
      <c r="NY218" s="38"/>
      <c r="NZ218" s="38"/>
      <c r="OA218" s="38"/>
      <c r="OB218" s="38"/>
      <c r="OC218" s="38"/>
      <c r="OD218" s="38"/>
      <c r="OE218" s="38"/>
      <c r="OF218" s="38"/>
      <c r="OG218" s="38"/>
      <c r="OH218" s="38"/>
      <c r="OI218" s="38"/>
      <c r="OJ218" s="38"/>
      <c r="OK218" s="38"/>
      <c r="OL218" s="38"/>
      <c r="OM218" s="38"/>
      <c r="ON218" s="38"/>
      <c r="OO218" s="38"/>
      <c r="OP218" s="38"/>
      <c r="OQ218" s="38"/>
      <c r="OR218" s="38"/>
      <c r="OS218" s="38"/>
      <c r="OT218" s="38"/>
      <c r="OU218" s="38"/>
      <c r="OV218" s="38"/>
      <c r="OW218" s="38"/>
      <c r="OX218" s="38"/>
      <c r="OY218" s="38"/>
      <c r="OZ218" s="38"/>
      <c r="PA218" s="38"/>
      <c r="PB218" s="38"/>
      <c r="PC218" s="38"/>
      <c r="PD218" s="38"/>
      <c r="PE218" s="38"/>
      <c r="PF218" s="38"/>
      <c r="PG218" s="38"/>
      <c r="PH218" s="38"/>
      <c r="PI218" s="38"/>
      <c r="PJ218" s="38"/>
      <c r="PK218" s="38"/>
      <c r="PL218" s="38"/>
      <c r="PM218" s="38"/>
      <c r="PN218" s="38"/>
      <c r="PO218" s="38"/>
      <c r="PP218" s="38"/>
      <c r="PQ218" s="38"/>
      <c r="PR218" s="38"/>
      <c r="PS218" s="38"/>
      <c r="PT218" s="38"/>
      <c r="PU218" s="38"/>
      <c r="PV218" s="38"/>
      <c r="PW218" s="38"/>
      <c r="PX218" s="38"/>
      <c r="PY218" s="38"/>
      <c r="PZ218" s="38"/>
      <c r="QA218" s="38"/>
      <c r="QB218" s="38"/>
      <c r="QC218" s="38"/>
      <c r="QD218" s="38"/>
      <c r="QE218" s="38"/>
      <c r="QF218" s="38"/>
      <c r="QG218" s="38"/>
      <c r="QH218" s="38"/>
      <c r="QI218" s="38"/>
      <c r="QJ218" s="38"/>
      <c r="QK218" s="38"/>
      <c r="QL218" s="38"/>
      <c r="QM218" s="38"/>
      <c r="QN218" s="38"/>
      <c r="QO218" s="38"/>
      <c r="QP218" s="38"/>
      <c r="QQ218" s="38"/>
      <c r="QR218" s="38"/>
      <c r="QS218" s="38"/>
      <c r="QT218" s="38"/>
      <c r="QU218" s="38"/>
      <c r="QV218" s="38"/>
      <c r="QW218" s="38"/>
      <c r="QX218" s="38"/>
      <c r="QY218" s="38"/>
      <c r="QZ218" s="38"/>
      <c r="RA218" s="38"/>
      <c r="RB218" s="38"/>
      <c r="RC218" s="38"/>
      <c r="RD218" s="38"/>
      <c r="RE218" s="38"/>
      <c r="RF218" s="38"/>
      <c r="RG218" s="38"/>
      <c r="RH218" s="38"/>
      <c r="RI218" s="38"/>
      <c r="RJ218" s="38"/>
      <c r="RK218" s="38"/>
      <c r="RL218" s="38"/>
      <c r="RM218" s="38"/>
      <c r="RN218" s="38"/>
      <c r="RO218" s="38"/>
      <c r="RP218" s="38"/>
      <c r="RQ218" s="38"/>
      <c r="RR218" s="38"/>
      <c r="RS218" s="38"/>
      <c r="RT218" s="38"/>
      <c r="RU218" s="38"/>
      <c r="RV218" s="38"/>
      <c r="RW218" s="38"/>
      <c r="RX218" s="38"/>
      <c r="RY218" s="38"/>
      <c r="RZ218" s="38"/>
      <c r="SA218" s="38"/>
      <c r="SB218" s="38"/>
      <c r="SC218" s="38"/>
      <c r="SD218" s="38"/>
      <c r="SE218" s="38"/>
      <c r="SF218" s="38"/>
      <c r="SG218" s="38"/>
      <c r="SH218" s="38"/>
      <c r="SI218" s="38"/>
      <c r="SJ218" s="38"/>
      <c r="SK218" s="38"/>
      <c r="SL218" s="38"/>
      <c r="SM218" s="38"/>
      <c r="SN218" s="38"/>
      <c r="SO218" s="38"/>
      <c r="SP218" s="38"/>
      <c r="SQ218" s="38"/>
      <c r="SR218" s="38"/>
      <c r="SS218" s="38"/>
      <c r="ST218" s="38"/>
      <c r="SU218" s="38"/>
      <c r="SV218" s="38"/>
      <c r="SW218" s="38"/>
      <c r="SX218" s="38"/>
      <c r="SY218" s="38"/>
      <c r="SZ218" s="38"/>
      <c r="TA218" s="38"/>
      <c r="TB218" s="38"/>
      <c r="TC218" s="38"/>
      <c r="TD218" s="38"/>
      <c r="TE218" s="38"/>
      <c r="TF218" s="38"/>
      <c r="TG218" s="38"/>
      <c r="TH218" s="38"/>
      <c r="TI218" s="38"/>
    </row>
    <row r="219" spans="1:529" s="40" customFormat="1" ht="34.5" customHeight="1" x14ac:dyDescent="0.25">
      <c r="A219" s="73" t="s">
        <v>33</v>
      </c>
      <c r="B219" s="72"/>
      <c r="C219" s="72"/>
      <c r="D219" s="33" t="s">
        <v>508</v>
      </c>
      <c r="E219" s="65">
        <f>SUM(E221+E222+E223+E224+E225+E226+E228+E229+E230+E231+E232+E227+E234)</f>
        <v>3706717</v>
      </c>
      <c r="F219" s="65">
        <f t="shared" ref="F219:P219" si="117">SUM(F221+F222+F223+F224+F225+F226+F228+F229+F230+F231+F232+F227+F234)</f>
        <v>3621811</v>
      </c>
      <c r="G219" s="65">
        <f t="shared" si="117"/>
        <v>1552300</v>
      </c>
      <c r="H219" s="65">
        <f t="shared" si="117"/>
        <v>0</v>
      </c>
      <c r="I219" s="65">
        <f t="shared" si="117"/>
        <v>84906</v>
      </c>
      <c r="J219" s="65">
        <f t="shared" si="117"/>
        <v>218696508.18000001</v>
      </c>
      <c r="K219" s="65">
        <f t="shared" si="117"/>
        <v>204849236</v>
      </c>
      <c r="L219" s="65">
        <f t="shared" si="117"/>
        <v>3200000</v>
      </c>
      <c r="M219" s="65">
        <f t="shared" si="117"/>
        <v>2348000</v>
      </c>
      <c r="N219" s="65">
        <f t="shared" si="117"/>
        <v>90600</v>
      </c>
      <c r="O219" s="65">
        <f t="shared" si="117"/>
        <v>215496508.18000001</v>
      </c>
      <c r="P219" s="65">
        <f t="shared" si="117"/>
        <v>222403225.18000001</v>
      </c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  <c r="HT219" s="39"/>
      <c r="HU219" s="39"/>
      <c r="HV219" s="39"/>
      <c r="HW219" s="39"/>
      <c r="HX219" s="39"/>
      <c r="HY219" s="39"/>
      <c r="HZ219" s="39"/>
      <c r="IA219" s="39"/>
      <c r="IB219" s="39"/>
      <c r="IC219" s="39"/>
      <c r="ID219" s="39"/>
      <c r="IE219" s="39"/>
      <c r="IF219" s="39"/>
      <c r="IG219" s="39"/>
      <c r="IH219" s="39"/>
      <c r="II219" s="39"/>
      <c r="IJ219" s="39"/>
      <c r="IK219" s="39"/>
      <c r="IL219" s="39"/>
      <c r="IM219" s="39"/>
      <c r="IN219" s="39"/>
      <c r="IO219" s="39"/>
      <c r="IP219" s="39"/>
      <c r="IQ219" s="39"/>
      <c r="IR219" s="39"/>
      <c r="IS219" s="39"/>
      <c r="IT219" s="39"/>
      <c r="IU219" s="39"/>
      <c r="IV219" s="39"/>
      <c r="IW219" s="39"/>
      <c r="IX219" s="39"/>
      <c r="IY219" s="39"/>
      <c r="IZ219" s="39"/>
      <c r="JA219" s="39"/>
      <c r="JB219" s="39"/>
      <c r="JC219" s="39"/>
      <c r="JD219" s="39"/>
      <c r="JE219" s="39"/>
      <c r="JF219" s="39"/>
      <c r="JG219" s="39"/>
      <c r="JH219" s="39"/>
      <c r="JI219" s="39"/>
      <c r="JJ219" s="39"/>
      <c r="JK219" s="39"/>
      <c r="JL219" s="39"/>
      <c r="JM219" s="39"/>
      <c r="JN219" s="39"/>
      <c r="JO219" s="39"/>
      <c r="JP219" s="39"/>
      <c r="JQ219" s="39"/>
      <c r="JR219" s="39"/>
      <c r="JS219" s="39"/>
      <c r="JT219" s="39"/>
      <c r="JU219" s="39"/>
      <c r="JV219" s="39"/>
      <c r="JW219" s="39"/>
      <c r="JX219" s="39"/>
      <c r="JY219" s="39"/>
      <c r="JZ219" s="39"/>
      <c r="KA219" s="39"/>
      <c r="KB219" s="39"/>
      <c r="KC219" s="39"/>
      <c r="KD219" s="39"/>
      <c r="KE219" s="39"/>
      <c r="KF219" s="39"/>
      <c r="KG219" s="39"/>
      <c r="KH219" s="39"/>
      <c r="KI219" s="39"/>
      <c r="KJ219" s="39"/>
      <c r="KK219" s="39"/>
      <c r="KL219" s="39"/>
      <c r="KM219" s="39"/>
      <c r="KN219" s="39"/>
      <c r="KO219" s="39"/>
      <c r="KP219" s="39"/>
      <c r="KQ219" s="39"/>
      <c r="KR219" s="39"/>
      <c r="KS219" s="39"/>
      <c r="KT219" s="39"/>
      <c r="KU219" s="39"/>
      <c r="KV219" s="39"/>
      <c r="KW219" s="39"/>
      <c r="KX219" s="39"/>
      <c r="KY219" s="39"/>
      <c r="KZ219" s="39"/>
      <c r="LA219" s="39"/>
      <c r="LB219" s="39"/>
      <c r="LC219" s="39"/>
      <c r="LD219" s="39"/>
      <c r="LE219" s="39"/>
      <c r="LF219" s="39"/>
      <c r="LG219" s="39"/>
      <c r="LH219" s="39"/>
      <c r="LI219" s="39"/>
      <c r="LJ219" s="39"/>
      <c r="LK219" s="39"/>
      <c r="LL219" s="39"/>
      <c r="LM219" s="39"/>
      <c r="LN219" s="39"/>
      <c r="LO219" s="39"/>
      <c r="LP219" s="39"/>
      <c r="LQ219" s="39"/>
      <c r="LR219" s="39"/>
      <c r="LS219" s="39"/>
      <c r="LT219" s="39"/>
      <c r="LU219" s="39"/>
      <c r="LV219" s="39"/>
      <c r="LW219" s="39"/>
      <c r="LX219" s="39"/>
      <c r="LY219" s="39"/>
      <c r="LZ219" s="39"/>
      <c r="MA219" s="39"/>
      <c r="MB219" s="39"/>
      <c r="MC219" s="39"/>
      <c r="MD219" s="39"/>
      <c r="ME219" s="39"/>
      <c r="MF219" s="39"/>
      <c r="MG219" s="39"/>
      <c r="MH219" s="39"/>
      <c r="MI219" s="39"/>
      <c r="MJ219" s="39"/>
      <c r="MK219" s="39"/>
      <c r="ML219" s="39"/>
      <c r="MM219" s="39"/>
      <c r="MN219" s="39"/>
      <c r="MO219" s="39"/>
      <c r="MP219" s="39"/>
      <c r="MQ219" s="39"/>
      <c r="MR219" s="39"/>
      <c r="MS219" s="39"/>
      <c r="MT219" s="39"/>
      <c r="MU219" s="39"/>
      <c r="MV219" s="39"/>
      <c r="MW219" s="39"/>
      <c r="MX219" s="39"/>
      <c r="MY219" s="39"/>
      <c r="MZ219" s="39"/>
      <c r="NA219" s="39"/>
      <c r="NB219" s="39"/>
      <c r="NC219" s="39"/>
      <c r="ND219" s="39"/>
      <c r="NE219" s="39"/>
      <c r="NF219" s="39"/>
      <c r="NG219" s="39"/>
      <c r="NH219" s="39"/>
      <c r="NI219" s="39"/>
      <c r="NJ219" s="39"/>
      <c r="NK219" s="39"/>
      <c r="NL219" s="39"/>
      <c r="NM219" s="39"/>
      <c r="NN219" s="39"/>
      <c r="NO219" s="39"/>
      <c r="NP219" s="39"/>
      <c r="NQ219" s="39"/>
      <c r="NR219" s="39"/>
      <c r="NS219" s="39"/>
      <c r="NT219" s="39"/>
      <c r="NU219" s="39"/>
      <c r="NV219" s="39"/>
      <c r="NW219" s="39"/>
      <c r="NX219" s="39"/>
      <c r="NY219" s="39"/>
      <c r="NZ219" s="39"/>
      <c r="OA219" s="39"/>
      <c r="OB219" s="39"/>
      <c r="OC219" s="39"/>
      <c r="OD219" s="39"/>
      <c r="OE219" s="39"/>
      <c r="OF219" s="39"/>
      <c r="OG219" s="39"/>
      <c r="OH219" s="39"/>
      <c r="OI219" s="39"/>
      <c r="OJ219" s="39"/>
      <c r="OK219" s="39"/>
      <c r="OL219" s="39"/>
      <c r="OM219" s="39"/>
      <c r="ON219" s="39"/>
      <c r="OO219" s="39"/>
      <c r="OP219" s="39"/>
      <c r="OQ219" s="39"/>
      <c r="OR219" s="39"/>
      <c r="OS219" s="39"/>
      <c r="OT219" s="39"/>
      <c r="OU219" s="39"/>
      <c r="OV219" s="39"/>
      <c r="OW219" s="39"/>
      <c r="OX219" s="39"/>
      <c r="OY219" s="39"/>
      <c r="OZ219" s="39"/>
      <c r="PA219" s="39"/>
      <c r="PB219" s="39"/>
      <c r="PC219" s="39"/>
      <c r="PD219" s="39"/>
      <c r="PE219" s="39"/>
      <c r="PF219" s="39"/>
      <c r="PG219" s="39"/>
      <c r="PH219" s="39"/>
      <c r="PI219" s="39"/>
      <c r="PJ219" s="39"/>
      <c r="PK219" s="39"/>
      <c r="PL219" s="39"/>
      <c r="PM219" s="39"/>
      <c r="PN219" s="39"/>
      <c r="PO219" s="39"/>
      <c r="PP219" s="39"/>
      <c r="PQ219" s="39"/>
      <c r="PR219" s="39"/>
      <c r="PS219" s="39"/>
      <c r="PT219" s="39"/>
      <c r="PU219" s="39"/>
      <c r="PV219" s="39"/>
      <c r="PW219" s="39"/>
      <c r="PX219" s="39"/>
      <c r="PY219" s="39"/>
      <c r="PZ219" s="39"/>
      <c r="QA219" s="39"/>
      <c r="QB219" s="39"/>
      <c r="QC219" s="39"/>
      <c r="QD219" s="39"/>
      <c r="QE219" s="39"/>
      <c r="QF219" s="39"/>
      <c r="QG219" s="39"/>
      <c r="QH219" s="39"/>
      <c r="QI219" s="39"/>
      <c r="QJ219" s="39"/>
      <c r="QK219" s="39"/>
      <c r="QL219" s="39"/>
      <c r="QM219" s="39"/>
      <c r="QN219" s="39"/>
      <c r="QO219" s="39"/>
      <c r="QP219" s="39"/>
      <c r="QQ219" s="39"/>
      <c r="QR219" s="39"/>
      <c r="QS219" s="39"/>
      <c r="QT219" s="39"/>
      <c r="QU219" s="39"/>
      <c r="QV219" s="39"/>
      <c r="QW219" s="39"/>
      <c r="QX219" s="39"/>
      <c r="QY219" s="39"/>
      <c r="QZ219" s="39"/>
      <c r="RA219" s="39"/>
      <c r="RB219" s="39"/>
      <c r="RC219" s="39"/>
      <c r="RD219" s="39"/>
      <c r="RE219" s="39"/>
      <c r="RF219" s="39"/>
      <c r="RG219" s="39"/>
      <c r="RH219" s="39"/>
      <c r="RI219" s="39"/>
      <c r="RJ219" s="39"/>
      <c r="RK219" s="39"/>
      <c r="RL219" s="39"/>
      <c r="RM219" s="39"/>
      <c r="RN219" s="39"/>
      <c r="RO219" s="39"/>
      <c r="RP219" s="39"/>
      <c r="RQ219" s="39"/>
      <c r="RR219" s="39"/>
      <c r="RS219" s="39"/>
      <c r="RT219" s="39"/>
      <c r="RU219" s="39"/>
      <c r="RV219" s="39"/>
      <c r="RW219" s="39"/>
      <c r="RX219" s="39"/>
      <c r="RY219" s="39"/>
      <c r="RZ219" s="39"/>
      <c r="SA219" s="39"/>
      <c r="SB219" s="39"/>
      <c r="SC219" s="39"/>
      <c r="SD219" s="39"/>
      <c r="SE219" s="39"/>
      <c r="SF219" s="39"/>
      <c r="SG219" s="39"/>
      <c r="SH219" s="39"/>
      <c r="SI219" s="39"/>
      <c r="SJ219" s="39"/>
      <c r="SK219" s="39"/>
      <c r="SL219" s="39"/>
      <c r="SM219" s="39"/>
      <c r="SN219" s="39"/>
      <c r="SO219" s="39"/>
      <c r="SP219" s="39"/>
      <c r="SQ219" s="39"/>
      <c r="SR219" s="39"/>
      <c r="SS219" s="39"/>
      <c r="ST219" s="39"/>
      <c r="SU219" s="39"/>
      <c r="SV219" s="39"/>
      <c r="SW219" s="39"/>
      <c r="SX219" s="39"/>
      <c r="SY219" s="39"/>
      <c r="SZ219" s="39"/>
      <c r="TA219" s="39"/>
      <c r="TB219" s="39"/>
      <c r="TC219" s="39"/>
      <c r="TD219" s="39"/>
      <c r="TE219" s="39"/>
      <c r="TF219" s="39"/>
      <c r="TG219" s="39"/>
      <c r="TH219" s="39"/>
      <c r="TI219" s="39"/>
    </row>
    <row r="220" spans="1:529" s="40" customFormat="1" ht="17.25" customHeight="1" x14ac:dyDescent="0.25">
      <c r="A220" s="73"/>
      <c r="B220" s="72"/>
      <c r="C220" s="72"/>
      <c r="D220" s="147" t="s">
        <v>507</v>
      </c>
      <c r="E220" s="65">
        <f>E233</f>
        <v>0</v>
      </c>
      <c r="F220" s="65">
        <f t="shared" ref="F220:P220" si="118">F233</f>
        <v>0</v>
      </c>
      <c r="G220" s="65">
        <f t="shared" si="118"/>
        <v>0</v>
      </c>
      <c r="H220" s="65">
        <f t="shared" si="118"/>
        <v>0</v>
      </c>
      <c r="I220" s="65">
        <f t="shared" si="118"/>
        <v>0</v>
      </c>
      <c r="J220" s="65">
        <f t="shared" si="118"/>
        <v>44062207</v>
      </c>
      <c r="K220" s="65">
        <f t="shared" si="118"/>
        <v>44062207</v>
      </c>
      <c r="L220" s="65">
        <f t="shared" si="118"/>
        <v>0</v>
      </c>
      <c r="M220" s="65">
        <f t="shared" si="118"/>
        <v>0</v>
      </c>
      <c r="N220" s="65">
        <f t="shared" si="118"/>
        <v>0</v>
      </c>
      <c r="O220" s="65">
        <f t="shared" si="118"/>
        <v>44062207</v>
      </c>
      <c r="P220" s="65">
        <f t="shared" si="118"/>
        <v>44062207</v>
      </c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  <c r="IV220" s="39"/>
      <c r="IW220" s="39"/>
      <c r="IX220" s="39"/>
      <c r="IY220" s="39"/>
      <c r="IZ220" s="39"/>
      <c r="JA220" s="39"/>
      <c r="JB220" s="39"/>
      <c r="JC220" s="39"/>
      <c r="JD220" s="39"/>
      <c r="JE220" s="39"/>
      <c r="JF220" s="39"/>
      <c r="JG220" s="39"/>
      <c r="JH220" s="39"/>
      <c r="JI220" s="39"/>
      <c r="JJ220" s="39"/>
      <c r="JK220" s="39"/>
      <c r="JL220" s="39"/>
      <c r="JM220" s="39"/>
      <c r="JN220" s="39"/>
      <c r="JO220" s="39"/>
      <c r="JP220" s="39"/>
      <c r="JQ220" s="39"/>
      <c r="JR220" s="39"/>
      <c r="JS220" s="39"/>
      <c r="JT220" s="39"/>
      <c r="JU220" s="39"/>
      <c r="JV220" s="39"/>
      <c r="JW220" s="39"/>
      <c r="JX220" s="39"/>
      <c r="JY220" s="39"/>
      <c r="JZ220" s="39"/>
      <c r="KA220" s="39"/>
      <c r="KB220" s="39"/>
      <c r="KC220" s="39"/>
      <c r="KD220" s="39"/>
      <c r="KE220" s="39"/>
      <c r="KF220" s="39"/>
      <c r="KG220" s="39"/>
      <c r="KH220" s="39"/>
      <c r="KI220" s="39"/>
      <c r="KJ220" s="39"/>
      <c r="KK220" s="39"/>
      <c r="KL220" s="39"/>
      <c r="KM220" s="39"/>
      <c r="KN220" s="39"/>
      <c r="KO220" s="39"/>
      <c r="KP220" s="39"/>
      <c r="KQ220" s="39"/>
      <c r="KR220" s="39"/>
      <c r="KS220" s="39"/>
      <c r="KT220" s="39"/>
      <c r="KU220" s="39"/>
      <c r="KV220" s="39"/>
      <c r="KW220" s="39"/>
      <c r="KX220" s="39"/>
      <c r="KY220" s="39"/>
      <c r="KZ220" s="39"/>
      <c r="LA220" s="39"/>
      <c r="LB220" s="39"/>
      <c r="LC220" s="39"/>
      <c r="LD220" s="39"/>
      <c r="LE220" s="39"/>
      <c r="LF220" s="39"/>
      <c r="LG220" s="39"/>
      <c r="LH220" s="39"/>
      <c r="LI220" s="39"/>
      <c r="LJ220" s="39"/>
      <c r="LK220" s="39"/>
      <c r="LL220" s="39"/>
      <c r="LM220" s="39"/>
      <c r="LN220" s="39"/>
      <c r="LO220" s="39"/>
      <c r="LP220" s="39"/>
      <c r="LQ220" s="39"/>
      <c r="LR220" s="39"/>
      <c r="LS220" s="39"/>
      <c r="LT220" s="39"/>
      <c r="LU220" s="39"/>
      <c r="LV220" s="39"/>
      <c r="LW220" s="39"/>
      <c r="LX220" s="39"/>
      <c r="LY220" s="39"/>
      <c r="LZ220" s="39"/>
      <c r="MA220" s="39"/>
      <c r="MB220" s="39"/>
      <c r="MC220" s="39"/>
      <c r="MD220" s="39"/>
      <c r="ME220" s="39"/>
      <c r="MF220" s="39"/>
      <c r="MG220" s="39"/>
      <c r="MH220" s="39"/>
      <c r="MI220" s="39"/>
      <c r="MJ220" s="39"/>
      <c r="MK220" s="39"/>
      <c r="ML220" s="39"/>
      <c r="MM220" s="39"/>
      <c r="MN220" s="39"/>
      <c r="MO220" s="39"/>
      <c r="MP220" s="39"/>
      <c r="MQ220" s="39"/>
      <c r="MR220" s="39"/>
      <c r="MS220" s="39"/>
      <c r="MT220" s="39"/>
      <c r="MU220" s="39"/>
      <c r="MV220" s="39"/>
      <c r="MW220" s="39"/>
      <c r="MX220" s="39"/>
      <c r="MY220" s="39"/>
      <c r="MZ220" s="39"/>
      <c r="NA220" s="39"/>
      <c r="NB220" s="39"/>
      <c r="NC220" s="39"/>
      <c r="ND220" s="39"/>
      <c r="NE220" s="39"/>
      <c r="NF220" s="39"/>
      <c r="NG220" s="39"/>
      <c r="NH220" s="39"/>
      <c r="NI220" s="39"/>
      <c r="NJ220" s="39"/>
      <c r="NK220" s="39"/>
      <c r="NL220" s="39"/>
      <c r="NM220" s="39"/>
      <c r="NN220" s="39"/>
      <c r="NO220" s="39"/>
      <c r="NP220" s="39"/>
      <c r="NQ220" s="39"/>
      <c r="NR220" s="39"/>
      <c r="NS220" s="39"/>
      <c r="NT220" s="39"/>
      <c r="NU220" s="39"/>
      <c r="NV220" s="39"/>
      <c r="NW220" s="39"/>
      <c r="NX220" s="39"/>
      <c r="NY220" s="39"/>
      <c r="NZ220" s="39"/>
      <c r="OA220" s="39"/>
      <c r="OB220" s="39"/>
      <c r="OC220" s="39"/>
      <c r="OD220" s="39"/>
      <c r="OE220" s="39"/>
      <c r="OF220" s="39"/>
      <c r="OG220" s="39"/>
      <c r="OH220" s="39"/>
      <c r="OI220" s="39"/>
      <c r="OJ220" s="39"/>
      <c r="OK220" s="39"/>
      <c r="OL220" s="39"/>
      <c r="OM220" s="39"/>
      <c r="ON220" s="39"/>
      <c r="OO220" s="39"/>
      <c r="OP220" s="39"/>
      <c r="OQ220" s="39"/>
      <c r="OR220" s="39"/>
      <c r="OS220" s="39"/>
      <c r="OT220" s="39"/>
      <c r="OU220" s="39"/>
      <c r="OV220" s="39"/>
      <c r="OW220" s="39"/>
      <c r="OX220" s="39"/>
      <c r="OY220" s="39"/>
      <c r="OZ220" s="39"/>
      <c r="PA220" s="39"/>
      <c r="PB220" s="39"/>
      <c r="PC220" s="39"/>
      <c r="PD220" s="39"/>
      <c r="PE220" s="39"/>
      <c r="PF220" s="39"/>
      <c r="PG220" s="39"/>
      <c r="PH220" s="39"/>
      <c r="PI220" s="39"/>
      <c r="PJ220" s="39"/>
      <c r="PK220" s="39"/>
      <c r="PL220" s="39"/>
      <c r="PM220" s="39"/>
      <c r="PN220" s="39"/>
      <c r="PO220" s="39"/>
      <c r="PP220" s="39"/>
      <c r="PQ220" s="39"/>
      <c r="PR220" s="39"/>
      <c r="PS220" s="39"/>
      <c r="PT220" s="39"/>
      <c r="PU220" s="39"/>
      <c r="PV220" s="39"/>
      <c r="PW220" s="39"/>
      <c r="PX220" s="39"/>
      <c r="PY220" s="39"/>
      <c r="PZ220" s="39"/>
      <c r="QA220" s="39"/>
      <c r="QB220" s="39"/>
      <c r="QC220" s="39"/>
      <c r="QD220" s="39"/>
      <c r="QE220" s="39"/>
      <c r="QF220" s="39"/>
      <c r="QG220" s="39"/>
      <c r="QH220" s="39"/>
      <c r="QI220" s="39"/>
      <c r="QJ220" s="39"/>
      <c r="QK220" s="39"/>
      <c r="QL220" s="39"/>
      <c r="QM220" s="39"/>
      <c r="QN220" s="39"/>
      <c r="QO220" s="39"/>
      <c r="QP220" s="39"/>
      <c r="QQ220" s="39"/>
      <c r="QR220" s="39"/>
      <c r="QS220" s="39"/>
      <c r="QT220" s="39"/>
      <c r="QU220" s="39"/>
      <c r="QV220" s="39"/>
      <c r="QW220" s="39"/>
      <c r="QX220" s="39"/>
      <c r="QY220" s="39"/>
      <c r="QZ220" s="39"/>
      <c r="RA220" s="39"/>
      <c r="RB220" s="39"/>
      <c r="RC220" s="39"/>
      <c r="RD220" s="39"/>
      <c r="RE220" s="39"/>
      <c r="RF220" s="39"/>
      <c r="RG220" s="39"/>
      <c r="RH220" s="39"/>
      <c r="RI220" s="39"/>
      <c r="RJ220" s="39"/>
      <c r="RK220" s="39"/>
      <c r="RL220" s="39"/>
      <c r="RM220" s="39"/>
      <c r="RN220" s="39"/>
      <c r="RO220" s="39"/>
      <c r="RP220" s="39"/>
      <c r="RQ220" s="39"/>
      <c r="RR220" s="39"/>
      <c r="RS220" s="39"/>
      <c r="RT220" s="39"/>
      <c r="RU220" s="39"/>
      <c r="RV220" s="39"/>
      <c r="RW220" s="39"/>
      <c r="RX220" s="39"/>
      <c r="RY220" s="39"/>
      <c r="RZ220" s="39"/>
      <c r="SA220" s="39"/>
      <c r="SB220" s="39"/>
      <c r="SC220" s="39"/>
      <c r="SD220" s="39"/>
      <c r="SE220" s="39"/>
      <c r="SF220" s="39"/>
      <c r="SG220" s="39"/>
      <c r="SH220" s="39"/>
      <c r="SI220" s="39"/>
      <c r="SJ220" s="39"/>
      <c r="SK220" s="39"/>
      <c r="SL220" s="39"/>
      <c r="SM220" s="39"/>
      <c r="SN220" s="39"/>
      <c r="SO220" s="39"/>
      <c r="SP220" s="39"/>
      <c r="SQ220" s="39"/>
      <c r="SR220" s="39"/>
      <c r="SS220" s="39"/>
      <c r="ST220" s="39"/>
      <c r="SU220" s="39"/>
      <c r="SV220" s="39"/>
      <c r="SW220" s="39"/>
      <c r="SX220" s="39"/>
      <c r="SY220" s="39"/>
      <c r="SZ220" s="39"/>
      <c r="TA220" s="39"/>
      <c r="TB220" s="39"/>
      <c r="TC220" s="39"/>
      <c r="TD220" s="39"/>
      <c r="TE220" s="39"/>
      <c r="TF220" s="39"/>
      <c r="TG220" s="39"/>
      <c r="TH220" s="39"/>
      <c r="TI220" s="39"/>
    </row>
    <row r="221" spans="1:529" s="23" customFormat="1" ht="44.25" customHeight="1" x14ac:dyDescent="0.25">
      <c r="A221" s="43" t="s">
        <v>151</v>
      </c>
      <c r="B221" s="44" t="str">
        <f>'дод 4'!A20</f>
        <v>0160</v>
      </c>
      <c r="C221" s="44" t="str">
        <f>'дод 4'!B20</f>
        <v>0111</v>
      </c>
      <c r="D221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21" s="66">
        <f t="shared" ref="E221:E234" si="119">F221+I221</f>
        <v>1893800</v>
      </c>
      <c r="F221" s="66">
        <f>1976700-82900</f>
        <v>1893800</v>
      </c>
      <c r="G221" s="66">
        <f>1620200-67900</f>
        <v>1552300</v>
      </c>
      <c r="H221" s="66"/>
      <c r="I221" s="66"/>
      <c r="J221" s="66">
        <f>L221+O221</f>
        <v>3200000</v>
      </c>
      <c r="K221" s="66"/>
      <c r="L221" s="66">
        <v>3200000</v>
      </c>
      <c r="M221" s="66">
        <v>2348000</v>
      </c>
      <c r="N221" s="66">
        <v>90600</v>
      </c>
      <c r="O221" s="66"/>
      <c r="P221" s="66">
        <f t="shared" ref="P221:P234" si="120">E221+J221</f>
        <v>5093800</v>
      </c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  <c r="IV221" s="26"/>
      <c r="IW221" s="26"/>
      <c r="IX221" s="26"/>
      <c r="IY221" s="26"/>
      <c r="IZ221" s="26"/>
      <c r="JA221" s="26"/>
      <c r="JB221" s="26"/>
      <c r="JC221" s="26"/>
      <c r="JD221" s="26"/>
      <c r="JE221" s="26"/>
      <c r="JF221" s="26"/>
      <c r="JG221" s="26"/>
      <c r="JH221" s="26"/>
      <c r="JI221" s="26"/>
      <c r="JJ221" s="26"/>
      <c r="JK221" s="26"/>
      <c r="JL221" s="26"/>
      <c r="JM221" s="26"/>
      <c r="JN221" s="26"/>
      <c r="JO221" s="26"/>
      <c r="JP221" s="26"/>
      <c r="JQ221" s="26"/>
      <c r="JR221" s="26"/>
      <c r="JS221" s="26"/>
      <c r="JT221" s="26"/>
      <c r="JU221" s="26"/>
      <c r="JV221" s="26"/>
      <c r="JW221" s="26"/>
      <c r="JX221" s="26"/>
      <c r="JY221" s="26"/>
      <c r="JZ221" s="26"/>
      <c r="KA221" s="26"/>
      <c r="KB221" s="26"/>
      <c r="KC221" s="26"/>
      <c r="KD221" s="26"/>
      <c r="KE221" s="26"/>
      <c r="KF221" s="26"/>
      <c r="KG221" s="26"/>
      <c r="KH221" s="26"/>
      <c r="KI221" s="26"/>
      <c r="KJ221" s="26"/>
      <c r="KK221" s="26"/>
      <c r="KL221" s="26"/>
      <c r="KM221" s="26"/>
      <c r="KN221" s="26"/>
      <c r="KO221" s="26"/>
      <c r="KP221" s="26"/>
      <c r="KQ221" s="26"/>
      <c r="KR221" s="26"/>
      <c r="KS221" s="26"/>
      <c r="KT221" s="26"/>
      <c r="KU221" s="26"/>
      <c r="KV221" s="26"/>
      <c r="KW221" s="26"/>
      <c r="KX221" s="26"/>
      <c r="KY221" s="26"/>
      <c r="KZ221" s="26"/>
      <c r="LA221" s="26"/>
      <c r="LB221" s="26"/>
      <c r="LC221" s="26"/>
      <c r="LD221" s="26"/>
      <c r="LE221" s="26"/>
      <c r="LF221" s="26"/>
      <c r="LG221" s="26"/>
      <c r="LH221" s="26"/>
      <c r="LI221" s="26"/>
      <c r="LJ221" s="26"/>
      <c r="LK221" s="26"/>
      <c r="LL221" s="26"/>
      <c r="LM221" s="26"/>
      <c r="LN221" s="26"/>
      <c r="LO221" s="26"/>
      <c r="LP221" s="26"/>
      <c r="LQ221" s="26"/>
      <c r="LR221" s="26"/>
      <c r="LS221" s="26"/>
      <c r="LT221" s="26"/>
      <c r="LU221" s="26"/>
      <c r="LV221" s="26"/>
      <c r="LW221" s="26"/>
      <c r="LX221" s="26"/>
      <c r="LY221" s="26"/>
      <c r="LZ221" s="26"/>
      <c r="MA221" s="26"/>
      <c r="MB221" s="26"/>
      <c r="MC221" s="26"/>
      <c r="MD221" s="26"/>
      <c r="ME221" s="26"/>
      <c r="MF221" s="26"/>
      <c r="MG221" s="26"/>
      <c r="MH221" s="26"/>
      <c r="MI221" s="26"/>
      <c r="MJ221" s="26"/>
      <c r="MK221" s="26"/>
      <c r="ML221" s="26"/>
      <c r="MM221" s="26"/>
      <c r="MN221" s="26"/>
      <c r="MO221" s="26"/>
      <c r="MP221" s="26"/>
      <c r="MQ221" s="26"/>
      <c r="MR221" s="26"/>
      <c r="MS221" s="26"/>
      <c r="MT221" s="26"/>
      <c r="MU221" s="26"/>
      <c r="MV221" s="26"/>
      <c r="MW221" s="26"/>
      <c r="MX221" s="26"/>
      <c r="MY221" s="26"/>
      <c r="MZ221" s="26"/>
      <c r="NA221" s="26"/>
      <c r="NB221" s="26"/>
      <c r="NC221" s="26"/>
      <c r="ND221" s="26"/>
      <c r="NE221" s="26"/>
      <c r="NF221" s="26"/>
      <c r="NG221" s="26"/>
      <c r="NH221" s="26"/>
      <c r="NI221" s="26"/>
      <c r="NJ221" s="26"/>
      <c r="NK221" s="26"/>
      <c r="NL221" s="26"/>
      <c r="NM221" s="26"/>
      <c r="NN221" s="26"/>
      <c r="NO221" s="26"/>
      <c r="NP221" s="26"/>
      <c r="NQ221" s="26"/>
      <c r="NR221" s="26"/>
      <c r="NS221" s="26"/>
      <c r="NT221" s="26"/>
      <c r="NU221" s="26"/>
      <c r="NV221" s="26"/>
      <c r="NW221" s="26"/>
      <c r="NX221" s="26"/>
      <c r="NY221" s="26"/>
      <c r="NZ221" s="26"/>
      <c r="OA221" s="26"/>
      <c r="OB221" s="26"/>
      <c r="OC221" s="26"/>
      <c r="OD221" s="26"/>
      <c r="OE221" s="26"/>
      <c r="OF221" s="26"/>
      <c r="OG221" s="26"/>
      <c r="OH221" s="26"/>
      <c r="OI221" s="26"/>
      <c r="OJ221" s="26"/>
      <c r="OK221" s="26"/>
      <c r="OL221" s="26"/>
      <c r="OM221" s="26"/>
      <c r="ON221" s="26"/>
      <c r="OO221" s="26"/>
      <c r="OP221" s="26"/>
      <c r="OQ221" s="26"/>
      <c r="OR221" s="26"/>
      <c r="OS221" s="26"/>
      <c r="OT221" s="26"/>
      <c r="OU221" s="26"/>
      <c r="OV221" s="26"/>
      <c r="OW221" s="26"/>
      <c r="OX221" s="26"/>
      <c r="OY221" s="26"/>
      <c r="OZ221" s="26"/>
      <c r="PA221" s="26"/>
      <c r="PB221" s="26"/>
      <c r="PC221" s="26"/>
      <c r="PD221" s="26"/>
      <c r="PE221" s="26"/>
      <c r="PF221" s="26"/>
      <c r="PG221" s="26"/>
      <c r="PH221" s="26"/>
      <c r="PI221" s="26"/>
      <c r="PJ221" s="26"/>
      <c r="PK221" s="26"/>
      <c r="PL221" s="26"/>
      <c r="PM221" s="26"/>
      <c r="PN221" s="26"/>
      <c r="PO221" s="26"/>
      <c r="PP221" s="26"/>
      <c r="PQ221" s="26"/>
      <c r="PR221" s="26"/>
      <c r="PS221" s="26"/>
      <c r="PT221" s="26"/>
      <c r="PU221" s="26"/>
      <c r="PV221" s="26"/>
      <c r="PW221" s="26"/>
      <c r="PX221" s="26"/>
      <c r="PY221" s="26"/>
      <c r="PZ221" s="26"/>
      <c r="QA221" s="26"/>
      <c r="QB221" s="26"/>
      <c r="QC221" s="26"/>
      <c r="QD221" s="26"/>
      <c r="QE221" s="26"/>
      <c r="QF221" s="26"/>
      <c r="QG221" s="26"/>
      <c r="QH221" s="26"/>
      <c r="QI221" s="26"/>
      <c r="QJ221" s="26"/>
      <c r="QK221" s="26"/>
      <c r="QL221" s="26"/>
      <c r="QM221" s="26"/>
      <c r="QN221" s="26"/>
      <c r="QO221" s="26"/>
      <c r="QP221" s="26"/>
      <c r="QQ221" s="26"/>
      <c r="QR221" s="26"/>
      <c r="QS221" s="26"/>
      <c r="QT221" s="26"/>
      <c r="QU221" s="26"/>
      <c r="QV221" s="26"/>
      <c r="QW221" s="26"/>
      <c r="QX221" s="26"/>
      <c r="QY221" s="26"/>
      <c r="QZ221" s="26"/>
      <c r="RA221" s="26"/>
      <c r="RB221" s="26"/>
      <c r="RC221" s="26"/>
      <c r="RD221" s="26"/>
      <c r="RE221" s="26"/>
      <c r="RF221" s="26"/>
      <c r="RG221" s="26"/>
      <c r="RH221" s="26"/>
      <c r="RI221" s="26"/>
      <c r="RJ221" s="26"/>
      <c r="RK221" s="26"/>
      <c r="RL221" s="26"/>
      <c r="RM221" s="26"/>
      <c r="RN221" s="26"/>
      <c r="RO221" s="26"/>
      <c r="RP221" s="26"/>
      <c r="RQ221" s="26"/>
      <c r="RR221" s="26"/>
      <c r="RS221" s="26"/>
      <c r="RT221" s="26"/>
      <c r="RU221" s="26"/>
      <c r="RV221" s="26"/>
      <c r="RW221" s="26"/>
      <c r="RX221" s="26"/>
      <c r="RY221" s="26"/>
      <c r="RZ221" s="26"/>
      <c r="SA221" s="26"/>
      <c r="SB221" s="26"/>
      <c r="SC221" s="26"/>
      <c r="SD221" s="26"/>
      <c r="SE221" s="26"/>
      <c r="SF221" s="26"/>
      <c r="SG221" s="26"/>
      <c r="SH221" s="26"/>
      <c r="SI221" s="26"/>
      <c r="SJ221" s="26"/>
      <c r="SK221" s="26"/>
      <c r="SL221" s="26"/>
      <c r="SM221" s="26"/>
      <c r="SN221" s="26"/>
      <c r="SO221" s="26"/>
      <c r="SP221" s="26"/>
      <c r="SQ221" s="26"/>
      <c r="SR221" s="26"/>
      <c r="SS221" s="26"/>
      <c r="ST221" s="26"/>
      <c r="SU221" s="26"/>
      <c r="SV221" s="26"/>
      <c r="SW221" s="26"/>
      <c r="SX221" s="26"/>
      <c r="SY221" s="26"/>
      <c r="SZ221" s="26"/>
      <c r="TA221" s="26"/>
      <c r="TB221" s="26"/>
      <c r="TC221" s="26"/>
      <c r="TD221" s="26"/>
      <c r="TE221" s="26"/>
      <c r="TF221" s="26"/>
      <c r="TG221" s="26"/>
      <c r="TH221" s="26"/>
      <c r="TI221" s="26"/>
    </row>
    <row r="222" spans="1:529" s="23" customFormat="1" ht="18" customHeight="1" x14ac:dyDescent="0.25">
      <c r="A222" s="43" t="s">
        <v>222</v>
      </c>
      <c r="B222" s="44" t="str">
        <f>'дод 4'!A129</f>
        <v>6030</v>
      </c>
      <c r="C222" s="44" t="str">
        <f>'дод 4'!B129</f>
        <v>0620</v>
      </c>
      <c r="D222" s="24" t="str">
        <f>'дод 4'!C129</f>
        <v>Організація благоустрою населених пунктів</v>
      </c>
      <c r="E222" s="66">
        <f t="shared" si="119"/>
        <v>0</v>
      </c>
      <c r="F222" s="66"/>
      <c r="G222" s="66"/>
      <c r="H222" s="66"/>
      <c r="I222" s="66"/>
      <c r="J222" s="66">
        <f t="shared" ref="J222:J239" si="121">L222+O222</f>
        <v>48676556</v>
      </c>
      <c r="K222" s="66">
        <f>60000000-5000000-3750000-35796000+622556+500000+30000000+2100000</f>
        <v>48676556</v>
      </c>
      <c r="L222" s="66"/>
      <c r="M222" s="66"/>
      <c r="N222" s="66"/>
      <c r="O222" s="66">
        <f>60000000-5000000-3750000-35796000+622556+500000+30000000+2100000</f>
        <v>48676556</v>
      </c>
      <c r="P222" s="66">
        <f t="shared" si="120"/>
        <v>48676556</v>
      </c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  <c r="IW222" s="26"/>
      <c r="IX222" s="26"/>
      <c r="IY222" s="26"/>
      <c r="IZ222" s="26"/>
      <c r="JA222" s="26"/>
      <c r="JB222" s="26"/>
      <c r="JC222" s="26"/>
      <c r="JD222" s="26"/>
      <c r="JE222" s="26"/>
      <c r="JF222" s="26"/>
      <c r="JG222" s="26"/>
      <c r="JH222" s="26"/>
      <c r="JI222" s="26"/>
      <c r="JJ222" s="26"/>
      <c r="JK222" s="26"/>
      <c r="JL222" s="26"/>
      <c r="JM222" s="26"/>
      <c r="JN222" s="26"/>
      <c r="JO222" s="26"/>
      <c r="JP222" s="26"/>
      <c r="JQ222" s="26"/>
      <c r="JR222" s="26"/>
      <c r="JS222" s="26"/>
      <c r="JT222" s="26"/>
      <c r="JU222" s="26"/>
      <c r="JV222" s="26"/>
      <c r="JW222" s="26"/>
      <c r="JX222" s="26"/>
      <c r="JY222" s="26"/>
      <c r="JZ222" s="26"/>
      <c r="KA222" s="26"/>
      <c r="KB222" s="26"/>
      <c r="KC222" s="26"/>
      <c r="KD222" s="26"/>
      <c r="KE222" s="26"/>
      <c r="KF222" s="26"/>
      <c r="KG222" s="26"/>
      <c r="KH222" s="26"/>
      <c r="KI222" s="26"/>
      <c r="KJ222" s="26"/>
      <c r="KK222" s="26"/>
      <c r="KL222" s="26"/>
      <c r="KM222" s="26"/>
      <c r="KN222" s="26"/>
      <c r="KO222" s="26"/>
      <c r="KP222" s="26"/>
      <c r="KQ222" s="26"/>
      <c r="KR222" s="26"/>
      <c r="KS222" s="26"/>
      <c r="KT222" s="26"/>
      <c r="KU222" s="26"/>
      <c r="KV222" s="26"/>
      <c r="KW222" s="26"/>
      <c r="KX222" s="26"/>
      <c r="KY222" s="26"/>
      <c r="KZ222" s="26"/>
      <c r="LA222" s="26"/>
      <c r="LB222" s="26"/>
      <c r="LC222" s="26"/>
      <c r="LD222" s="26"/>
      <c r="LE222" s="26"/>
      <c r="LF222" s="26"/>
      <c r="LG222" s="26"/>
      <c r="LH222" s="26"/>
      <c r="LI222" s="26"/>
      <c r="LJ222" s="26"/>
      <c r="LK222" s="26"/>
      <c r="LL222" s="26"/>
      <c r="LM222" s="26"/>
      <c r="LN222" s="26"/>
      <c r="LO222" s="26"/>
      <c r="LP222" s="26"/>
      <c r="LQ222" s="26"/>
      <c r="LR222" s="26"/>
      <c r="LS222" s="26"/>
      <c r="LT222" s="26"/>
      <c r="LU222" s="26"/>
      <c r="LV222" s="26"/>
      <c r="LW222" s="26"/>
      <c r="LX222" s="26"/>
      <c r="LY222" s="26"/>
      <c r="LZ222" s="26"/>
      <c r="MA222" s="26"/>
      <c r="MB222" s="26"/>
      <c r="MC222" s="26"/>
      <c r="MD222" s="26"/>
      <c r="ME222" s="26"/>
      <c r="MF222" s="26"/>
      <c r="MG222" s="26"/>
      <c r="MH222" s="26"/>
      <c r="MI222" s="26"/>
      <c r="MJ222" s="26"/>
      <c r="MK222" s="26"/>
      <c r="ML222" s="26"/>
      <c r="MM222" s="26"/>
      <c r="MN222" s="26"/>
      <c r="MO222" s="26"/>
      <c r="MP222" s="26"/>
      <c r="MQ222" s="26"/>
      <c r="MR222" s="26"/>
      <c r="MS222" s="26"/>
      <c r="MT222" s="26"/>
      <c r="MU222" s="26"/>
      <c r="MV222" s="26"/>
      <c r="MW222" s="26"/>
      <c r="MX222" s="26"/>
      <c r="MY222" s="26"/>
      <c r="MZ222" s="26"/>
      <c r="NA222" s="26"/>
      <c r="NB222" s="26"/>
      <c r="NC222" s="26"/>
      <c r="ND222" s="26"/>
      <c r="NE222" s="26"/>
      <c r="NF222" s="26"/>
      <c r="NG222" s="26"/>
      <c r="NH222" s="26"/>
      <c r="NI222" s="26"/>
      <c r="NJ222" s="26"/>
      <c r="NK222" s="26"/>
      <c r="NL222" s="26"/>
      <c r="NM222" s="26"/>
      <c r="NN222" s="26"/>
      <c r="NO222" s="26"/>
      <c r="NP222" s="26"/>
      <c r="NQ222" s="26"/>
      <c r="NR222" s="26"/>
      <c r="NS222" s="26"/>
      <c r="NT222" s="26"/>
      <c r="NU222" s="26"/>
      <c r="NV222" s="26"/>
      <c r="NW222" s="26"/>
      <c r="NX222" s="26"/>
      <c r="NY222" s="26"/>
      <c r="NZ222" s="26"/>
      <c r="OA222" s="26"/>
      <c r="OB222" s="26"/>
      <c r="OC222" s="26"/>
      <c r="OD222" s="26"/>
      <c r="OE222" s="26"/>
      <c r="OF222" s="26"/>
      <c r="OG222" s="26"/>
      <c r="OH222" s="26"/>
      <c r="OI222" s="26"/>
      <c r="OJ222" s="26"/>
      <c r="OK222" s="26"/>
      <c r="OL222" s="26"/>
      <c r="OM222" s="26"/>
      <c r="ON222" s="26"/>
      <c r="OO222" s="26"/>
      <c r="OP222" s="26"/>
      <c r="OQ222" s="26"/>
      <c r="OR222" s="26"/>
      <c r="OS222" s="26"/>
      <c r="OT222" s="26"/>
      <c r="OU222" s="26"/>
      <c r="OV222" s="26"/>
      <c r="OW222" s="26"/>
      <c r="OX222" s="26"/>
      <c r="OY222" s="26"/>
      <c r="OZ222" s="26"/>
      <c r="PA222" s="26"/>
      <c r="PB222" s="26"/>
      <c r="PC222" s="26"/>
      <c r="PD222" s="26"/>
      <c r="PE222" s="26"/>
      <c r="PF222" s="26"/>
      <c r="PG222" s="26"/>
      <c r="PH222" s="26"/>
      <c r="PI222" s="26"/>
      <c r="PJ222" s="26"/>
      <c r="PK222" s="26"/>
      <c r="PL222" s="26"/>
      <c r="PM222" s="26"/>
      <c r="PN222" s="26"/>
      <c r="PO222" s="26"/>
      <c r="PP222" s="26"/>
      <c r="PQ222" s="26"/>
      <c r="PR222" s="26"/>
      <c r="PS222" s="26"/>
      <c r="PT222" s="26"/>
      <c r="PU222" s="26"/>
      <c r="PV222" s="26"/>
      <c r="PW222" s="26"/>
      <c r="PX222" s="26"/>
      <c r="PY222" s="26"/>
      <c r="PZ222" s="26"/>
      <c r="QA222" s="26"/>
      <c r="QB222" s="26"/>
      <c r="QC222" s="26"/>
      <c r="QD222" s="26"/>
      <c r="QE222" s="26"/>
      <c r="QF222" s="26"/>
      <c r="QG222" s="26"/>
      <c r="QH222" s="26"/>
      <c r="QI222" s="26"/>
      <c r="QJ222" s="26"/>
      <c r="QK222" s="26"/>
      <c r="QL222" s="26"/>
      <c r="QM222" s="26"/>
      <c r="QN222" s="26"/>
      <c r="QO222" s="26"/>
      <c r="QP222" s="26"/>
      <c r="QQ222" s="26"/>
      <c r="QR222" s="26"/>
      <c r="QS222" s="26"/>
      <c r="QT222" s="26"/>
      <c r="QU222" s="26"/>
      <c r="QV222" s="26"/>
      <c r="QW222" s="26"/>
      <c r="QX222" s="26"/>
      <c r="QY222" s="26"/>
      <c r="QZ222" s="26"/>
      <c r="RA222" s="26"/>
      <c r="RB222" s="26"/>
      <c r="RC222" s="26"/>
      <c r="RD222" s="26"/>
      <c r="RE222" s="26"/>
      <c r="RF222" s="26"/>
      <c r="RG222" s="26"/>
      <c r="RH222" s="26"/>
      <c r="RI222" s="26"/>
      <c r="RJ222" s="26"/>
      <c r="RK222" s="26"/>
      <c r="RL222" s="26"/>
      <c r="RM222" s="26"/>
      <c r="RN222" s="26"/>
      <c r="RO222" s="26"/>
      <c r="RP222" s="26"/>
      <c r="RQ222" s="26"/>
      <c r="RR222" s="26"/>
      <c r="RS222" s="26"/>
      <c r="RT222" s="26"/>
      <c r="RU222" s="26"/>
      <c r="RV222" s="26"/>
      <c r="RW222" s="26"/>
      <c r="RX222" s="26"/>
      <c r="RY222" s="26"/>
      <c r="RZ222" s="26"/>
      <c r="SA222" s="26"/>
      <c r="SB222" s="26"/>
      <c r="SC222" s="26"/>
      <c r="SD222" s="26"/>
      <c r="SE222" s="26"/>
      <c r="SF222" s="26"/>
      <c r="SG222" s="26"/>
      <c r="SH222" s="26"/>
      <c r="SI222" s="26"/>
      <c r="SJ222" s="26"/>
      <c r="SK222" s="26"/>
      <c r="SL222" s="26"/>
      <c r="SM222" s="26"/>
      <c r="SN222" s="26"/>
      <c r="SO222" s="26"/>
      <c r="SP222" s="26"/>
      <c r="SQ222" s="26"/>
      <c r="SR222" s="26"/>
      <c r="SS222" s="26"/>
      <c r="ST222" s="26"/>
      <c r="SU222" s="26"/>
      <c r="SV222" s="26"/>
      <c r="SW222" s="26"/>
      <c r="SX222" s="26"/>
      <c r="SY222" s="26"/>
      <c r="SZ222" s="26"/>
      <c r="TA222" s="26"/>
      <c r="TB222" s="26"/>
      <c r="TC222" s="26"/>
      <c r="TD222" s="26"/>
      <c r="TE222" s="26"/>
      <c r="TF222" s="26"/>
      <c r="TG222" s="26"/>
      <c r="TH222" s="26"/>
      <c r="TI222" s="26"/>
    </row>
    <row r="223" spans="1:529" s="23" customFormat="1" ht="54.75" customHeight="1" x14ac:dyDescent="0.25">
      <c r="A223" s="43" t="s">
        <v>223</v>
      </c>
      <c r="B223" s="44" t="str">
        <f>'дод 4'!A130</f>
        <v>6084</v>
      </c>
      <c r="C223" s="44" t="str">
        <f>'дод 4'!B130</f>
        <v>0610</v>
      </c>
      <c r="D223" s="24" t="str">
        <f>'дод 4'!C130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23" s="66">
        <f t="shared" si="119"/>
        <v>84906</v>
      </c>
      <c r="F223" s="66"/>
      <c r="G223" s="66"/>
      <c r="H223" s="66"/>
      <c r="I223" s="66">
        <v>84906</v>
      </c>
      <c r="J223" s="66">
        <f t="shared" si="121"/>
        <v>77703.06</v>
      </c>
      <c r="K223" s="66"/>
      <c r="L223" s="68"/>
      <c r="M223" s="66"/>
      <c r="N223" s="66"/>
      <c r="O223" s="66">
        <f>46724+30979.06</f>
        <v>77703.06</v>
      </c>
      <c r="P223" s="66">
        <f t="shared" si="120"/>
        <v>162609.06</v>
      </c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  <c r="IW223" s="26"/>
      <c r="IX223" s="26"/>
      <c r="IY223" s="26"/>
      <c r="IZ223" s="26"/>
      <c r="JA223" s="26"/>
      <c r="JB223" s="26"/>
      <c r="JC223" s="26"/>
      <c r="JD223" s="26"/>
      <c r="JE223" s="26"/>
      <c r="JF223" s="26"/>
      <c r="JG223" s="26"/>
      <c r="JH223" s="26"/>
      <c r="JI223" s="26"/>
      <c r="JJ223" s="26"/>
      <c r="JK223" s="26"/>
      <c r="JL223" s="26"/>
      <c r="JM223" s="26"/>
      <c r="JN223" s="26"/>
      <c r="JO223" s="26"/>
      <c r="JP223" s="26"/>
      <c r="JQ223" s="26"/>
      <c r="JR223" s="26"/>
      <c r="JS223" s="26"/>
      <c r="JT223" s="26"/>
      <c r="JU223" s="26"/>
      <c r="JV223" s="26"/>
      <c r="JW223" s="26"/>
      <c r="JX223" s="26"/>
      <c r="JY223" s="26"/>
      <c r="JZ223" s="26"/>
      <c r="KA223" s="26"/>
      <c r="KB223" s="26"/>
      <c r="KC223" s="26"/>
      <c r="KD223" s="26"/>
      <c r="KE223" s="26"/>
      <c r="KF223" s="26"/>
      <c r="KG223" s="26"/>
      <c r="KH223" s="26"/>
      <c r="KI223" s="26"/>
      <c r="KJ223" s="26"/>
      <c r="KK223" s="26"/>
      <c r="KL223" s="26"/>
      <c r="KM223" s="26"/>
      <c r="KN223" s="26"/>
      <c r="KO223" s="26"/>
      <c r="KP223" s="26"/>
      <c r="KQ223" s="26"/>
      <c r="KR223" s="26"/>
      <c r="KS223" s="26"/>
      <c r="KT223" s="26"/>
      <c r="KU223" s="26"/>
      <c r="KV223" s="26"/>
      <c r="KW223" s="26"/>
      <c r="KX223" s="26"/>
      <c r="KY223" s="26"/>
      <c r="KZ223" s="26"/>
      <c r="LA223" s="26"/>
      <c r="LB223" s="26"/>
      <c r="LC223" s="26"/>
      <c r="LD223" s="26"/>
      <c r="LE223" s="26"/>
      <c r="LF223" s="26"/>
      <c r="LG223" s="26"/>
      <c r="LH223" s="26"/>
      <c r="LI223" s="26"/>
      <c r="LJ223" s="26"/>
      <c r="LK223" s="26"/>
      <c r="LL223" s="26"/>
      <c r="LM223" s="26"/>
      <c r="LN223" s="26"/>
      <c r="LO223" s="26"/>
      <c r="LP223" s="26"/>
      <c r="LQ223" s="26"/>
      <c r="LR223" s="26"/>
      <c r="LS223" s="26"/>
      <c r="LT223" s="26"/>
      <c r="LU223" s="26"/>
      <c r="LV223" s="26"/>
      <c r="LW223" s="26"/>
      <c r="LX223" s="26"/>
      <c r="LY223" s="26"/>
      <c r="LZ223" s="26"/>
      <c r="MA223" s="26"/>
      <c r="MB223" s="26"/>
      <c r="MC223" s="26"/>
      <c r="MD223" s="26"/>
      <c r="ME223" s="26"/>
      <c r="MF223" s="26"/>
      <c r="MG223" s="26"/>
      <c r="MH223" s="26"/>
      <c r="MI223" s="26"/>
      <c r="MJ223" s="26"/>
      <c r="MK223" s="26"/>
      <c r="ML223" s="26"/>
      <c r="MM223" s="26"/>
      <c r="MN223" s="26"/>
      <c r="MO223" s="26"/>
      <c r="MP223" s="26"/>
      <c r="MQ223" s="26"/>
      <c r="MR223" s="26"/>
      <c r="MS223" s="26"/>
      <c r="MT223" s="26"/>
      <c r="MU223" s="26"/>
      <c r="MV223" s="26"/>
      <c r="MW223" s="26"/>
      <c r="MX223" s="26"/>
      <c r="MY223" s="26"/>
      <c r="MZ223" s="26"/>
      <c r="NA223" s="26"/>
      <c r="NB223" s="26"/>
      <c r="NC223" s="26"/>
      <c r="ND223" s="26"/>
      <c r="NE223" s="26"/>
      <c r="NF223" s="26"/>
      <c r="NG223" s="26"/>
      <c r="NH223" s="26"/>
      <c r="NI223" s="26"/>
      <c r="NJ223" s="26"/>
      <c r="NK223" s="26"/>
      <c r="NL223" s="26"/>
      <c r="NM223" s="26"/>
      <c r="NN223" s="26"/>
      <c r="NO223" s="26"/>
      <c r="NP223" s="26"/>
      <c r="NQ223" s="26"/>
      <c r="NR223" s="26"/>
      <c r="NS223" s="26"/>
      <c r="NT223" s="26"/>
      <c r="NU223" s="26"/>
      <c r="NV223" s="26"/>
      <c r="NW223" s="26"/>
      <c r="NX223" s="26"/>
      <c r="NY223" s="26"/>
      <c r="NZ223" s="26"/>
      <c r="OA223" s="26"/>
      <c r="OB223" s="26"/>
      <c r="OC223" s="26"/>
      <c r="OD223" s="26"/>
      <c r="OE223" s="26"/>
      <c r="OF223" s="26"/>
      <c r="OG223" s="26"/>
      <c r="OH223" s="26"/>
      <c r="OI223" s="26"/>
      <c r="OJ223" s="26"/>
      <c r="OK223" s="26"/>
      <c r="OL223" s="26"/>
      <c r="OM223" s="26"/>
      <c r="ON223" s="26"/>
      <c r="OO223" s="26"/>
      <c r="OP223" s="26"/>
      <c r="OQ223" s="26"/>
      <c r="OR223" s="26"/>
      <c r="OS223" s="26"/>
      <c r="OT223" s="26"/>
      <c r="OU223" s="26"/>
      <c r="OV223" s="26"/>
      <c r="OW223" s="26"/>
      <c r="OX223" s="26"/>
      <c r="OY223" s="26"/>
      <c r="OZ223" s="26"/>
      <c r="PA223" s="26"/>
      <c r="PB223" s="26"/>
      <c r="PC223" s="26"/>
      <c r="PD223" s="26"/>
      <c r="PE223" s="26"/>
      <c r="PF223" s="26"/>
      <c r="PG223" s="26"/>
      <c r="PH223" s="26"/>
      <c r="PI223" s="26"/>
      <c r="PJ223" s="26"/>
      <c r="PK223" s="26"/>
      <c r="PL223" s="26"/>
      <c r="PM223" s="26"/>
      <c r="PN223" s="26"/>
      <c r="PO223" s="26"/>
      <c r="PP223" s="26"/>
      <c r="PQ223" s="26"/>
      <c r="PR223" s="26"/>
      <c r="PS223" s="26"/>
      <c r="PT223" s="26"/>
      <c r="PU223" s="26"/>
      <c r="PV223" s="26"/>
      <c r="PW223" s="26"/>
      <c r="PX223" s="26"/>
      <c r="PY223" s="26"/>
      <c r="PZ223" s="26"/>
      <c r="QA223" s="26"/>
      <c r="QB223" s="26"/>
      <c r="QC223" s="26"/>
      <c r="QD223" s="26"/>
      <c r="QE223" s="26"/>
      <c r="QF223" s="26"/>
      <c r="QG223" s="26"/>
      <c r="QH223" s="26"/>
      <c r="QI223" s="26"/>
      <c r="QJ223" s="26"/>
      <c r="QK223" s="26"/>
      <c r="QL223" s="26"/>
      <c r="QM223" s="26"/>
      <c r="QN223" s="26"/>
      <c r="QO223" s="26"/>
      <c r="QP223" s="26"/>
      <c r="QQ223" s="26"/>
      <c r="QR223" s="26"/>
      <c r="QS223" s="26"/>
      <c r="QT223" s="26"/>
      <c r="QU223" s="26"/>
      <c r="QV223" s="26"/>
      <c r="QW223" s="26"/>
      <c r="QX223" s="26"/>
      <c r="QY223" s="26"/>
      <c r="QZ223" s="26"/>
      <c r="RA223" s="26"/>
      <c r="RB223" s="26"/>
      <c r="RC223" s="26"/>
      <c r="RD223" s="26"/>
      <c r="RE223" s="26"/>
      <c r="RF223" s="26"/>
      <c r="RG223" s="26"/>
      <c r="RH223" s="26"/>
      <c r="RI223" s="26"/>
      <c r="RJ223" s="26"/>
      <c r="RK223" s="26"/>
      <c r="RL223" s="26"/>
      <c r="RM223" s="26"/>
      <c r="RN223" s="26"/>
      <c r="RO223" s="26"/>
      <c r="RP223" s="26"/>
      <c r="RQ223" s="26"/>
      <c r="RR223" s="26"/>
      <c r="RS223" s="26"/>
      <c r="RT223" s="26"/>
      <c r="RU223" s="26"/>
      <c r="RV223" s="26"/>
      <c r="RW223" s="26"/>
      <c r="RX223" s="26"/>
      <c r="RY223" s="26"/>
      <c r="RZ223" s="26"/>
      <c r="SA223" s="26"/>
      <c r="SB223" s="26"/>
      <c r="SC223" s="26"/>
      <c r="SD223" s="26"/>
      <c r="SE223" s="26"/>
      <c r="SF223" s="26"/>
      <c r="SG223" s="26"/>
      <c r="SH223" s="26"/>
      <c r="SI223" s="26"/>
      <c r="SJ223" s="26"/>
      <c r="SK223" s="26"/>
      <c r="SL223" s="26"/>
      <c r="SM223" s="26"/>
      <c r="SN223" s="26"/>
      <c r="SO223" s="26"/>
      <c r="SP223" s="26"/>
      <c r="SQ223" s="26"/>
      <c r="SR223" s="26"/>
      <c r="SS223" s="26"/>
      <c r="ST223" s="26"/>
      <c r="SU223" s="26"/>
      <c r="SV223" s="26"/>
      <c r="SW223" s="26"/>
      <c r="SX223" s="26"/>
      <c r="SY223" s="26"/>
      <c r="SZ223" s="26"/>
      <c r="TA223" s="26"/>
      <c r="TB223" s="26"/>
      <c r="TC223" s="26"/>
      <c r="TD223" s="26"/>
      <c r="TE223" s="26"/>
      <c r="TF223" s="26"/>
      <c r="TG223" s="26"/>
      <c r="TH223" s="26"/>
      <c r="TI223" s="26"/>
    </row>
    <row r="224" spans="1:529" s="23" customFormat="1" ht="24" customHeight="1" x14ac:dyDescent="0.25">
      <c r="A224" s="43" t="s">
        <v>297</v>
      </c>
      <c r="B224" s="44" t="str">
        <f>'дод 4'!A140</f>
        <v>7310</v>
      </c>
      <c r="C224" s="44" t="str">
        <f>'дод 4'!B140</f>
        <v>0443</v>
      </c>
      <c r="D224" s="24" t="str">
        <f>'дод 4'!C140</f>
        <v>Будівництво об'єктів житлово-комунального господарства</v>
      </c>
      <c r="E224" s="66">
        <f t="shared" si="119"/>
        <v>0</v>
      </c>
      <c r="F224" s="66"/>
      <c r="G224" s="66"/>
      <c r="H224" s="66"/>
      <c r="I224" s="66"/>
      <c r="J224" s="66">
        <f t="shared" si="121"/>
        <v>5885000</v>
      </c>
      <c r="K224" s="66">
        <f>3000000+1590000+1295000</f>
        <v>5885000</v>
      </c>
      <c r="L224" s="66"/>
      <c r="M224" s="66"/>
      <c r="N224" s="66"/>
      <c r="O224" s="66">
        <f>3000000+1590000+1295000</f>
        <v>5885000</v>
      </c>
      <c r="P224" s="66">
        <f t="shared" si="120"/>
        <v>5885000</v>
      </c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  <c r="IW224" s="26"/>
      <c r="IX224" s="26"/>
      <c r="IY224" s="26"/>
      <c r="IZ224" s="26"/>
      <c r="JA224" s="26"/>
      <c r="JB224" s="26"/>
      <c r="JC224" s="26"/>
      <c r="JD224" s="26"/>
      <c r="JE224" s="26"/>
      <c r="JF224" s="26"/>
      <c r="JG224" s="26"/>
      <c r="JH224" s="26"/>
      <c r="JI224" s="26"/>
      <c r="JJ224" s="26"/>
      <c r="JK224" s="26"/>
      <c r="JL224" s="26"/>
      <c r="JM224" s="26"/>
      <c r="JN224" s="26"/>
      <c r="JO224" s="26"/>
      <c r="JP224" s="26"/>
      <c r="JQ224" s="26"/>
      <c r="JR224" s="26"/>
      <c r="JS224" s="26"/>
      <c r="JT224" s="26"/>
      <c r="JU224" s="26"/>
      <c r="JV224" s="26"/>
      <c r="JW224" s="26"/>
      <c r="JX224" s="26"/>
      <c r="JY224" s="26"/>
      <c r="JZ224" s="26"/>
      <c r="KA224" s="26"/>
      <c r="KB224" s="26"/>
      <c r="KC224" s="26"/>
      <c r="KD224" s="26"/>
      <c r="KE224" s="26"/>
      <c r="KF224" s="26"/>
      <c r="KG224" s="26"/>
      <c r="KH224" s="26"/>
      <c r="KI224" s="26"/>
      <c r="KJ224" s="26"/>
      <c r="KK224" s="26"/>
      <c r="KL224" s="26"/>
      <c r="KM224" s="26"/>
      <c r="KN224" s="26"/>
      <c r="KO224" s="26"/>
      <c r="KP224" s="26"/>
      <c r="KQ224" s="26"/>
      <c r="KR224" s="26"/>
      <c r="KS224" s="26"/>
      <c r="KT224" s="26"/>
      <c r="KU224" s="26"/>
      <c r="KV224" s="26"/>
      <c r="KW224" s="26"/>
      <c r="KX224" s="26"/>
      <c r="KY224" s="26"/>
      <c r="KZ224" s="26"/>
      <c r="LA224" s="26"/>
      <c r="LB224" s="26"/>
      <c r="LC224" s="26"/>
      <c r="LD224" s="26"/>
      <c r="LE224" s="26"/>
      <c r="LF224" s="26"/>
      <c r="LG224" s="26"/>
      <c r="LH224" s="26"/>
      <c r="LI224" s="26"/>
      <c r="LJ224" s="26"/>
      <c r="LK224" s="26"/>
      <c r="LL224" s="26"/>
      <c r="LM224" s="26"/>
      <c r="LN224" s="26"/>
      <c r="LO224" s="26"/>
      <c r="LP224" s="26"/>
      <c r="LQ224" s="26"/>
      <c r="LR224" s="26"/>
      <c r="LS224" s="26"/>
      <c r="LT224" s="26"/>
      <c r="LU224" s="26"/>
      <c r="LV224" s="26"/>
      <c r="LW224" s="26"/>
      <c r="LX224" s="26"/>
      <c r="LY224" s="26"/>
      <c r="LZ224" s="26"/>
      <c r="MA224" s="26"/>
      <c r="MB224" s="26"/>
      <c r="MC224" s="26"/>
      <c r="MD224" s="26"/>
      <c r="ME224" s="26"/>
      <c r="MF224" s="26"/>
      <c r="MG224" s="26"/>
      <c r="MH224" s="26"/>
      <c r="MI224" s="26"/>
      <c r="MJ224" s="26"/>
      <c r="MK224" s="26"/>
      <c r="ML224" s="26"/>
      <c r="MM224" s="26"/>
      <c r="MN224" s="26"/>
      <c r="MO224" s="26"/>
      <c r="MP224" s="26"/>
      <c r="MQ224" s="26"/>
      <c r="MR224" s="26"/>
      <c r="MS224" s="26"/>
      <c r="MT224" s="26"/>
      <c r="MU224" s="26"/>
      <c r="MV224" s="26"/>
      <c r="MW224" s="26"/>
      <c r="MX224" s="26"/>
      <c r="MY224" s="26"/>
      <c r="MZ224" s="26"/>
      <c r="NA224" s="26"/>
      <c r="NB224" s="26"/>
      <c r="NC224" s="26"/>
      <c r="ND224" s="26"/>
      <c r="NE224" s="26"/>
      <c r="NF224" s="26"/>
      <c r="NG224" s="26"/>
      <c r="NH224" s="26"/>
      <c r="NI224" s="26"/>
      <c r="NJ224" s="26"/>
      <c r="NK224" s="26"/>
      <c r="NL224" s="26"/>
      <c r="NM224" s="26"/>
      <c r="NN224" s="26"/>
      <c r="NO224" s="26"/>
      <c r="NP224" s="26"/>
      <c r="NQ224" s="26"/>
      <c r="NR224" s="26"/>
      <c r="NS224" s="26"/>
      <c r="NT224" s="26"/>
      <c r="NU224" s="26"/>
      <c r="NV224" s="26"/>
      <c r="NW224" s="26"/>
      <c r="NX224" s="26"/>
      <c r="NY224" s="26"/>
      <c r="NZ224" s="26"/>
      <c r="OA224" s="26"/>
      <c r="OB224" s="26"/>
      <c r="OC224" s="26"/>
      <c r="OD224" s="26"/>
      <c r="OE224" s="26"/>
      <c r="OF224" s="26"/>
      <c r="OG224" s="26"/>
      <c r="OH224" s="26"/>
      <c r="OI224" s="26"/>
      <c r="OJ224" s="26"/>
      <c r="OK224" s="26"/>
      <c r="OL224" s="26"/>
      <c r="OM224" s="26"/>
      <c r="ON224" s="26"/>
      <c r="OO224" s="26"/>
      <c r="OP224" s="26"/>
      <c r="OQ224" s="26"/>
      <c r="OR224" s="26"/>
      <c r="OS224" s="26"/>
      <c r="OT224" s="26"/>
      <c r="OU224" s="26"/>
      <c r="OV224" s="26"/>
      <c r="OW224" s="26"/>
      <c r="OX224" s="26"/>
      <c r="OY224" s="26"/>
      <c r="OZ224" s="26"/>
      <c r="PA224" s="26"/>
      <c r="PB224" s="26"/>
      <c r="PC224" s="26"/>
      <c r="PD224" s="26"/>
      <c r="PE224" s="26"/>
      <c r="PF224" s="26"/>
      <c r="PG224" s="26"/>
      <c r="PH224" s="26"/>
      <c r="PI224" s="26"/>
      <c r="PJ224" s="26"/>
      <c r="PK224" s="26"/>
      <c r="PL224" s="26"/>
      <c r="PM224" s="26"/>
      <c r="PN224" s="26"/>
      <c r="PO224" s="26"/>
      <c r="PP224" s="26"/>
      <c r="PQ224" s="26"/>
      <c r="PR224" s="26"/>
      <c r="PS224" s="26"/>
      <c r="PT224" s="26"/>
      <c r="PU224" s="26"/>
      <c r="PV224" s="26"/>
      <c r="PW224" s="26"/>
      <c r="PX224" s="26"/>
      <c r="PY224" s="26"/>
      <c r="PZ224" s="26"/>
      <c r="QA224" s="26"/>
      <c r="QB224" s="26"/>
      <c r="QC224" s="26"/>
      <c r="QD224" s="26"/>
      <c r="QE224" s="26"/>
      <c r="QF224" s="26"/>
      <c r="QG224" s="26"/>
      <c r="QH224" s="26"/>
      <c r="QI224" s="26"/>
      <c r="QJ224" s="26"/>
      <c r="QK224" s="26"/>
      <c r="QL224" s="26"/>
      <c r="QM224" s="26"/>
      <c r="QN224" s="26"/>
      <c r="QO224" s="26"/>
      <c r="QP224" s="26"/>
      <c r="QQ224" s="26"/>
      <c r="QR224" s="26"/>
      <c r="QS224" s="26"/>
      <c r="QT224" s="26"/>
      <c r="QU224" s="26"/>
      <c r="QV224" s="26"/>
      <c r="QW224" s="26"/>
      <c r="QX224" s="26"/>
      <c r="QY224" s="26"/>
      <c r="QZ224" s="26"/>
      <c r="RA224" s="26"/>
      <c r="RB224" s="26"/>
      <c r="RC224" s="26"/>
      <c r="RD224" s="26"/>
      <c r="RE224" s="26"/>
      <c r="RF224" s="26"/>
      <c r="RG224" s="26"/>
      <c r="RH224" s="26"/>
      <c r="RI224" s="26"/>
      <c r="RJ224" s="26"/>
      <c r="RK224" s="26"/>
      <c r="RL224" s="26"/>
      <c r="RM224" s="26"/>
      <c r="RN224" s="26"/>
      <c r="RO224" s="26"/>
      <c r="RP224" s="26"/>
      <c r="RQ224" s="26"/>
      <c r="RR224" s="26"/>
      <c r="RS224" s="26"/>
      <c r="RT224" s="26"/>
      <c r="RU224" s="26"/>
      <c r="RV224" s="26"/>
      <c r="RW224" s="26"/>
      <c r="RX224" s="26"/>
      <c r="RY224" s="26"/>
      <c r="RZ224" s="26"/>
      <c r="SA224" s="26"/>
      <c r="SB224" s="26"/>
      <c r="SC224" s="26"/>
      <c r="SD224" s="26"/>
      <c r="SE224" s="26"/>
      <c r="SF224" s="26"/>
      <c r="SG224" s="26"/>
      <c r="SH224" s="26"/>
      <c r="SI224" s="26"/>
      <c r="SJ224" s="26"/>
      <c r="SK224" s="26"/>
      <c r="SL224" s="26"/>
      <c r="SM224" s="26"/>
      <c r="SN224" s="26"/>
      <c r="SO224" s="26"/>
      <c r="SP224" s="26"/>
      <c r="SQ224" s="26"/>
      <c r="SR224" s="26"/>
      <c r="SS224" s="26"/>
      <c r="ST224" s="26"/>
      <c r="SU224" s="26"/>
      <c r="SV224" s="26"/>
      <c r="SW224" s="26"/>
      <c r="SX224" s="26"/>
      <c r="SY224" s="26"/>
      <c r="SZ224" s="26"/>
      <c r="TA224" s="26"/>
      <c r="TB224" s="26"/>
      <c r="TC224" s="26"/>
      <c r="TD224" s="26"/>
      <c r="TE224" s="26"/>
      <c r="TF224" s="26"/>
      <c r="TG224" s="26"/>
      <c r="TH224" s="26"/>
      <c r="TI224" s="26"/>
    </row>
    <row r="225" spans="1:529" s="23" customFormat="1" ht="21.75" customHeight="1" x14ac:dyDescent="0.25">
      <c r="A225" s="43" t="s">
        <v>298</v>
      </c>
      <c r="B225" s="44" t="str">
        <f>'дод 4'!A141</f>
        <v>7321</v>
      </c>
      <c r="C225" s="44" t="str">
        <f>'дод 4'!B141</f>
        <v>0443</v>
      </c>
      <c r="D225" s="24" t="str">
        <f>'дод 4'!C141</f>
        <v>Будівництво освітніх установ та закладів</v>
      </c>
      <c r="E225" s="66">
        <f t="shared" si="119"/>
        <v>0</v>
      </c>
      <c r="F225" s="66"/>
      <c r="G225" s="66"/>
      <c r="H225" s="66"/>
      <c r="I225" s="66"/>
      <c r="J225" s="66">
        <f t="shared" si="121"/>
        <v>4993835</v>
      </c>
      <c r="K225" s="66">
        <f>9000000-5000000+993835</f>
        <v>4993835</v>
      </c>
      <c r="L225" s="66"/>
      <c r="M225" s="66"/>
      <c r="N225" s="66"/>
      <c r="O225" s="66">
        <f>9000000-5000000+993835</f>
        <v>4993835</v>
      </c>
      <c r="P225" s="66">
        <f t="shared" si="120"/>
        <v>4993835</v>
      </c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  <c r="IV225" s="26"/>
      <c r="IW225" s="26"/>
      <c r="IX225" s="26"/>
      <c r="IY225" s="26"/>
      <c r="IZ225" s="26"/>
      <c r="JA225" s="26"/>
      <c r="JB225" s="26"/>
      <c r="JC225" s="26"/>
      <c r="JD225" s="26"/>
      <c r="JE225" s="26"/>
      <c r="JF225" s="26"/>
      <c r="JG225" s="26"/>
      <c r="JH225" s="26"/>
      <c r="JI225" s="26"/>
      <c r="JJ225" s="26"/>
      <c r="JK225" s="26"/>
      <c r="JL225" s="26"/>
      <c r="JM225" s="26"/>
      <c r="JN225" s="26"/>
      <c r="JO225" s="26"/>
      <c r="JP225" s="26"/>
      <c r="JQ225" s="26"/>
      <c r="JR225" s="26"/>
      <c r="JS225" s="26"/>
      <c r="JT225" s="26"/>
      <c r="JU225" s="26"/>
      <c r="JV225" s="26"/>
      <c r="JW225" s="26"/>
      <c r="JX225" s="26"/>
      <c r="JY225" s="26"/>
      <c r="JZ225" s="26"/>
      <c r="KA225" s="26"/>
      <c r="KB225" s="26"/>
      <c r="KC225" s="26"/>
      <c r="KD225" s="26"/>
      <c r="KE225" s="26"/>
      <c r="KF225" s="26"/>
      <c r="KG225" s="26"/>
      <c r="KH225" s="26"/>
      <c r="KI225" s="26"/>
      <c r="KJ225" s="26"/>
      <c r="KK225" s="26"/>
      <c r="KL225" s="26"/>
      <c r="KM225" s="26"/>
      <c r="KN225" s="26"/>
      <c r="KO225" s="26"/>
      <c r="KP225" s="26"/>
      <c r="KQ225" s="26"/>
      <c r="KR225" s="26"/>
      <c r="KS225" s="26"/>
      <c r="KT225" s="26"/>
      <c r="KU225" s="26"/>
      <c r="KV225" s="26"/>
      <c r="KW225" s="26"/>
      <c r="KX225" s="26"/>
      <c r="KY225" s="26"/>
      <c r="KZ225" s="26"/>
      <c r="LA225" s="26"/>
      <c r="LB225" s="26"/>
      <c r="LC225" s="26"/>
      <c r="LD225" s="26"/>
      <c r="LE225" s="26"/>
      <c r="LF225" s="26"/>
      <c r="LG225" s="26"/>
      <c r="LH225" s="26"/>
      <c r="LI225" s="26"/>
      <c r="LJ225" s="26"/>
      <c r="LK225" s="26"/>
      <c r="LL225" s="26"/>
      <c r="LM225" s="26"/>
      <c r="LN225" s="26"/>
      <c r="LO225" s="26"/>
      <c r="LP225" s="26"/>
      <c r="LQ225" s="26"/>
      <c r="LR225" s="26"/>
      <c r="LS225" s="26"/>
      <c r="LT225" s="26"/>
      <c r="LU225" s="26"/>
      <c r="LV225" s="26"/>
      <c r="LW225" s="26"/>
      <c r="LX225" s="26"/>
      <c r="LY225" s="26"/>
      <c r="LZ225" s="26"/>
      <c r="MA225" s="26"/>
      <c r="MB225" s="26"/>
      <c r="MC225" s="26"/>
      <c r="MD225" s="26"/>
      <c r="ME225" s="26"/>
      <c r="MF225" s="26"/>
      <c r="MG225" s="26"/>
      <c r="MH225" s="26"/>
      <c r="MI225" s="26"/>
      <c r="MJ225" s="26"/>
      <c r="MK225" s="26"/>
      <c r="ML225" s="26"/>
      <c r="MM225" s="26"/>
      <c r="MN225" s="26"/>
      <c r="MO225" s="26"/>
      <c r="MP225" s="26"/>
      <c r="MQ225" s="26"/>
      <c r="MR225" s="26"/>
      <c r="MS225" s="26"/>
      <c r="MT225" s="26"/>
      <c r="MU225" s="26"/>
      <c r="MV225" s="26"/>
      <c r="MW225" s="26"/>
      <c r="MX225" s="26"/>
      <c r="MY225" s="26"/>
      <c r="MZ225" s="26"/>
      <c r="NA225" s="26"/>
      <c r="NB225" s="26"/>
      <c r="NC225" s="26"/>
      <c r="ND225" s="26"/>
      <c r="NE225" s="26"/>
      <c r="NF225" s="26"/>
      <c r="NG225" s="26"/>
      <c r="NH225" s="26"/>
      <c r="NI225" s="26"/>
      <c r="NJ225" s="26"/>
      <c r="NK225" s="26"/>
      <c r="NL225" s="26"/>
      <c r="NM225" s="26"/>
      <c r="NN225" s="26"/>
      <c r="NO225" s="26"/>
      <c r="NP225" s="26"/>
      <c r="NQ225" s="26"/>
      <c r="NR225" s="26"/>
      <c r="NS225" s="26"/>
      <c r="NT225" s="26"/>
      <c r="NU225" s="26"/>
      <c r="NV225" s="26"/>
      <c r="NW225" s="26"/>
      <c r="NX225" s="26"/>
      <c r="NY225" s="26"/>
      <c r="NZ225" s="26"/>
      <c r="OA225" s="26"/>
      <c r="OB225" s="26"/>
      <c r="OC225" s="26"/>
      <c r="OD225" s="26"/>
      <c r="OE225" s="26"/>
      <c r="OF225" s="26"/>
      <c r="OG225" s="26"/>
      <c r="OH225" s="26"/>
      <c r="OI225" s="26"/>
      <c r="OJ225" s="26"/>
      <c r="OK225" s="26"/>
      <c r="OL225" s="26"/>
      <c r="OM225" s="26"/>
      <c r="ON225" s="26"/>
      <c r="OO225" s="26"/>
      <c r="OP225" s="26"/>
      <c r="OQ225" s="26"/>
      <c r="OR225" s="26"/>
      <c r="OS225" s="26"/>
      <c r="OT225" s="26"/>
      <c r="OU225" s="26"/>
      <c r="OV225" s="26"/>
      <c r="OW225" s="26"/>
      <c r="OX225" s="26"/>
      <c r="OY225" s="26"/>
      <c r="OZ225" s="26"/>
      <c r="PA225" s="26"/>
      <c r="PB225" s="26"/>
      <c r="PC225" s="26"/>
      <c r="PD225" s="26"/>
      <c r="PE225" s="26"/>
      <c r="PF225" s="26"/>
      <c r="PG225" s="26"/>
      <c r="PH225" s="26"/>
      <c r="PI225" s="26"/>
      <c r="PJ225" s="26"/>
      <c r="PK225" s="26"/>
      <c r="PL225" s="26"/>
      <c r="PM225" s="26"/>
      <c r="PN225" s="26"/>
      <c r="PO225" s="26"/>
      <c r="PP225" s="26"/>
      <c r="PQ225" s="26"/>
      <c r="PR225" s="26"/>
      <c r="PS225" s="26"/>
      <c r="PT225" s="26"/>
      <c r="PU225" s="26"/>
      <c r="PV225" s="26"/>
      <c r="PW225" s="26"/>
      <c r="PX225" s="26"/>
      <c r="PY225" s="26"/>
      <c r="PZ225" s="26"/>
      <c r="QA225" s="26"/>
      <c r="QB225" s="26"/>
      <c r="QC225" s="26"/>
      <c r="QD225" s="26"/>
      <c r="QE225" s="26"/>
      <c r="QF225" s="26"/>
      <c r="QG225" s="26"/>
      <c r="QH225" s="26"/>
      <c r="QI225" s="26"/>
      <c r="QJ225" s="26"/>
      <c r="QK225" s="26"/>
      <c r="QL225" s="26"/>
      <c r="QM225" s="26"/>
      <c r="QN225" s="26"/>
      <c r="QO225" s="26"/>
      <c r="QP225" s="26"/>
      <c r="QQ225" s="26"/>
      <c r="QR225" s="26"/>
      <c r="QS225" s="26"/>
      <c r="QT225" s="26"/>
      <c r="QU225" s="26"/>
      <c r="QV225" s="26"/>
      <c r="QW225" s="26"/>
      <c r="QX225" s="26"/>
      <c r="QY225" s="26"/>
      <c r="QZ225" s="26"/>
      <c r="RA225" s="26"/>
      <c r="RB225" s="26"/>
      <c r="RC225" s="26"/>
      <c r="RD225" s="26"/>
      <c r="RE225" s="26"/>
      <c r="RF225" s="26"/>
      <c r="RG225" s="26"/>
      <c r="RH225" s="26"/>
      <c r="RI225" s="26"/>
      <c r="RJ225" s="26"/>
      <c r="RK225" s="26"/>
      <c r="RL225" s="26"/>
      <c r="RM225" s="26"/>
      <c r="RN225" s="26"/>
      <c r="RO225" s="26"/>
      <c r="RP225" s="26"/>
      <c r="RQ225" s="26"/>
      <c r="RR225" s="26"/>
      <c r="RS225" s="26"/>
      <c r="RT225" s="26"/>
      <c r="RU225" s="26"/>
      <c r="RV225" s="26"/>
      <c r="RW225" s="26"/>
      <c r="RX225" s="26"/>
      <c r="RY225" s="26"/>
      <c r="RZ225" s="26"/>
      <c r="SA225" s="26"/>
      <c r="SB225" s="26"/>
      <c r="SC225" s="26"/>
      <c r="SD225" s="26"/>
      <c r="SE225" s="26"/>
      <c r="SF225" s="26"/>
      <c r="SG225" s="26"/>
      <c r="SH225" s="26"/>
      <c r="SI225" s="26"/>
      <c r="SJ225" s="26"/>
      <c r="SK225" s="26"/>
      <c r="SL225" s="26"/>
      <c r="SM225" s="26"/>
      <c r="SN225" s="26"/>
      <c r="SO225" s="26"/>
      <c r="SP225" s="26"/>
      <c r="SQ225" s="26"/>
      <c r="SR225" s="26"/>
      <c r="SS225" s="26"/>
      <c r="ST225" s="26"/>
      <c r="SU225" s="26"/>
      <c r="SV225" s="26"/>
      <c r="SW225" s="26"/>
      <c r="SX225" s="26"/>
      <c r="SY225" s="26"/>
      <c r="SZ225" s="26"/>
      <c r="TA225" s="26"/>
      <c r="TB225" s="26"/>
      <c r="TC225" s="26"/>
      <c r="TD225" s="26"/>
      <c r="TE225" s="26"/>
      <c r="TF225" s="26"/>
      <c r="TG225" s="26"/>
      <c r="TH225" s="26"/>
      <c r="TI225" s="26"/>
    </row>
    <row r="226" spans="1:529" s="23" customFormat="1" ht="18" customHeight="1" x14ac:dyDescent="0.25">
      <c r="A226" s="43" t="s">
        <v>300</v>
      </c>
      <c r="B226" s="44" t="str">
        <f>'дод 4'!A142</f>
        <v>7322</v>
      </c>
      <c r="C226" s="44" t="str">
        <f>'дод 4'!B142</f>
        <v>0443</v>
      </c>
      <c r="D226" s="24" t="str">
        <f>'дод 4'!C142</f>
        <v>Будівництво медичних установ та закладів</v>
      </c>
      <c r="E226" s="66">
        <f t="shared" si="119"/>
        <v>0</v>
      </c>
      <c r="F226" s="66"/>
      <c r="G226" s="66"/>
      <c r="H226" s="66"/>
      <c r="I226" s="66"/>
      <c r="J226" s="66">
        <f t="shared" si="121"/>
        <v>12454849</v>
      </c>
      <c r="K226" s="66">
        <f>7000000-3286719+741568+8000000</f>
        <v>12454849</v>
      </c>
      <c r="L226" s="66"/>
      <c r="M226" s="66"/>
      <c r="N226" s="66"/>
      <c r="O226" s="66">
        <f>7000000-3286719+741568+8000000</f>
        <v>12454849</v>
      </c>
      <c r="P226" s="66">
        <f t="shared" si="120"/>
        <v>12454849</v>
      </c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  <c r="IV226" s="26"/>
      <c r="IW226" s="26"/>
      <c r="IX226" s="26"/>
      <c r="IY226" s="26"/>
      <c r="IZ226" s="26"/>
      <c r="JA226" s="26"/>
      <c r="JB226" s="26"/>
      <c r="JC226" s="26"/>
      <c r="JD226" s="26"/>
      <c r="JE226" s="26"/>
      <c r="JF226" s="26"/>
      <c r="JG226" s="26"/>
      <c r="JH226" s="26"/>
      <c r="JI226" s="26"/>
      <c r="JJ226" s="26"/>
      <c r="JK226" s="26"/>
      <c r="JL226" s="26"/>
      <c r="JM226" s="26"/>
      <c r="JN226" s="26"/>
      <c r="JO226" s="26"/>
      <c r="JP226" s="26"/>
      <c r="JQ226" s="26"/>
      <c r="JR226" s="26"/>
      <c r="JS226" s="26"/>
      <c r="JT226" s="26"/>
      <c r="JU226" s="26"/>
      <c r="JV226" s="26"/>
      <c r="JW226" s="26"/>
      <c r="JX226" s="26"/>
      <c r="JY226" s="26"/>
      <c r="JZ226" s="26"/>
      <c r="KA226" s="26"/>
      <c r="KB226" s="26"/>
      <c r="KC226" s="26"/>
      <c r="KD226" s="26"/>
      <c r="KE226" s="26"/>
      <c r="KF226" s="26"/>
      <c r="KG226" s="26"/>
      <c r="KH226" s="26"/>
      <c r="KI226" s="26"/>
      <c r="KJ226" s="26"/>
      <c r="KK226" s="26"/>
      <c r="KL226" s="26"/>
      <c r="KM226" s="26"/>
      <c r="KN226" s="26"/>
      <c r="KO226" s="26"/>
      <c r="KP226" s="26"/>
      <c r="KQ226" s="26"/>
      <c r="KR226" s="26"/>
      <c r="KS226" s="26"/>
      <c r="KT226" s="26"/>
      <c r="KU226" s="26"/>
      <c r="KV226" s="26"/>
      <c r="KW226" s="26"/>
      <c r="KX226" s="26"/>
      <c r="KY226" s="26"/>
      <c r="KZ226" s="26"/>
      <c r="LA226" s="26"/>
      <c r="LB226" s="26"/>
      <c r="LC226" s="26"/>
      <c r="LD226" s="26"/>
      <c r="LE226" s="26"/>
      <c r="LF226" s="26"/>
      <c r="LG226" s="26"/>
      <c r="LH226" s="26"/>
      <c r="LI226" s="26"/>
      <c r="LJ226" s="26"/>
      <c r="LK226" s="26"/>
      <c r="LL226" s="26"/>
      <c r="LM226" s="26"/>
      <c r="LN226" s="26"/>
      <c r="LO226" s="26"/>
      <c r="LP226" s="26"/>
      <c r="LQ226" s="26"/>
      <c r="LR226" s="26"/>
      <c r="LS226" s="26"/>
      <c r="LT226" s="26"/>
      <c r="LU226" s="26"/>
      <c r="LV226" s="26"/>
      <c r="LW226" s="26"/>
      <c r="LX226" s="26"/>
      <c r="LY226" s="26"/>
      <c r="LZ226" s="26"/>
      <c r="MA226" s="26"/>
      <c r="MB226" s="26"/>
      <c r="MC226" s="26"/>
      <c r="MD226" s="26"/>
      <c r="ME226" s="26"/>
      <c r="MF226" s="26"/>
      <c r="MG226" s="26"/>
      <c r="MH226" s="26"/>
      <c r="MI226" s="26"/>
      <c r="MJ226" s="26"/>
      <c r="MK226" s="26"/>
      <c r="ML226" s="26"/>
      <c r="MM226" s="26"/>
      <c r="MN226" s="26"/>
      <c r="MO226" s="26"/>
      <c r="MP226" s="26"/>
      <c r="MQ226" s="26"/>
      <c r="MR226" s="26"/>
      <c r="MS226" s="26"/>
      <c r="MT226" s="26"/>
      <c r="MU226" s="26"/>
      <c r="MV226" s="26"/>
      <c r="MW226" s="26"/>
      <c r="MX226" s="26"/>
      <c r="MY226" s="26"/>
      <c r="MZ226" s="26"/>
      <c r="NA226" s="26"/>
      <c r="NB226" s="26"/>
      <c r="NC226" s="26"/>
      <c r="ND226" s="26"/>
      <c r="NE226" s="26"/>
      <c r="NF226" s="26"/>
      <c r="NG226" s="26"/>
      <c r="NH226" s="26"/>
      <c r="NI226" s="26"/>
      <c r="NJ226" s="26"/>
      <c r="NK226" s="26"/>
      <c r="NL226" s="26"/>
      <c r="NM226" s="26"/>
      <c r="NN226" s="26"/>
      <c r="NO226" s="26"/>
      <c r="NP226" s="26"/>
      <c r="NQ226" s="26"/>
      <c r="NR226" s="26"/>
      <c r="NS226" s="26"/>
      <c r="NT226" s="26"/>
      <c r="NU226" s="26"/>
      <c r="NV226" s="26"/>
      <c r="NW226" s="26"/>
      <c r="NX226" s="26"/>
      <c r="NY226" s="26"/>
      <c r="NZ226" s="26"/>
      <c r="OA226" s="26"/>
      <c r="OB226" s="26"/>
      <c r="OC226" s="26"/>
      <c r="OD226" s="26"/>
      <c r="OE226" s="26"/>
      <c r="OF226" s="26"/>
      <c r="OG226" s="26"/>
      <c r="OH226" s="26"/>
      <c r="OI226" s="26"/>
      <c r="OJ226" s="26"/>
      <c r="OK226" s="26"/>
      <c r="OL226" s="26"/>
      <c r="OM226" s="26"/>
      <c r="ON226" s="26"/>
      <c r="OO226" s="26"/>
      <c r="OP226" s="26"/>
      <c r="OQ226" s="26"/>
      <c r="OR226" s="26"/>
      <c r="OS226" s="26"/>
      <c r="OT226" s="26"/>
      <c r="OU226" s="26"/>
      <c r="OV226" s="26"/>
      <c r="OW226" s="26"/>
      <c r="OX226" s="26"/>
      <c r="OY226" s="26"/>
      <c r="OZ226" s="26"/>
      <c r="PA226" s="26"/>
      <c r="PB226" s="26"/>
      <c r="PC226" s="26"/>
      <c r="PD226" s="26"/>
      <c r="PE226" s="26"/>
      <c r="PF226" s="26"/>
      <c r="PG226" s="26"/>
      <c r="PH226" s="26"/>
      <c r="PI226" s="26"/>
      <c r="PJ226" s="26"/>
      <c r="PK226" s="26"/>
      <c r="PL226" s="26"/>
      <c r="PM226" s="26"/>
      <c r="PN226" s="26"/>
      <c r="PO226" s="26"/>
      <c r="PP226" s="26"/>
      <c r="PQ226" s="26"/>
      <c r="PR226" s="26"/>
      <c r="PS226" s="26"/>
      <c r="PT226" s="26"/>
      <c r="PU226" s="26"/>
      <c r="PV226" s="26"/>
      <c r="PW226" s="26"/>
      <c r="PX226" s="26"/>
      <c r="PY226" s="26"/>
      <c r="PZ226" s="26"/>
      <c r="QA226" s="26"/>
      <c r="QB226" s="26"/>
      <c r="QC226" s="26"/>
      <c r="QD226" s="26"/>
      <c r="QE226" s="26"/>
      <c r="QF226" s="26"/>
      <c r="QG226" s="26"/>
      <c r="QH226" s="26"/>
      <c r="QI226" s="26"/>
      <c r="QJ226" s="26"/>
      <c r="QK226" s="26"/>
      <c r="QL226" s="26"/>
      <c r="QM226" s="26"/>
      <c r="QN226" s="26"/>
      <c r="QO226" s="26"/>
      <c r="QP226" s="26"/>
      <c r="QQ226" s="26"/>
      <c r="QR226" s="26"/>
      <c r="QS226" s="26"/>
      <c r="QT226" s="26"/>
      <c r="QU226" s="26"/>
      <c r="QV226" s="26"/>
      <c r="QW226" s="26"/>
      <c r="QX226" s="26"/>
      <c r="QY226" s="26"/>
      <c r="QZ226" s="26"/>
      <c r="RA226" s="26"/>
      <c r="RB226" s="26"/>
      <c r="RC226" s="26"/>
      <c r="RD226" s="26"/>
      <c r="RE226" s="26"/>
      <c r="RF226" s="26"/>
      <c r="RG226" s="26"/>
      <c r="RH226" s="26"/>
      <c r="RI226" s="26"/>
      <c r="RJ226" s="26"/>
      <c r="RK226" s="26"/>
      <c r="RL226" s="26"/>
      <c r="RM226" s="26"/>
      <c r="RN226" s="26"/>
      <c r="RO226" s="26"/>
      <c r="RP226" s="26"/>
      <c r="RQ226" s="26"/>
      <c r="RR226" s="26"/>
      <c r="RS226" s="26"/>
      <c r="RT226" s="26"/>
      <c r="RU226" s="26"/>
      <c r="RV226" s="26"/>
      <c r="RW226" s="26"/>
      <c r="RX226" s="26"/>
      <c r="RY226" s="26"/>
      <c r="RZ226" s="26"/>
      <c r="SA226" s="26"/>
      <c r="SB226" s="26"/>
      <c r="SC226" s="26"/>
      <c r="SD226" s="26"/>
      <c r="SE226" s="26"/>
      <c r="SF226" s="26"/>
      <c r="SG226" s="26"/>
      <c r="SH226" s="26"/>
      <c r="SI226" s="26"/>
      <c r="SJ226" s="26"/>
      <c r="SK226" s="26"/>
      <c r="SL226" s="26"/>
      <c r="SM226" s="26"/>
      <c r="SN226" s="26"/>
      <c r="SO226" s="26"/>
      <c r="SP226" s="26"/>
      <c r="SQ226" s="26"/>
      <c r="SR226" s="26"/>
      <c r="SS226" s="26"/>
      <c r="ST226" s="26"/>
      <c r="SU226" s="26"/>
      <c r="SV226" s="26"/>
      <c r="SW226" s="26"/>
      <c r="SX226" s="26"/>
      <c r="SY226" s="26"/>
      <c r="SZ226" s="26"/>
      <c r="TA226" s="26"/>
      <c r="TB226" s="26"/>
      <c r="TC226" s="26"/>
      <c r="TD226" s="26"/>
      <c r="TE226" s="26"/>
      <c r="TF226" s="26"/>
      <c r="TG226" s="26"/>
      <c r="TH226" s="26"/>
      <c r="TI226" s="26"/>
    </row>
    <row r="227" spans="1:529" s="23" customFormat="1" ht="30" x14ac:dyDescent="0.25">
      <c r="A227" s="43" t="s">
        <v>395</v>
      </c>
      <c r="B227" s="44">
        <f>'дод 4'!A144</f>
        <v>7325</v>
      </c>
      <c r="C227" s="43" t="s">
        <v>119</v>
      </c>
      <c r="D227" s="24" t="str">
        <f>'дод 4'!C144</f>
        <v>Будівництво споруд, установ та закладів фізичної культури і спорту</v>
      </c>
      <c r="E227" s="66">
        <f t="shared" si="119"/>
        <v>0</v>
      </c>
      <c r="F227" s="66"/>
      <c r="G227" s="66"/>
      <c r="H227" s="66"/>
      <c r="I227" s="66"/>
      <c r="J227" s="66">
        <f t="shared" si="121"/>
        <v>11000000</v>
      </c>
      <c r="K227" s="66">
        <f>7000000-7000000+100000+400000+10000000+500000</f>
        <v>11000000</v>
      </c>
      <c r="L227" s="66"/>
      <c r="M227" s="66"/>
      <c r="N227" s="66"/>
      <c r="O227" s="66">
        <f>7000000-7000000+100000+400000+10000000+500000</f>
        <v>11000000</v>
      </c>
      <c r="P227" s="66">
        <f t="shared" si="120"/>
        <v>11000000</v>
      </c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  <c r="IV227" s="26"/>
      <c r="IW227" s="26"/>
      <c r="IX227" s="26"/>
      <c r="IY227" s="26"/>
      <c r="IZ227" s="26"/>
      <c r="JA227" s="26"/>
      <c r="JB227" s="26"/>
      <c r="JC227" s="26"/>
      <c r="JD227" s="26"/>
      <c r="JE227" s="26"/>
      <c r="JF227" s="26"/>
      <c r="JG227" s="26"/>
      <c r="JH227" s="26"/>
      <c r="JI227" s="26"/>
      <c r="JJ227" s="26"/>
      <c r="JK227" s="26"/>
      <c r="JL227" s="26"/>
      <c r="JM227" s="26"/>
      <c r="JN227" s="26"/>
      <c r="JO227" s="26"/>
      <c r="JP227" s="26"/>
      <c r="JQ227" s="26"/>
      <c r="JR227" s="26"/>
      <c r="JS227" s="26"/>
      <c r="JT227" s="26"/>
      <c r="JU227" s="26"/>
      <c r="JV227" s="26"/>
      <c r="JW227" s="26"/>
      <c r="JX227" s="26"/>
      <c r="JY227" s="26"/>
      <c r="JZ227" s="26"/>
      <c r="KA227" s="26"/>
      <c r="KB227" s="26"/>
      <c r="KC227" s="26"/>
      <c r="KD227" s="26"/>
      <c r="KE227" s="26"/>
      <c r="KF227" s="26"/>
      <c r="KG227" s="26"/>
      <c r="KH227" s="26"/>
      <c r="KI227" s="26"/>
      <c r="KJ227" s="26"/>
      <c r="KK227" s="26"/>
      <c r="KL227" s="26"/>
      <c r="KM227" s="26"/>
      <c r="KN227" s="26"/>
      <c r="KO227" s="26"/>
      <c r="KP227" s="26"/>
      <c r="KQ227" s="26"/>
      <c r="KR227" s="26"/>
      <c r="KS227" s="26"/>
      <c r="KT227" s="26"/>
      <c r="KU227" s="26"/>
      <c r="KV227" s="26"/>
      <c r="KW227" s="26"/>
      <c r="KX227" s="26"/>
      <c r="KY227" s="26"/>
      <c r="KZ227" s="26"/>
      <c r="LA227" s="26"/>
      <c r="LB227" s="26"/>
      <c r="LC227" s="26"/>
      <c r="LD227" s="26"/>
      <c r="LE227" s="26"/>
      <c r="LF227" s="26"/>
      <c r="LG227" s="26"/>
      <c r="LH227" s="26"/>
      <c r="LI227" s="26"/>
      <c r="LJ227" s="26"/>
      <c r="LK227" s="26"/>
      <c r="LL227" s="26"/>
      <c r="LM227" s="26"/>
      <c r="LN227" s="26"/>
      <c r="LO227" s="26"/>
      <c r="LP227" s="26"/>
      <c r="LQ227" s="26"/>
      <c r="LR227" s="26"/>
      <c r="LS227" s="26"/>
      <c r="LT227" s="26"/>
      <c r="LU227" s="26"/>
      <c r="LV227" s="26"/>
      <c r="LW227" s="26"/>
      <c r="LX227" s="26"/>
      <c r="LY227" s="26"/>
      <c r="LZ227" s="26"/>
      <c r="MA227" s="26"/>
      <c r="MB227" s="26"/>
      <c r="MC227" s="26"/>
      <c r="MD227" s="26"/>
      <c r="ME227" s="26"/>
      <c r="MF227" s="26"/>
      <c r="MG227" s="26"/>
      <c r="MH227" s="26"/>
      <c r="MI227" s="26"/>
      <c r="MJ227" s="26"/>
      <c r="MK227" s="26"/>
      <c r="ML227" s="26"/>
      <c r="MM227" s="26"/>
      <c r="MN227" s="26"/>
      <c r="MO227" s="26"/>
      <c r="MP227" s="26"/>
      <c r="MQ227" s="26"/>
      <c r="MR227" s="26"/>
      <c r="MS227" s="26"/>
      <c r="MT227" s="26"/>
      <c r="MU227" s="26"/>
      <c r="MV227" s="26"/>
      <c r="MW227" s="26"/>
      <c r="MX227" s="26"/>
      <c r="MY227" s="26"/>
      <c r="MZ227" s="26"/>
      <c r="NA227" s="26"/>
      <c r="NB227" s="26"/>
      <c r="NC227" s="26"/>
      <c r="ND227" s="26"/>
      <c r="NE227" s="26"/>
      <c r="NF227" s="26"/>
      <c r="NG227" s="26"/>
      <c r="NH227" s="26"/>
      <c r="NI227" s="26"/>
      <c r="NJ227" s="26"/>
      <c r="NK227" s="26"/>
      <c r="NL227" s="26"/>
      <c r="NM227" s="26"/>
      <c r="NN227" s="26"/>
      <c r="NO227" s="26"/>
      <c r="NP227" s="26"/>
      <c r="NQ227" s="26"/>
      <c r="NR227" s="26"/>
      <c r="NS227" s="26"/>
      <c r="NT227" s="26"/>
      <c r="NU227" s="26"/>
      <c r="NV227" s="26"/>
      <c r="NW227" s="26"/>
      <c r="NX227" s="26"/>
      <c r="NY227" s="26"/>
      <c r="NZ227" s="26"/>
      <c r="OA227" s="26"/>
      <c r="OB227" s="26"/>
      <c r="OC227" s="26"/>
      <c r="OD227" s="26"/>
      <c r="OE227" s="26"/>
      <c r="OF227" s="26"/>
      <c r="OG227" s="26"/>
      <c r="OH227" s="26"/>
      <c r="OI227" s="26"/>
      <c r="OJ227" s="26"/>
      <c r="OK227" s="26"/>
      <c r="OL227" s="26"/>
      <c r="OM227" s="26"/>
      <c r="ON227" s="26"/>
      <c r="OO227" s="26"/>
      <c r="OP227" s="26"/>
      <c r="OQ227" s="26"/>
      <c r="OR227" s="26"/>
      <c r="OS227" s="26"/>
      <c r="OT227" s="26"/>
      <c r="OU227" s="26"/>
      <c r="OV227" s="26"/>
      <c r="OW227" s="26"/>
      <c r="OX227" s="26"/>
      <c r="OY227" s="26"/>
      <c r="OZ227" s="26"/>
      <c r="PA227" s="26"/>
      <c r="PB227" s="26"/>
      <c r="PC227" s="26"/>
      <c r="PD227" s="26"/>
      <c r="PE227" s="26"/>
      <c r="PF227" s="26"/>
      <c r="PG227" s="26"/>
      <c r="PH227" s="26"/>
      <c r="PI227" s="26"/>
      <c r="PJ227" s="26"/>
      <c r="PK227" s="26"/>
      <c r="PL227" s="26"/>
      <c r="PM227" s="26"/>
      <c r="PN227" s="26"/>
      <c r="PO227" s="26"/>
      <c r="PP227" s="26"/>
      <c r="PQ227" s="26"/>
      <c r="PR227" s="26"/>
      <c r="PS227" s="26"/>
      <c r="PT227" s="26"/>
      <c r="PU227" s="26"/>
      <c r="PV227" s="26"/>
      <c r="PW227" s="26"/>
      <c r="PX227" s="26"/>
      <c r="PY227" s="26"/>
      <c r="PZ227" s="26"/>
      <c r="QA227" s="26"/>
      <c r="QB227" s="26"/>
      <c r="QC227" s="26"/>
      <c r="QD227" s="26"/>
      <c r="QE227" s="26"/>
      <c r="QF227" s="26"/>
      <c r="QG227" s="26"/>
      <c r="QH227" s="26"/>
      <c r="QI227" s="26"/>
      <c r="QJ227" s="26"/>
      <c r="QK227" s="26"/>
      <c r="QL227" s="26"/>
      <c r="QM227" s="26"/>
      <c r="QN227" s="26"/>
      <c r="QO227" s="26"/>
      <c r="QP227" s="26"/>
      <c r="QQ227" s="26"/>
      <c r="QR227" s="26"/>
      <c r="QS227" s="26"/>
      <c r="QT227" s="26"/>
      <c r="QU227" s="26"/>
      <c r="QV227" s="26"/>
      <c r="QW227" s="26"/>
      <c r="QX227" s="26"/>
      <c r="QY227" s="26"/>
      <c r="QZ227" s="26"/>
      <c r="RA227" s="26"/>
      <c r="RB227" s="26"/>
      <c r="RC227" s="26"/>
      <c r="RD227" s="26"/>
      <c r="RE227" s="26"/>
      <c r="RF227" s="26"/>
      <c r="RG227" s="26"/>
      <c r="RH227" s="26"/>
      <c r="RI227" s="26"/>
      <c r="RJ227" s="26"/>
      <c r="RK227" s="26"/>
      <c r="RL227" s="26"/>
      <c r="RM227" s="26"/>
      <c r="RN227" s="26"/>
      <c r="RO227" s="26"/>
      <c r="RP227" s="26"/>
      <c r="RQ227" s="26"/>
      <c r="RR227" s="26"/>
      <c r="RS227" s="26"/>
      <c r="RT227" s="26"/>
      <c r="RU227" s="26"/>
      <c r="RV227" s="26"/>
      <c r="RW227" s="26"/>
      <c r="RX227" s="26"/>
      <c r="RY227" s="26"/>
      <c r="RZ227" s="26"/>
      <c r="SA227" s="26"/>
      <c r="SB227" s="26"/>
      <c r="SC227" s="26"/>
      <c r="SD227" s="26"/>
      <c r="SE227" s="26"/>
      <c r="SF227" s="26"/>
      <c r="SG227" s="26"/>
      <c r="SH227" s="26"/>
      <c r="SI227" s="26"/>
      <c r="SJ227" s="26"/>
      <c r="SK227" s="26"/>
      <c r="SL227" s="26"/>
      <c r="SM227" s="26"/>
      <c r="SN227" s="26"/>
      <c r="SO227" s="26"/>
      <c r="SP227" s="26"/>
      <c r="SQ227" s="26"/>
      <c r="SR227" s="26"/>
      <c r="SS227" s="26"/>
      <c r="ST227" s="26"/>
      <c r="SU227" s="26"/>
      <c r="SV227" s="26"/>
      <c r="SW227" s="26"/>
      <c r="SX227" s="26"/>
      <c r="SY227" s="26"/>
      <c r="SZ227" s="26"/>
      <c r="TA227" s="26"/>
      <c r="TB227" s="26"/>
      <c r="TC227" s="26"/>
      <c r="TD227" s="26"/>
      <c r="TE227" s="26"/>
      <c r="TF227" s="26"/>
      <c r="TG227" s="26"/>
      <c r="TH227" s="26"/>
      <c r="TI227" s="26"/>
    </row>
    <row r="228" spans="1:529" s="23" customFormat="1" ht="23.25" customHeight="1" x14ac:dyDescent="0.25">
      <c r="A228" s="43" t="s">
        <v>302</v>
      </c>
      <c r="B228" s="44" t="str">
        <f>'дод 4'!A145</f>
        <v>7330</v>
      </c>
      <c r="C228" s="44" t="str">
        <f>'дод 4'!B145</f>
        <v>0443</v>
      </c>
      <c r="D228" s="24" t="str">
        <f>'дод 4'!C145</f>
        <v>Будівництво інших об'єктів комунальної власності</v>
      </c>
      <c r="E228" s="66">
        <f t="shared" si="119"/>
        <v>0</v>
      </c>
      <c r="F228" s="66"/>
      <c r="G228" s="66"/>
      <c r="H228" s="66"/>
      <c r="I228" s="66"/>
      <c r="J228" s="66">
        <f t="shared" si="121"/>
        <v>56918378</v>
      </c>
      <c r="K228" s="66">
        <f>41200000+100000-1000000+300000+1000000+1000000-1800000+860151+8034260+1003444+2000000+282968-10000000+290000-3311391+400000+558946+4830709+100000+10157970+1804021+1207300-2100000</f>
        <v>56918378</v>
      </c>
      <c r="L228" s="66"/>
      <c r="M228" s="66"/>
      <c r="N228" s="66"/>
      <c r="O228" s="66">
        <f>41200000+100000-1000000+300000+1000000+1000000-1800000+860151+8034260+1003444+2000000+282968-10000000+290000-3311391+400000+558946+4830709+100000+10157970+1804021+1207300-2100000</f>
        <v>56918378</v>
      </c>
      <c r="P228" s="66">
        <f t="shared" si="120"/>
        <v>56918378</v>
      </c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  <c r="IV228" s="26"/>
      <c r="IW228" s="26"/>
      <c r="IX228" s="26"/>
      <c r="IY228" s="26"/>
      <c r="IZ228" s="26"/>
      <c r="JA228" s="26"/>
      <c r="JB228" s="26"/>
      <c r="JC228" s="26"/>
      <c r="JD228" s="26"/>
      <c r="JE228" s="26"/>
      <c r="JF228" s="26"/>
      <c r="JG228" s="26"/>
      <c r="JH228" s="26"/>
      <c r="JI228" s="26"/>
      <c r="JJ228" s="26"/>
      <c r="JK228" s="26"/>
      <c r="JL228" s="26"/>
      <c r="JM228" s="26"/>
      <c r="JN228" s="26"/>
      <c r="JO228" s="26"/>
      <c r="JP228" s="26"/>
      <c r="JQ228" s="26"/>
      <c r="JR228" s="26"/>
      <c r="JS228" s="26"/>
      <c r="JT228" s="26"/>
      <c r="JU228" s="26"/>
      <c r="JV228" s="26"/>
      <c r="JW228" s="26"/>
      <c r="JX228" s="26"/>
      <c r="JY228" s="26"/>
      <c r="JZ228" s="26"/>
      <c r="KA228" s="26"/>
      <c r="KB228" s="26"/>
      <c r="KC228" s="26"/>
      <c r="KD228" s="26"/>
      <c r="KE228" s="26"/>
      <c r="KF228" s="26"/>
      <c r="KG228" s="26"/>
      <c r="KH228" s="26"/>
      <c r="KI228" s="26"/>
      <c r="KJ228" s="26"/>
      <c r="KK228" s="26"/>
      <c r="KL228" s="26"/>
      <c r="KM228" s="26"/>
      <c r="KN228" s="26"/>
      <c r="KO228" s="26"/>
      <c r="KP228" s="26"/>
      <c r="KQ228" s="26"/>
      <c r="KR228" s="26"/>
      <c r="KS228" s="26"/>
      <c r="KT228" s="26"/>
      <c r="KU228" s="26"/>
      <c r="KV228" s="26"/>
      <c r="KW228" s="26"/>
      <c r="KX228" s="26"/>
      <c r="KY228" s="26"/>
      <c r="KZ228" s="26"/>
      <c r="LA228" s="26"/>
      <c r="LB228" s="26"/>
      <c r="LC228" s="26"/>
      <c r="LD228" s="26"/>
      <c r="LE228" s="26"/>
      <c r="LF228" s="26"/>
      <c r="LG228" s="26"/>
      <c r="LH228" s="26"/>
      <c r="LI228" s="26"/>
      <c r="LJ228" s="26"/>
      <c r="LK228" s="26"/>
      <c r="LL228" s="26"/>
      <c r="LM228" s="26"/>
      <c r="LN228" s="26"/>
      <c r="LO228" s="26"/>
      <c r="LP228" s="26"/>
      <c r="LQ228" s="26"/>
      <c r="LR228" s="26"/>
      <c r="LS228" s="26"/>
      <c r="LT228" s="26"/>
      <c r="LU228" s="26"/>
      <c r="LV228" s="26"/>
      <c r="LW228" s="26"/>
      <c r="LX228" s="26"/>
      <c r="LY228" s="26"/>
      <c r="LZ228" s="26"/>
      <c r="MA228" s="26"/>
      <c r="MB228" s="26"/>
      <c r="MC228" s="26"/>
      <c r="MD228" s="26"/>
      <c r="ME228" s="26"/>
      <c r="MF228" s="26"/>
      <c r="MG228" s="26"/>
      <c r="MH228" s="26"/>
      <c r="MI228" s="26"/>
      <c r="MJ228" s="26"/>
      <c r="MK228" s="26"/>
      <c r="ML228" s="26"/>
      <c r="MM228" s="26"/>
      <c r="MN228" s="26"/>
      <c r="MO228" s="26"/>
      <c r="MP228" s="26"/>
      <c r="MQ228" s="26"/>
      <c r="MR228" s="26"/>
      <c r="MS228" s="26"/>
      <c r="MT228" s="26"/>
      <c r="MU228" s="26"/>
      <c r="MV228" s="26"/>
      <c r="MW228" s="26"/>
      <c r="MX228" s="26"/>
      <c r="MY228" s="26"/>
      <c r="MZ228" s="26"/>
      <c r="NA228" s="26"/>
      <c r="NB228" s="26"/>
      <c r="NC228" s="26"/>
      <c r="ND228" s="26"/>
      <c r="NE228" s="26"/>
      <c r="NF228" s="26"/>
      <c r="NG228" s="26"/>
      <c r="NH228" s="26"/>
      <c r="NI228" s="26"/>
      <c r="NJ228" s="26"/>
      <c r="NK228" s="26"/>
      <c r="NL228" s="26"/>
      <c r="NM228" s="26"/>
      <c r="NN228" s="26"/>
      <c r="NO228" s="26"/>
      <c r="NP228" s="26"/>
      <c r="NQ228" s="26"/>
      <c r="NR228" s="26"/>
      <c r="NS228" s="26"/>
      <c r="NT228" s="26"/>
      <c r="NU228" s="26"/>
      <c r="NV228" s="26"/>
      <c r="NW228" s="26"/>
      <c r="NX228" s="26"/>
      <c r="NY228" s="26"/>
      <c r="NZ228" s="26"/>
      <c r="OA228" s="26"/>
      <c r="OB228" s="26"/>
      <c r="OC228" s="26"/>
      <c r="OD228" s="26"/>
      <c r="OE228" s="26"/>
      <c r="OF228" s="26"/>
      <c r="OG228" s="26"/>
      <c r="OH228" s="26"/>
      <c r="OI228" s="26"/>
      <c r="OJ228" s="26"/>
      <c r="OK228" s="26"/>
      <c r="OL228" s="26"/>
      <c r="OM228" s="26"/>
      <c r="ON228" s="26"/>
      <c r="OO228" s="26"/>
      <c r="OP228" s="26"/>
      <c r="OQ228" s="26"/>
      <c r="OR228" s="26"/>
      <c r="OS228" s="26"/>
      <c r="OT228" s="26"/>
      <c r="OU228" s="26"/>
      <c r="OV228" s="26"/>
      <c r="OW228" s="26"/>
      <c r="OX228" s="26"/>
      <c r="OY228" s="26"/>
      <c r="OZ228" s="26"/>
      <c r="PA228" s="26"/>
      <c r="PB228" s="26"/>
      <c r="PC228" s="26"/>
      <c r="PD228" s="26"/>
      <c r="PE228" s="26"/>
      <c r="PF228" s="26"/>
      <c r="PG228" s="26"/>
      <c r="PH228" s="26"/>
      <c r="PI228" s="26"/>
      <c r="PJ228" s="26"/>
      <c r="PK228" s="26"/>
      <c r="PL228" s="26"/>
      <c r="PM228" s="26"/>
      <c r="PN228" s="26"/>
      <c r="PO228" s="26"/>
      <c r="PP228" s="26"/>
      <c r="PQ228" s="26"/>
      <c r="PR228" s="26"/>
      <c r="PS228" s="26"/>
      <c r="PT228" s="26"/>
      <c r="PU228" s="26"/>
      <c r="PV228" s="26"/>
      <c r="PW228" s="26"/>
      <c r="PX228" s="26"/>
      <c r="PY228" s="26"/>
      <c r="PZ228" s="26"/>
      <c r="QA228" s="26"/>
      <c r="QB228" s="26"/>
      <c r="QC228" s="26"/>
      <c r="QD228" s="26"/>
      <c r="QE228" s="26"/>
      <c r="QF228" s="26"/>
      <c r="QG228" s="26"/>
      <c r="QH228" s="26"/>
      <c r="QI228" s="26"/>
      <c r="QJ228" s="26"/>
      <c r="QK228" s="26"/>
      <c r="QL228" s="26"/>
      <c r="QM228" s="26"/>
      <c r="QN228" s="26"/>
      <c r="QO228" s="26"/>
      <c r="QP228" s="26"/>
      <c r="QQ228" s="26"/>
      <c r="QR228" s="26"/>
      <c r="QS228" s="26"/>
      <c r="QT228" s="26"/>
      <c r="QU228" s="26"/>
      <c r="QV228" s="26"/>
      <c r="QW228" s="26"/>
      <c r="QX228" s="26"/>
      <c r="QY228" s="26"/>
      <c r="QZ228" s="26"/>
      <c r="RA228" s="26"/>
      <c r="RB228" s="26"/>
      <c r="RC228" s="26"/>
      <c r="RD228" s="26"/>
      <c r="RE228" s="26"/>
      <c r="RF228" s="26"/>
      <c r="RG228" s="26"/>
      <c r="RH228" s="26"/>
      <c r="RI228" s="26"/>
      <c r="RJ228" s="26"/>
      <c r="RK228" s="26"/>
      <c r="RL228" s="26"/>
      <c r="RM228" s="26"/>
      <c r="RN228" s="26"/>
      <c r="RO228" s="26"/>
      <c r="RP228" s="26"/>
      <c r="RQ228" s="26"/>
      <c r="RR228" s="26"/>
      <c r="RS228" s="26"/>
      <c r="RT228" s="26"/>
      <c r="RU228" s="26"/>
      <c r="RV228" s="26"/>
      <c r="RW228" s="26"/>
      <c r="RX228" s="26"/>
      <c r="RY228" s="26"/>
      <c r="RZ228" s="26"/>
      <c r="SA228" s="26"/>
      <c r="SB228" s="26"/>
      <c r="SC228" s="26"/>
      <c r="SD228" s="26"/>
      <c r="SE228" s="26"/>
      <c r="SF228" s="26"/>
      <c r="SG228" s="26"/>
      <c r="SH228" s="26"/>
      <c r="SI228" s="26"/>
      <c r="SJ228" s="26"/>
      <c r="SK228" s="26"/>
      <c r="SL228" s="26"/>
      <c r="SM228" s="26"/>
      <c r="SN228" s="26"/>
      <c r="SO228" s="26"/>
      <c r="SP228" s="26"/>
      <c r="SQ228" s="26"/>
      <c r="SR228" s="26"/>
      <c r="SS228" s="26"/>
      <c r="ST228" s="26"/>
      <c r="SU228" s="26"/>
      <c r="SV228" s="26"/>
      <c r="SW228" s="26"/>
      <c r="SX228" s="26"/>
      <c r="SY228" s="26"/>
      <c r="SZ228" s="26"/>
      <c r="TA228" s="26"/>
      <c r="TB228" s="26"/>
      <c r="TC228" s="26"/>
      <c r="TD228" s="26"/>
      <c r="TE228" s="26"/>
      <c r="TF228" s="26"/>
      <c r="TG228" s="26"/>
      <c r="TH228" s="26"/>
      <c r="TI228" s="26"/>
    </row>
    <row r="229" spans="1:529" s="23" customFormat="1" ht="23.25" customHeight="1" x14ac:dyDescent="0.25">
      <c r="A229" s="43" t="s">
        <v>521</v>
      </c>
      <c r="B229" s="44">
        <v>7340</v>
      </c>
      <c r="C229" s="43" t="s">
        <v>119</v>
      </c>
      <c r="D229" s="24" t="s">
        <v>1</v>
      </c>
      <c r="E229" s="66">
        <f t="shared" si="119"/>
        <v>0</v>
      </c>
      <c r="F229" s="66"/>
      <c r="G229" s="66"/>
      <c r="H229" s="66"/>
      <c r="I229" s="66"/>
      <c r="J229" s="66">
        <f t="shared" si="121"/>
        <v>673070</v>
      </c>
      <c r="K229" s="66">
        <v>673070</v>
      </c>
      <c r="L229" s="66"/>
      <c r="M229" s="66"/>
      <c r="N229" s="66"/>
      <c r="O229" s="66">
        <v>673070</v>
      </c>
      <c r="P229" s="66">
        <f t="shared" si="120"/>
        <v>673070</v>
      </c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  <c r="IV229" s="26"/>
      <c r="IW229" s="26"/>
      <c r="IX229" s="26"/>
      <c r="IY229" s="26"/>
      <c r="IZ229" s="26"/>
      <c r="JA229" s="26"/>
      <c r="JB229" s="26"/>
      <c r="JC229" s="26"/>
      <c r="JD229" s="26"/>
      <c r="JE229" s="26"/>
      <c r="JF229" s="26"/>
      <c r="JG229" s="26"/>
      <c r="JH229" s="26"/>
      <c r="JI229" s="26"/>
      <c r="JJ229" s="26"/>
      <c r="JK229" s="26"/>
      <c r="JL229" s="26"/>
      <c r="JM229" s="26"/>
      <c r="JN229" s="26"/>
      <c r="JO229" s="26"/>
      <c r="JP229" s="26"/>
      <c r="JQ229" s="26"/>
      <c r="JR229" s="26"/>
      <c r="JS229" s="26"/>
      <c r="JT229" s="26"/>
      <c r="JU229" s="26"/>
      <c r="JV229" s="26"/>
      <c r="JW229" s="26"/>
      <c r="JX229" s="26"/>
      <c r="JY229" s="26"/>
      <c r="JZ229" s="26"/>
      <c r="KA229" s="26"/>
      <c r="KB229" s="26"/>
      <c r="KC229" s="26"/>
      <c r="KD229" s="26"/>
      <c r="KE229" s="26"/>
      <c r="KF229" s="26"/>
      <c r="KG229" s="26"/>
      <c r="KH229" s="26"/>
      <c r="KI229" s="26"/>
      <c r="KJ229" s="26"/>
      <c r="KK229" s="26"/>
      <c r="KL229" s="26"/>
      <c r="KM229" s="26"/>
      <c r="KN229" s="26"/>
      <c r="KO229" s="26"/>
      <c r="KP229" s="26"/>
      <c r="KQ229" s="26"/>
      <c r="KR229" s="26"/>
      <c r="KS229" s="26"/>
      <c r="KT229" s="26"/>
      <c r="KU229" s="26"/>
      <c r="KV229" s="26"/>
      <c r="KW229" s="26"/>
      <c r="KX229" s="26"/>
      <c r="KY229" s="26"/>
      <c r="KZ229" s="26"/>
      <c r="LA229" s="26"/>
      <c r="LB229" s="26"/>
      <c r="LC229" s="26"/>
      <c r="LD229" s="26"/>
      <c r="LE229" s="26"/>
      <c r="LF229" s="26"/>
      <c r="LG229" s="26"/>
      <c r="LH229" s="26"/>
      <c r="LI229" s="26"/>
      <c r="LJ229" s="26"/>
      <c r="LK229" s="26"/>
      <c r="LL229" s="26"/>
      <c r="LM229" s="26"/>
      <c r="LN229" s="26"/>
      <c r="LO229" s="26"/>
      <c r="LP229" s="26"/>
      <c r="LQ229" s="26"/>
      <c r="LR229" s="26"/>
      <c r="LS229" s="26"/>
      <c r="LT229" s="26"/>
      <c r="LU229" s="26"/>
      <c r="LV229" s="26"/>
      <c r="LW229" s="26"/>
      <c r="LX229" s="26"/>
      <c r="LY229" s="26"/>
      <c r="LZ229" s="26"/>
      <c r="MA229" s="26"/>
      <c r="MB229" s="26"/>
      <c r="MC229" s="26"/>
      <c r="MD229" s="26"/>
      <c r="ME229" s="26"/>
      <c r="MF229" s="26"/>
      <c r="MG229" s="26"/>
      <c r="MH229" s="26"/>
      <c r="MI229" s="26"/>
      <c r="MJ229" s="26"/>
      <c r="MK229" s="26"/>
      <c r="ML229" s="26"/>
      <c r="MM229" s="26"/>
      <c r="MN229" s="26"/>
      <c r="MO229" s="26"/>
      <c r="MP229" s="26"/>
      <c r="MQ229" s="26"/>
      <c r="MR229" s="26"/>
      <c r="MS229" s="26"/>
      <c r="MT229" s="26"/>
      <c r="MU229" s="26"/>
      <c r="MV229" s="26"/>
      <c r="MW229" s="26"/>
      <c r="MX229" s="26"/>
      <c r="MY229" s="26"/>
      <c r="MZ229" s="26"/>
      <c r="NA229" s="26"/>
      <c r="NB229" s="26"/>
      <c r="NC229" s="26"/>
      <c r="ND229" s="26"/>
      <c r="NE229" s="26"/>
      <c r="NF229" s="26"/>
      <c r="NG229" s="26"/>
      <c r="NH229" s="26"/>
      <c r="NI229" s="26"/>
      <c r="NJ229" s="26"/>
      <c r="NK229" s="26"/>
      <c r="NL229" s="26"/>
      <c r="NM229" s="26"/>
      <c r="NN229" s="26"/>
      <c r="NO229" s="26"/>
      <c r="NP229" s="26"/>
      <c r="NQ229" s="26"/>
      <c r="NR229" s="26"/>
      <c r="NS229" s="26"/>
      <c r="NT229" s="26"/>
      <c r="NU229" s="26"/>
      <c r="NV229" s="26"/>
      <c r="NW229" s="26"/>
      <c r="NX229" s="26"/>
      <c r="NY229" s="26"/>
      <c r="NZ229" s="26"/>
      <c r="OA229" s="26"/>
      <c r="OB229" s="26"/>
      <c r="OC229" s="26"/>
      <c r="OD229" s="26"/>
      <c r="OE229" s="26"/>
      <c r="OF229" s="26"/>
      <c r="OG229" s="26"/>
      <c r="OH229" s="26"/>
      <c r="OI229" s="26"/>
      <c r="OJ229" s="26"/>
      <c r="OK229" s="26"/>
      <c r="OL229" s="26"/>
      <c r="OM229" s="26"/>
      <c r="ON229" s="26"/>
      <c r="OO229" s="26"/>
      <c r="OP229" s="26"/>
      <c r="OQ229" s="26"/>
      <c r="OR229" s="26"/>
      <c r="OS229" s="26"/>
      <c r="OT229" s="26"/>
      <c r="OU229" s="26"/>
      <c r="OV229" s="26"/>
      <c r="OW229" s="26"/>
      <c r="OX229" s="26"/>
      <c r="OY229" s="26"/>
      <c r="OZ229" s="26"/>
      <c r="PA229" s="26"/>
      <c r="PB229" s="26"/>
      <c r="PC229" s="26"/>
      <c r="PD229" s="26"/>
      <c r="PE229" s="26"/>
      <c r="PF229" s="26"/>
      <c r="PG229" s="26"/>
      <c r="PH229" s="26"/>
      <c r="PI229" s="26"/>
      <c r="PJ229" s="26"/>
      <c r="PK229" s="26"/>
      <c r="PL229" s="26"/>
      <c r="PM229" s="26"/>
      <c r="PN229" s="26"/>
      <c r="PO229" s="26"/>
      <c r="PP229" s="26"/>
      <c r="PQ229" s="26"/>
      <c r="PR229" s="26"/>
      <c r="PS229" s="26"/>
      <c r="PT229" s="26"/>
      <c r="PU229" s="26"/>
      <c r="PV229" s="26"/>
      <c r="PW229" s="26"/>
      <c r="PX229" s="26"/>
      <c r="PY229" s="26"/>
      <c r="PZ229" s="26"/>
      <c r="QA229" s="26"/>
      <c r="QB229" s="26"/>
      <c r="QC229" s="26"/>
      <c r="QD229" s="26"/>
      <c r="QE229" s="26"/>
      <c r="QF229" s="26"/>
      <c r="QG229" s="26"/>
      <c r="QH229" s="26"/>
      <c r="QI229" s="26"/>
      <c r="QJ229" s="26"/>
      <c r="QK229" s="26"/>
      <c r="QL229" s="26"/>
      <c r="QM229" s="26"/>
      <c r="QN229" s="26"/>
      <c r="QO229" s="26"/>
      <c r="QP229" s="26"/>
      <c r="QQ229" s="26"/>
      <c r="QR229" s="26"/>
      <c r="QS229" s="26"/>
      <c r="QT229" s="26"/>
      <c r="QU229" s="26"/>
      <c r="QV229" s="26"/>
      <c r="QW229" s="26"/>
      <c r="QX229" s="26"/>
      <c r="QY229" s="26"/>
      <c r="QZ229" s="26"/>
      <c r="RA229" s="26"/>
      <c r="RB229" s="26"/>
      <c r="RC229" s="26"/>
      <c r="RD229" s="26"/>
      <c r="RE229" s="26"/>
      <c r="RF229" s="26"/>
      <c r="RG229" s="26"/>
      <c r="RH229" s="26"/>
      <c r="RI229" s="26"/>
      <c r="RJ229" s="26"/>
      <c r="RK229" s="26"/>
      <c r="RL229" s="26"/>
      <c r="RM229" s="26"/>
      <c r="RN229" s="26"/>
      <c r="RO229" s="26"/>
      <c r="RP229" s="26"/>
      <c r="RQ229" s="26"/>
      <c r="RR229" s="26"/>
      <c r="RS229" s="26"/>
      <c r="RT229" s="26"/>
      <c r="RU229" s="26"/>
      <c r="RV229" s="26"/>
      <c r="RW229" s="26"/>
      <c r="RX229" s="26"/>
      <c r="RY229" s="26"/>
      <c r="RZ229" s="26"/>
      <c r="SA229" s="26"/>
      <c r="SB229" s="26"/>
      <c r="SC229" s="26"/>
      <c r="SD229" s="26"/>
      <c r="SE229" s="26"/>
      <c r="SF229" s="26"/>
      <c r="SG229" s="26"/>
      <c r="SH229" s="26"/>
      <c r="SI229" s="26"/>
      <c r="SJ229" s="26"/>
      <c r="SK229" s="26"/>
      <c r="SL229" s="26"/>
      <c r="SM229" s="26"/>
      <c r="SN229" s="26"/>
      <c r="SO229" s="26"/>
      <c r="SP229" s="26"/>
      <c r="SQ229" s="26"/>
      <c r="SR229" s="26"/>
      <c r="SS229" s="26"/>
      <c r="ST229" s="26"/>
      <c r="SU229" s="26"/>
      <c r="SV229" s="26"/>
      <c r="SW229" s="26"/>
      <c r="SX229" s="26"/>
      <c r="SY229" s="26"/>
      <c r="SZ229" s="26"/>
      <c r="TA229" s="26"/>
      <c r="TB229" s="26"/>
      <c r="TC229" s="26"/>
      <c r="TD229" s="26"/>
      <c r="TE229" s="26"/>
      <c r="TF229" s="26"/>
      <c r="TG229" s="26"/>
      <c r="TH229" s="26"/>
      <c r="TI229" s="26"/>
    </row>
    <row r="230" spans="1:529" s="23" customFormat="1" ht="44.25" customHeight="1" x14ac:dyDescent="0.25">
      <c r="A230" s="43" t="s">
        <v>417</v>
      </c>
      <c r="B230" s="44">
        <f>'дод 4'!A147</f>
        <v>7361</v>
      </c>
      <c r="C230" s="44" t="str">
        <f>'дод 4'!B147</f>
        <v>0490</v>
      </c>
      <c r="D230" s="24" t="str">
        <f>'дод 4'!C147</f>
        <v>Співфінансування інвестиційних проектів, що реалізуються за рахунок коштів державного фонду регіонального розвитку</v>
      </c>
      <c r="E230" s="66">
        <f t="shared" ref="E230" si="122">F230+I230</f>
        <v>0</v>
      </c>
      <c r="F230" s="66"/>
      <c r="G230" s="66"/>
      <c r="H230" s="66"/>
      <c r="I230" s="66"/>
      <c r="J230" s="66">
        <f t="shared" ref="J230" si="123">L230+O230</f>
        <v>5000000</v>
      </c>
      <c r="K230" s="66">
        <v>5000000</v>
      </c>
      <c r="L230" s="66"/>
      <c r="M230" s="66"/>
      <c r="N230" s="66"/>
      <c r="O230" s="66">
        <v>5000000</v>
      </c>
      <c r="P230" s="66">
        <f t="shared" si="120"/>
        <v>5000000</v>
      </c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  <c r="IV230" s="26"/>
      <c r="IW230" s="26"/>
      <c r="IX230" s="26"/>
      <c r="IY230" s="26"/>
      <c r="IZ230" s="26"/>
      <c r="JA230" s="26"/>
      <c r="JB230" s="26"/>
      <c r="JC230" s="26"/>
      <c r="JD230" s="26"/>
      <c r="JE230" s="26"/>
      <c r="JF230" s="26"/>
      <c r="JG230" s="26"/>
      <c r="JH230" s="26"/>
      <c r="JI230" s="26"/>
      <c r="JJ230" s="26"/>
      <c r="JK230" s="26"/>
      <c r="JL230" s="26"/>
      <c r="JM230" s="26"/>
      <c r="JN230" s="26"/>
      <c r="JO230" s="26"/>
      <c r="JP230" s="26"/>
      <c r="JQ230" s="26"/>
      <c r="JR230" s="26"/>
      <c r="JS230" s="26"/>
      <c r="JT230" s="26"/>
      <c r="JU230" s="26"/>
      <c r="JV230" s="26"/>
      <c r="JW230" s="26"/>
      <c r="JX230" s="26"/>
      <c r="JY230" s="26"/>
      <c r="JZ230" s="26"/>
      <c r="KA230" s="26"/>
      <c r="KB230" s="26"/>
      <c r="KC230" s="26"/>
      <c r="KD230" s="26"/>
      <c r="KE230" s="26"/>
      <c r="KF230" s="26"/>
      <c r="KG230" s="26"/>
      <c r="KH230" s="26"/>
      <c r="KI230" s="26"/>
      <c r="KJ230" s="26"/>
      <c r="KK230" s="26"/>
      <c r="KL230" s="26"/>
      <c r="KM230" s="26"/>
      <c r="KN230" s="26"/>
      <c r="KO230" s="26"/>
      <c r="KP230" s="26"/>
      <c r="KQ230" s="26"/>
      <c r="KR230" s="26"/>
      <c r="KS230" s="26"/>
      <c r="KT230" s="26"/>
      <c r="KU230" s="26"/>
      <c r="KV230" s="26"/>
      <c r="KW230" s="26"/>
      <c r="KX230" s="26"/>
      <c r="KY230" s="26"/>
      <c r="KZ230" s="26"/>
      <c r="LA230" s="26"/>
      <c r="LB230" s="26"/>
      <c r="LC230" s="26"/>
      <c r="LD230" s="26"/>
      <c r="LE230" s="26"/>
      <c r="LF230" s="26"/>
      <c r="LG230" s="26"/>
      <c r="LH230" s="26"/>
      <c r="LI230" s="26"/>
      <c r="LJ230" s="26"/>
      <c r="LK230" s="26"/>
      <c r="LL230" s="26"/>
      <c r="LM230" s="26"/>
      <c r="LN230" s="26"/>
      <c r="LO230" s="26"/>
      <c r="LP230" s="26"/>
      <c r="LQ230" s="26"/>
      <c r="LR230" s="26"/>
      <c r="LS230" s="26"/>
      <c r="LT230" s="26"/>
      <c r="LU230" s="26"/>
      <c r="LV230" s="26"/>
      <c r="LW230" s="26"/>
      <c r="LX230" s="26"/>
      <c r="LY230" s="26"/>
      <c r="LZ230" s="26"/>
      <c r="MA230" s="26"/>
      <c r="MB230" s="26"/>
      <c r="MC230" s="26"/>
      <c r="MD230" s="26"/>
      <c r="ME230" s="26"/>
      <c r="MF230" s="26"/>
      <c r="MG230" s="26"/>
      <c r="MH230" s="26"/>
      <c r="MI230" s="26"/>
      <c r="MJ230" s="26"/>
      <c r="MK230" s="26"/>
      <c r="ML230" s="26"/>
      <c r="MM230" s="26"/>
      <c r="MN230" s="26"/>
      <c r="MO230" s="26"/>
      <c r="MP230" s="26"/>
      <c r="MQ230" s="26"/>
      <c r="MR230" s="26"/>
      <c r="MS230" s="26"/>
      <c r="MT230" s="26"/>
      <c r="MU230" s="26"/>
      <c r="MV230" s="26"/>
      <c r="MW230" s="26"/>
      <c r="MX230" s="26"/>
      <c r="MY230" s="26"/>
      <c r="MZ230" s="26"/>
      <c r="NA230" s="26"/>
      <c r="NB230" s="26"/>
      <c r="NC230" s="26"/>
      <c r="ND230" s="26"/>
      <c r="NE230" s="26"/>
      <c r="NF230" s="26"/>
      <c r="NG230" s="26"/>
      <c r="NH230" s="26"/>
      <c r="NI230" s="26"/>
      <c r="NJ230" s="26"/>
      <c r="NK230" s="26"/>
      <c r="NL230" s="26"/>
      <c r="NM230" s="26"/>
      <c r="NN230" s="26"/>
      <c r="NO230" s="26"/>
      <c r="NP230" s="26"/>
      <c r="NQ230" s="26"/>
      <c r="NR230" s="26"/>
      <c r="NS230" s="26"/>
      <c r="NT230" s="26"/>
      <c r="NU230" s="26"/>
      <c r="NV230" s="26"/>
      <c r="NW230" s="26"/>
      <c r="NX230" s="26"/>
      <c r="NY230" s="26"/>
      <c r="NZ230" s="26"/>
      <c r="OA230" s="26"/>
      <c r="OB230" s="26"/>
      <c r="OC230" s="26"/>
      <c r="OD230" s="26"/>
      <c r="OE230" s="26"/>
      <c r="OF230" s="26"/>
      <c r="OG230" s="26"/>
      <c r="OH230" s="26"/>
      <c r="OI230" s="26"/>
      <c r="OJ230" s="26"/>
      <c r="OK230" s="26"/>
      <c r="OL230" s="26"/>
      <c r="OM230" s="26"/>
      <c r="ON230" s="26"/>
      <c r="OO230" s="26"/>
      <c r="OP230" s="26"/>
      <c r="OQ230" s="26"/>
      <c r="OR230" s="26"/>
      <c r="OS230" s="26"/>
      <c r="OT230" s="26"/>
      <c r="OU230" s="26"/>
      <c r="OV230" s="26"/>
      <c r="OW230" s="26"/>
      <c r="OX230" s="26"/>
      <c r="OY230" s="26"/>
      <c r="OZ230" s="26"/>
      <c r="PA230" s="26"/>
      <c r="PB230" s="26"/>
      <c r="PC230" s="26"/>
      <c r="PD230" s="26"/>
      <c r="PE230" s="26"/>
      <c r="PF230" s="26"/>
      <c r="PG230" s="26"/>
      <c r="PH230" s="26"/>
      <c r="PI230" s="26"/>
      <c r="PJ230" s="26"/>
      <c r="PK230" s="26"/>
      <c r="PL230" s="26"/>
      <c r="PM230" s="26"/>
      <c r="PN230" s="26"/>
      <c r="PO230" s="26"/>
      <c r="PP230" s="26"/>
      <c r="PQ230" s="26"/>
      <c r="PR230" s="26"/>
      <c r="PS230" s="26"/>
      <c r="PT230" s="26"/>
      <c r="PU230" s="26"/>
      <c r="PV230" s="26"/>
      <c r="PW230" s="26"/>
      <c r="PX230" s="26"/>
      <c r="PY230" s="26"/>
      <c r="PZ230" s="26"/>
      <c r="QA230" s="26"/>
      <c r="QB230" s="26"/>
      <c r="QC230" s="26"/>
      <c r="QD230" s="26"/>
      <c r="QE230" s="26"/>
      <c r="QF230" s="26"/>
      <c r="QG230" s="26"/>
      <c r="QH230" s="26"/>
      <c r="QI230" s="26"/>
      <c r="QJ230" s="26"/>
      <c r="QK230" s="26"/>
      <c r="QL230" s="26"/>
      <c r="QM230" s="26"/>
      <c r="QN230" s="26"/>
      <c r="QO230" s="26"/>
      <c r="QP230" s="26"/>
      <c r="QQ230" s="26"/>
      <c r="QR230" s="26"/>
      <c r="QS230" s="26"/>
      <c r="QT230" s="26"/>
      <c r="QU230" s="26"/>
      <c r="QV230" s="26"/>
      <c r="QW230" s="26"/>
      <c r="QX230" s="26"/>
      <c r="QY230" s="26"/>
      <c r="QZ230" s="26"/>
      <c r="RA230" s="26"/>
      <c r="RB230" s="26"/>
      <c r="RC230" s="26"/>
      <c r="RD230" s="26"/>
      <c r="RE230" s="26"/>
      <c r="RF230" s="26"/>
      <c r="RG230" s="26"/>
      <c r="RH230" s="26"/>
      <c r="RI230" s="26"/>
      <c r="RJ230" s="26"/>
      <c r="RK230" s="26"/>
      <c r="RL230" s="26"/>
      <c r="RM230" s="26"/>
      <c r="RN230" s="26"/>
      <c r="RO230" s="26"/>
      <c r="RP230" s="26"/>
      <c r="RQ230" s="26"/>
      <c r="RR230" s="26"/>
      <c r="RS230" s="26"/>
      <c r="RT230" s="26"/>
      <c r="RU230" s="26"/>
      <c r="RV230" s="26"/>
      <c r="RW230" s="26"/>
      <c r="RX230" s="26"/>
      <c r="RY230" s="26"/>
      <c r="RZ230" s="26"/>
      <c r="SA230" s="26"/>
      <c r="SB230" s="26"/>
      <c r="SC230" s="26"/>
      <c r="SD230" s="26"/>
      <c r="SE230" s="26"/>
      <c r="SF230" s="26"/>
      <c r="SG230" s="26"/>
      <c r="SH230" s="26"/>
      <c r="SI230" s="26"/>
      <c r="SJ230" s="26"/>
      <c r="SK230" s="26"/>
      <c r="SL230" s="26"/>
      <c r="SM230" s="26"/>
      <c r="SN230" s="26"/>
      <c r="SO230" s="26"/>
      <c r="SP230" s="26"/>
      <c r="SQ230" s="26"/>
      <c r="SR230" s="26"/>
      <c r="SS230" s="26"/>
      <c r="ST230" s="26"/>
      <c r="SU230" s="26"/>
      <c r="SV230" s="26"/>
      <c r="SW230" s="26"/>
      <c r="SX230" s="26"/>
      <c r="SY230" s="26"/>
      <c r="SZ230" s="26"/>
      <c r="TA230" s="26"/>
      <c r="TB230" s="26"/>
      <c r="TC230" s="26"/>
      <c r="TD230" s="26"/>
      <c r="TE230" s="26"/>
      <c r="TF230" s="26"/>
      <c r="TG230" s="26"/>
      <c r="TH230" s="26"/>
      <c r="TI230" s="26"/>
    </row>
    <row r="231" spans="1:529" s="23" customFormat="1" ht="42.75" customHeight="1" x14ac:dyDescent="0.25">
      <c r="A231" s="43" t="s">
        <v>408</v>
      </c>
      <c r="B231" s="44">
        <v>7363</v>
      </c>
      <c r="C231" s="43" t="s">
        <v>89</v>
      </c>
      <c r="D231" s="24" t="s">
        <v>463</v>
      </c>
      <c r="E231" s="66">
        <f t="shared" si="119"/>
        <v>0</v>
      </c>
      <c r="F231" s="66"/>
      <c r="G231" s="66"/>
      <c r="H231" s="66"/>
      <c r="I231" s="66"/>
      <c r="J231" s="66">
        <f t="shared" si="121"/>
        <v>95000</v>
      </c>
      <c r="K231" s="66">
        <v>95000</v>
      </c>
      <c r="L231" s="66"/>
      <c r="M231" s="66"/>
      <c r="N231" s="66"/>
      <c r="O231" s="66">
        <v>95000</v>
      </c>
      <c r="P231" s="66">
        <f t="shared" si="120"/>
        <v>95000</v>
      </c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  <c r="IV231" s="26"/>
      <c r="IW231" s="26"/>
      <c r="IX231" s="26"/>
      <c r="IY231" s="26"/>
      <c r="IZ231" s="26"/>
      <c r="JA231" s="26"/>
      <c r="JB231" s="26"/>
      <c r="JC231" s="26"/>
      <c r="JD231" s="26"/>
      <c r="JE231" s="26"/>
      <c r="JF231" s="26"/>
      <c r="JG231" s="26"/>
      <c r="JH231" s="26"/>
      <c r="JI231" s="26"/>
      <c r="JJ231" s="26"/>
      <c r="JK231" s="26"/>
      <c r="JL231" s="26"/>
      <c r="JM231" s="26"/>
      <c r="JN231" s="26"/>
      <c r="JO231" s="26"/>
      <c r="JP231" s="26"/>
      <c r="JQ231" s="26"/>
      <c r="JR231" s="26"/>
      <c r="JS231" s="26"/>
      <c r="JT231" s="26"/>
      <c r="JU231" s="26"/>
      <c r="JV231" s="26"/>
      <c r="JW231" s="26"/>
      <c r="JX231" s="26"/>
      <c r="JY231" s="26"/>
      <c r="JZ231" s="26"/>
      <c r="KA231" s="26"/>
      <c r="KB231" s="26"/>
      <c r="KC231" s="26"/>
      <c r="KD231" s="26"/>
      <c r="KE231" s="26"/>
      <c r="KF231" s="26"/>
      <c r="KG231" s="26"/>
      <c r="KH231" s="26"/>
      <c r="KI231" s="26"/>
      <c r="KJ231" s="26"/>
      <c r="KK231" s="26"/>
      <c r="KL231" s="26"/>
      <c r="KM231" s="26"/>
      <c r="KN231" s="26"/>
      <c r="KO231" s="26"/>
      <c r="KP231" s="26"/>
      <c r="KQ231" s="26"/>
      <c r="KR231" s="26"/>
      <c r="KS231" s="26"/>
      <c r="KT231" s="26"/>
      <c r="KU231" s="26"/>
      <c r="KV231" s="26"/>
      <c r="KW231" s="26"/>
      <c r="KX231" s="26"/>
      <c r="KY231" s="26"/>
      <c r="KZ231" s="26"/>
      <c r="LA231" s="26"/>
      <c r="LB231" s="26"/>
      <c r="LC231" s="26"/>
      <c r="LD231" s="26"/>
      <c r="LE231" s="26"/>
      <c r="LF231" s="26"/>
      <c r="LG231" s="26"/>
      <c r="LH231" s="26"/>
      <c r="LI231" s="26"/>
      <c r="LJ231" s="26"/>
      <c r="LK231" s="26"/>
      <c r="LL231" s="26"/>
      <c r="LM231" s="26"/>
      <c r="LN231" s="26"/>
      <c r="LO231" s="26"/>
      <c r="LP231" s="26"/>
      <c r="LQ231" s="26"/>
      <c r="LR231" s="26"/>
      <c r="LS231" s="26"/>
      <c r="LT231" s="26"/>
      <c r="LU231" s="26"/>
      <c r="LV231" s="26"/>
      <c r="LW231" s="26"/>
      <c r="LX231" s="26"/>
      <c r="LY231" s="26"/>
      <c r="LZ231" s="26"/>
      <c r="MA231" s="26"/>
      <c r="MB231" s="26"/>
      <c r="MC231" s="26"/>
      <c r="MD231" s="26"/>
      <c r="ME231" s="26"/>
      <c r="MF231" s="26"/>
      <c r="MG231" s="26"/>
      <c r="MH231" s="26"/>
      <c r="MI231" s="26"/>
      <c r="MJ231" s="26"/>
      <c r="MK231" s="26"/>
      <c r="ML231" s="26"/>
      <c r="MM231" s="26"/>
      <c r="MN231" s="26"/>
      <c r="MO231" s="26"/>
      <c r="MP231" s="26"/>
      <c r="MQ231" s="26"/>
      <c r="MR231" s="26"/>
      <c r="MS231" s="26"/>
      <c r="MT231" s="26"/>
      <c r="MU231" s="26"/>
      <c r="MV231" s="26"/>
      <c r="MW231" s="26"/>
      <c r="MX231" s="26"/>
      <c r="MY231" s="26"/>
      <c r="MZ231" s="26"/>
      <c r="NA231" s="26"/>
      <c r="NB231" s="26"/>
      <c r="NC231" s="26"/>
      <c r="ND231" s="26"/>
      <c r="NE231" s="26"/>
      <c r="NF231" s="26"/>
      <c r="NG231" s="26"/>
      <c r="NH231" s="26"/>
      <c r="NI231" s="26"/>
      <c r="NJ231" s="26"/>
      <c r="NK231" s="26"/>
      <c r="NL231" s="26"/>
      <c r="NM231" s="26"/>
      <c r="NN231" s="26"/>
      <c r="NO231" s="26"/>
      <c r="NP231" s="26"/>
      <c r="NQ231" s="26"/>
      <c r="NR231" s="26"/>
      <c r="NS231" s="26"/>
      <c r="NT231" s="26"/>
      <c r="NU231" s="26"/>
      <c r="NV231" s="26"/>
      <c r="NW231" s="26"/>
      <c r="NX231" s="26"/>
      <c r="NY231" s="26"/>
      <c r="NZ231" s="26"/>
      <c r="OA231" s="26"/>
      <c r="OB231" s="26"/>
      <c r="OC231" s="26"/>
      <c r="OD231" s="26"/>
      <c r="OE231" s="26"/>
      <c r="OF231" s="26"/>
      <c r="OG231" s="26"/>
      <c r="OH231" s="26"/>
      <c r="OI231" s="26"/>
      <c r="OJ231" s="26"/>
      <c r="OK231" s="26"/>
      <c r="OL231" s="26"/>
      <c r="OM231" s="26"/>
      <c r="ON231" s="26"/>
      <c r="OO231" s="26"/>
      <c r="OP231" s="26"/>
      <c r="OQ231" s="26"/>
      <c r="OR231" s="26"/>
      <c r="OS231" s="26"/>
      <c r="OT231" s="26"/>
      <c r="OU231" s="26"/>
      <c r="OV231" s="26"/>
      <c r="OW231" s="26"/>
      <c r="OX231" s="26"/>
      <c r="OY231" s="26"/>
      <c r="OZ231" s="26"/>
      <c r="PA231" s="26"/>
      <c r="PB231" s="26"/>
      <c r="PC231" s="26"/>
      <c r="PD231" s="26"/>
      <c r="PE231" s="26"/>
      <c r="PF231" s="26"/>
      <c r="PG231" s="26"/>
      <c r="PH231" s="26"/>
      <c r="PI231" s="26"/>
      <c r="PJ231" s="26"/>
      <c r="PK231" s="26"/>
      <c r="PL231" s="26"/>
      <c r="PM231" s="26"/>
      <c r="PN231" s="26"/>
      <c r="PO231" s="26"/>
      <c r="PP231" s="26"/>
      <c r="PQ231" s="26"/>
      <c r="PR231" s="26"/>
      <c r="PS231" s="26"/>
      <c r="PT231" s="26"/>
      <c r="PU231" s="26"/>
      <c r="PV231" s="26"/>
      <c r="PW231" s="26"/>
      <c r="PX231" s="26"/>
      <c r="PY231" s="26"/>
      <c r="PZ231" s="26"/>
      <c r="QA231" s="26"/>
      <c r="QB231" s="26"/>
      <c r="QC231" s="26"/>
      <c r="QD231" s="26"/>
      <c r="QE231" s="26"/>
      <c r="QF231" s="26"/>
      <c r="QG231" s="26"/>
      <c r="QH231" s="26"/>
      <c r="QI231" s="26"/>
      <c r="QJ231" s="26"/>
      <c r="QK231" s="26"/>
      <c r="QL231" s="26"/>
      <c r="QM231" s="26"/>
      <c r="QN231" s="26"/>
      <c r="QO231" s="26"/>
      <c r="QP231" s="26"/>
      <c r="QQ231" s="26"/>
      <c r="QR231" s="26"/>
      <c r="QS231" s="26"/>
      <c r="QT231" s="26"/>
      <c r="QU231" s="26"/>
      <c r="QV231" s="26"/>
      <c r="QW231" s="26"/>
      <c r="QX231" s="26"/>
      <c r="QY231" s="26"/>
      <c r="QZ231" s="26"/>
      <c r="RA231" s="26"/>
      <c r="RB231" s="26"/>
      <c r="RC231" s="26"/>
      <c r="RD231" s="26"/>
      <c r="RE231" s="26"/>
      <c r="RF231" s="26"/>
      <c r="RG231" s="26"/>
      <c r="RH231" s="26"/>
      <c r="RI231" s="26"/>
      <c r="RJ231" s="26"/>
      <c r="RK231" s="26"/>
      <c r="RL231" s="26"/>
      <c r="RM231" s="26"/>
      <c r="RN231" s="26"/>
      <c r="RO231" s="26"/>
      <c r="RP231" s="26"/>
      <c r="RQ231" s="26"/>
      <c r="RR231" s="26"/>
      <c r="RS231" s="26"/>
      <c r="RT231" s="26"/>
      <c r="RU231" s="26"/>
      <c r="RV231" s="26"/>
      <c r="RW231" s="26"/>
      <c r="RX231" s="26"/>
      <c r="RY231" s="26"/>
      <c r="RZ231" s="26"/>
      <c r="SA231" s="26"/>
      <c r="SB231" s="26"/>
      <c r="SC231" s="26"/>
      <c r="SD231" s="26"/>
      <c r="SE231" s="26"/>
      <c r="SF231" s="26"/>
      <c r="SG231" s="26"/>
      <c r="SH231" s="26"/>
      <c r="SI231" s="26"/>
      <c r="SJ231" s="26"/>
      <c r="SK231" s="26"/>
      <c r="SL231" s="26"/>
      <c r="SM231" s="26"/>
      <c r="SN231" s="26"/>
      <c r="SO231" s="26"/>
      <c r="SP231" s="26"/>
      <c r="SQ231" s="26"/>
      <c r="SR231" s="26"/>
      <c r="SS231" s="26"/>
      <c r="ST231" s="26"/>
      <c r="SU231" s="26"/>
      <c r="SV231" s="26"/>
      <c r="SW231" s="26"/>
      <c r="SX231" s="26"/>
      <c r="SY231" s="26"/>
      <c r="SZ231" s="26"/>
      <c r="TA231" s="26"/>
      <c r="TB231" s="26"/>
      <c r="TC231" s="26"/>
      <c r="TD231" s="26"/>
      <c r="TE231" s="26"/>
      <c r="TF231" s="26"/>
      <c r="TG231" s="26"/>
      <c r="TH231" s="26"/>
      <c r="TI231" s="26"/>
    </row>
    <row r="232" spans="1:529" s="23" customFormat="1" ht="21.75" customHeight="1" x14ac:dyDescent="0.25">
      <c r="A232" s="43" t="s">
        <v>157</v>
      </c>
      <c r="B232" s="44" t="str">
        <f>'дод 4'!A163</f>
        <v>7640</v>
      </c>
      <c r="C232" s="44" t="str">
        <f>'дод 4'!B163</f>
        <v>0470</v>
      </c>
      <c r="D232" s="24" t="s">
        <v>513</v>
      </c>
      <c r="E232" s="66">
        <f t="shared" si="119"/>
        <v>1728011</v>
      </c>
      <c r="F232" s="66">
        <v>1728011</v>
      </c>
      <c r="G232" s="66"/>
      <c r="H232" s="66"/>
      <c r="I232" s="66"/>
      <c r="J232" s="66">
        <f t="shared" si="121"/>
        <v>68889000</v>
      </c>
      <c r="K232" s="66">
        <f>74352548-7700000-7500000</f>
        <v>59152548</v>
      </c>
      <c r="L232" s="68"/>
      <c r="M232" s="66"/>
      <c r="N232" s="66"/>
      <c r="O232" s="66">
        <f>74352548+9736452-7700000-7500000</f>
        <v>68889000</v>
      </c>
      <c r="P232" s="66">
        <f t="shared" si="120"/>
        <v>70617011</v>
      </c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  <c r="IV232" s="26"/>
      <c r="IW232" s="26"/>
      <c r="IX232" s="26"/>
      <c r="IY232" s="26"/>
      <c r="IZ232" s="26"/>
      <c r="JA232" s="26"/>
      <c r="JB232" s="26"/>
      <c r="JC232" s="26"/>
      <c r="JD232" s="26"/>
      <c r="JE232" s="26"/>
      <c r="JF232" s="26"/>
      <c r="JG232" s="26"/>
      <c r="JH232" s="26"/>
      <c r="JI232" s="26"/>
      <c r="JJ232" s="26"/>
      <c r="JK232" s="26"/>
      <c r="JL232" s="26"/>
      <c r="JM232" s="26"/>
      <c r="JN232" s="26"/>
      <c r="JO232" s="26"/>
      <c r="JP232" s="26"/>
      <c r="JQ232" s="26"/>
      <c r="JR232" s="26"/>
      <c r="JS232" s="26"/>
      <c r="JT232" s="26"/>
      <c r="JU232" s="26"/>
      <c r="JV232" s="26"/>
      <c r="JW232" s="26"/>
      <c r="JX232" s="26"/>
      <c r="JY232" s="26"/>
      <c r="JZ232" s="26"/>
      <c r="KA232" s="26"/>
      <c r="KB232" s="26"/>
      <c r="KC232" s="26"/>
      <c r="KD232" s="26"/>
      <c r="KE232" s="26"/>
      <c r="KF232" s="26"/>
      <c r="KG232" s="26"/>
      <c r="KH232" s="26"/>
      <c r="KI232" s="26"/>
      <c r="KJ232" s="26"/>
      <c r="KK232" s="26"/>
      <c r="KL232" s="26"/>
      <c r="KM232" s="26"/>
      <c r="KN232" s="26"/>
      <c r="KO232" s="26"/>
      <c r="KP232" s="26"/>
      <c r="KQ232" s="26"/>
      <c r="KR232" s="26"/>
      <c r="KS232" s="26"/>
      <c r="KT232" s="26"/>
      <c r="KU232" s="26"/>
      <c r="KV232" s="26"/>
      <c r="KW232" s="26"/>
      <c r="KX232" s="26"/>
      <c r="KY232" s="26"/>
      <c r="KZ232" s="26"/>
      <c r="LA232" s="26"/>
      <c r="LB232" s="26"/>
      <c r="LC232" s="26"/>
      <c r="LD232" s="26"/>
      <c r="LE232" s="26"/>
      <c r="LF232" s="26"/>
      <c r="LG232" s="26"/>
      <c r="LH232" s="26"/>
      <c r="LI232" s="26"/>
      <c r="LJ232" s="26"/>
      <c r="LK232" s="26"/>
      <c r="LL232" s="26"/>
      <c r="LM232" s="26"/>
      <c r="LN232" s="26"/>
      <c r="LO232" s="26"/>
      <c r="LP232" s="26"/>
      <c r="LQ232" s="26"/>
      <c r="LR232" s="26"/>
      <c r="LS232" s="26"/>
      <c r="LT232" s="26"/>
      <c r="LU232" s="26"/>
      <c r="LV232" s="26"/>
      <c r="LW232" s="26"/>
      <c r="LX232" s="26"/>
      <c r="LY232" s="26"/>
      <c r="LZ232" s="26"/>
      <c r="MA232" s="26"/>
      <c r="MB232" s="26"/>
      <c r="MC232" s="26"/>
      <c r="MD232" s="26"/>
      <c r="ME232" s="26"/>
      <c r="MF232" s="26"/>
      <c r="MG232" s="26"/>
      <c r="MH232" s="26"/>
      <c r="MI232" s="26"/>
      <c r="MJ232" s="26"/>
      <c r="MK232" s="26"/>
      <c r="ML232" s="26"/>
      <c r="MM232" s="26"/>
      <c r="MN232" s="26"/>
      <c r="MO232" s="26"/>
      <c r="MP232" s="26"/>
      <c r="MQ232" s="26"/>
      <c r="MR232" s="26"/>
      <c r="MS232" s="26"/>
      <c r="MT232" s="26"/>
      <c r="MU232" s="26"/>
      <c r="MV232" s="26"/>
      <c r="MW232" s="26"/>
      <c r="MX232" s="26"/>
      <c r="MY232" s="26"/>
      <c r="MZ232" s="26"/>
      <c r="NA232" s="26"/>
      <c r="NB232" s="26"/>
      <c r="NC232" s="26"/>
      <c r="ND232" s="26"/>
      <c r="NE232" s="26"/>
      <c r="NF232" s="26"/>
      <c r="NG232" s="26"/>
      <c r="NH232" s="26"/>
      <c r="NI232" s="26"/>
      <c r="NJ232" s="26"/>
      <c r="NK232" s="26"/>
      <c r="NL232" s="26"/>
      <c r="NM232" s="26"/>
      <c r="NN232" s="26"/>
      <c r="NO232" s="26"/>
      <c r="NP232" s="26"/>
      <c r="NQ232" s="26"/>
      <c r="NR232" s="26"/>
      <c r="NS232" s="26"/>
      <c r="NT232" s="26"/>
      <c r="NU232" s="26"/>
      <c r="NV232" s="26"/>
      <c r="NW232" s="26"/>
      <c r="NX232" s="26"/>
      <c r="NY232" s="26"/>
      <c r="NZ232" s="26"/>
      <c r="OA232" s="26"/>
      <c r="OB232" s="26"/>
      <c r="OC232" s="26"/>
      <c r="OD232" s="26"/>
      <c r="OE232" s="26"/>
      <c r="OF232" s="26"/>
      <c r="OG232" s="26"/>
      <c r="OH232" s="26"/>
      <c r="OI232" s="26"/>
      <c r="OJ232" s="26"/>
      <c r="OK232" s="26"/>
      <c r="OL232" s="26"/>
      <c r="OM232" s="26"/>
      <c r="ON232" s="26"/>
      <c r="OO232" s="26"/>
      <c r="OP232" s="26"/>
      <c r="OQ232" s="26"/>
      <c r="OR232" s="26"/>
      <c r="OS232" s="26"/>
      <c r="OT232" s="26"/>
      <c r="OU232" s="26"/>
      <c r="OV232" s="26"/>
      <c r="OW232" s="26"/>
      <c r="OX232" s="26"/>
      <c r="OY232" s="26"/>
      <c r="OZ232" s="26"/>
      <c r="PA232" s="26"/>
      <c r="PB232" s="26"/>
      <c r="PC232" s="26"/>
      <c r="PD232" s="26"/>
      <c r="PE232" s="26"/>
      <c r="PF232" s="26"/>
      <c r="PG232" s="26"/>
      <c r="PH232" s="26"/>
      <c r="PI232" s="26"/>
      <c r="PJ232" s="26"/>
      <c r="PK232" s="26"/>
      <c r="PL232" s="26"/>
      <c r="PM232" s="26"/>
      <c r="PN232" s="26"/>
      <c r="PO232" s="26"/>
      <c r="PP232" s="26"/>
      <c r="PQ232" s="26"/>
      <c r="PR232" s="26"/>
      <c r="PS232" s="26"/>
      <c r="PT232" s="26"/>
      <c r="PU232" s="26"/>
      <c r="PV232" s="26"/>
      <c r="PW232" s="26"/>
      <c r="PX232" s="26"/>
      <c r="PY232" s="26"/>
      <c r="PZ232" s="26"/>
      <c r="QA232" s="26"/>
      <c r="QB232" s="26"/>
      <c r="QC232" s="26"/>
      <c r="QD232" s="26"/>
      <c r="QE232" s="26"/>
      <c r="QF232" s="26"/>
      <c r="QG232" s="26"/>
      <c r="QH232" s="26"/>
      <c r="QI232" s="26"/>
      <c r="QJ232" s="26"/>
      <c r="QK232" s="26"/>
      <c r="QL232" s="26"/>
      <c r="QM232" s="26"/>
      <c r="QN232" s="26"/>
      <c r="QO232" s="26"/>
      <c r="QP232" s="26"/>
      <c r="QQ232" s="26"/>
      <c r="QR232" s="26"/>
      <c r="QS232" s="26"/>
      <c r="QT232" s="26"/>
      <c r="QU232" s="26"/>
      <c r="QV232" s="26"/>
      <c r="QW232" s="26"/>
      <c r="QX232" s="26"/>
      <c r="QY232" s="26"/>
      <c r="QZ232" s="26"/>
      <c r="RA232" s="26"/>
      <c r="RB232" s="26"/>
      <c r="RC232" s="26"/>
      <c r="RD232" s="26"/>
      <c r="RE232" s="26"/>
      <c r="RF232" s="26"/>
      <c r="RG232" s="26"/>
      <c r="RH232" s="26"/>
      <c r="RI232" s="26"/>
      <c r="RJ232" s="26"/>
      <c r="RK232" s="26"/>
      <c r="RL232" s="26"/>
      <c r="RM232" s="26"/>
      <c r="RN232" s="26"/>
      <c r="RO232" s="26"/>
      <c r="RP232" s="26"/>
      <c r="RQ232" s="26"/>
      <c r="RR232" s="26"/>
      <c r="RS232" s="26"/>
      <c r="RT232" s="26"/>
      <c r="RU232" s="26"/>
      <c r="RV232" s="26"/>
      <c r="RW232" s="26"/>
      <c r="RX232" s="26"/>
      <c r="RY232" s="26"/>
      <c r="RZ232" s="26"/>
      <c r="SA232" s="26"/>
      <c r="SB232" s="26"/>
      <c r="SC232" s="26"/>
      <c r="SD232" s="26"/>
      <c r="SE232" s="26"/>
      <c r="SF232" s="26"/>
      <c r="SG232" s="26"/>
      <c r="SH232" s="26"/>
      <c r="SI232" s="26"/>
      <c r="SJ232" s="26"/>
      <c r="SK232" s="26"/>
      <c r="SL232" s="26"/>
      <c r="SM232" s="26"/>
      <c r="SN232" s="26"/>
      <c r="SO232" s="26"/>
      <c r="SP232" s="26"/>
      <c r="SQ232" s="26"/>
      <c r="SR232" s="26"/>
      <c r="SS232" s="26"/>
      <c r="ST232" s="26"/>
      <c r="SU232" s="26"/>
      <c r="SV232" s="26"/>
      <c r="SW232" s="26"/>
      <c r="SX232" s="26"/>
      <c r="SY232" s="26"/>
      <c r="SZ232" s="26"/>
      <c r="TA232" s="26"/>
      <c r="TB232" s="26"/>
      <c r="TC232" s="26"/>
      <c r="TD232" s="26"/>
      <c r="TE232" s="26"/>
      <c r="TF232" s="26"/>
      <c r="TG232" s="26"/>
      <c r="TH232" s="26"/>
      <c r="TI232" s="26"/>
    </row>
    <row r="233" spans="1:529" s="27" customFormat="1" ht="15.75" customHeight="1" x14ac:dyDescent="0.25">
      <c r="A233" s="145"/>
      <c r="B233" s="146"/>
      <c r="C233" s="146"/>
      <c r="D233" s="149" t="s">
        <v>507</v>
      </c>
      <c r="E233" s="144"/>
      <c r="F233" s="144"/>
      <c r="G233" s="144"/>
      <c r="H233" s="144"/>
      <c r="I233" s="144"/>
      <c r="J233" s="144">
        <f t="shared" si="121"/>
        <v>44062207</v>
      </c>
      <c r="K233" s="144">
        <v>44062207</v>
      </c>
      <c r="L233" s="148"/>
      <c r="M233" s="144"/>
      <c r="N233" s="144"/>
      <c r="O233" s="144">
        <v>44062207</v>
      </c>
      <c r="P233" s="144">
        <f t="shared" si="120"/>
        <v>44062207</v>
      </c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  <c r="HM233" s="36"/>
      <c r="HN233" s="36"/>
      <c r="HO233" s="36"/>
      <c r="HP233" s="36"/>
      <c r="HQ233" s="36"/>
      <c r="HR233" s="36"/>
      <c r="HS233" s="36"/>
      <c r="HT233" s="36"/>
      <c r="HU233" s="36"/>
      <c r="HV233" s="36"/>
      <c r="HW233" s="36"/>
      <c r="HX233" s="36"/>
      <c r="HY233" s="36"/>
      <c r="HZ233" s="36"/>
      <c r="IA233" s="36"/>
      <c r="IB233" s="36"/>
      <c r="IC233" s="36"/>
      <c r="ID233" s="36"/>
      <c r="IE233" s="36"/>
      <c r="IF233" s="36"/>
      <c r="IG233" s="36"/>
      <c r="IH233" s="36"/>
      <c r="II233" s="36"/>
      <c r="IJ233" s="36"/>
      <c r="IK233" s="36"/>
      <c r="IL233" s="36"/>
      <c r="IM233" s="36"/>
      <c r="IN233" s="36"/>
      <c r="IO233" s="36"/>
      <c r="IP233" s="36"/>
      <c r="IQ233" s="36"/>
      <c r="IR233" s="36"/>
      <c r="IS233" s="36"/>
      <c r="IT233" s="36"/>
      <c r="IU233" s="36"/>
      <c r="IV233" s="36"/>
      <c r="IW233" s="36"/>
      <c r="IX233" s="36"/>
      <c r="IY233" s="36"/>
      <c r="IZ233" s="36"/>
      <c r="JA233" s="36"/>
      <c r="JB233" s="36"/>
      <c r="JC233" s="36"/>
      <c r="JD233" s="36"/>
      <c r="JE233" s="36"/>
      <c r="JF233" s="36"/>
      <c r="JG233" s="36"/>
      <c r="JH233" s="36"/>
      <c r="JI233" s="36"/>
      <c r="JJ233" s="36"/>
      <c r="JK233" s="36"/>
      <c r="JL233" s="36"/>
      <c r="JM233" s="36"/>
      <c r="JN233" s="36"/>
      <c r="JO233" s="36"/>
      <c r="JP233" s="36"/>
      <c r="JQ233" s="36"/>
      <c r="JR233" s="36"/>
      <c r="JS233" s="36"/>
      <c r="JT233" s="36"/>
      <c r="JU233" s="36"/>
      <c r="JV233" s="36"/>
      <c r="JW233" s="36"/>
      <c r="JX233" s="36"/>
      <c r="JY233" s="36"/>
      <c r="JZ233" s="36"/>
      <c r="KA233" s="36"/>
      <c r="KB233" s="36"/>
      <c r="KC233" s="36"/>
      <c r="KD233" s="36"/>
      <c r="KE233" s="36"/>
      <c r="KF233" s="36"/>
      <c r="KG233" s="36"/>
      <c r="KH233" s="36"/>
      <c r="KI233" s="36"/>
      <c r="KJ233" s="36"/>
      <c r="KK233" s="36"/>
      <c r="KL233" s="36"/>
      <c r="KM233" s="36"/>
      <c r="KN233" s="36"/>
      <c r="KO233" s="36"/>
      <c r="KP233" s="36"/>
      <c r="KQ233" s="36"/>
      <c r="KR233" s="36"/>
      <c r="KS233" s="36"/>
      <c r="KT233" s="36"/>
      <c r="KU233" s="36"/>
      <c r="KV233" s="36"/>
      <c r="KW233" s="36"/>
      <c r="KX233" s="36"/>
      <c r="KY233" s="36"/>
      <c r="KZ233" s="36"/>
      <c r="LA233" s="36"/>
      <c r="LB233" s="36"/>
      <c r="LC233" s="36"/>
      <c r="LD233" s="36"/>
      <c r="LE233" s="36"/>
      <c r="LF233" s="36"/>
      <c r="LG233" s="36"/>
      <c r="LH233" s="36"/>
      <c r="LI233" s="36"/>
      <c r="LJ233" s="36"/>
      <c r="LK233" s="36"/>
      <c r="LL233" s="36"/>
      <c r="LM233" s="36"/>
      <c r="LN233" s="36"/>
      <c r="LO233" s="36"/>
      <c r="LP233" s="36"/>
      <c r="LQ233" s="36"/>
      <c r="LR233" s="36"/>
      <c r="LS233" s="36"/>
      <c r="LT233" s="36"/>
      <c r="LU233" s="36"/>
      <c r="LV233" s="36"/>
      <c r="LW233" s="36"/>
      <c r="LX233" s="36"/>
      <c r="LY233" s="36"/>
      <c r="LZ233" s="36"/>
      <c r="MA233" s="36"/>
      <c r="MB233" s="36"/>
      <c r="MC233" s="36"/>
      <c r="MD233" s="36"/>
      <c r="ME233" s="36"/>
      <c r="MF233" s="36"/>
      <c r="MG233" s="36"/>
      <c r="MH233" s="36"/>
      <c r="MI233" s="36"/>
      <c r="MJ233" s="36"/>
      <c r="MK233" s="36"/>
      <c r="ML233" s="36"/>
      <c r="MM233" s="36"/>
      <c r="MN233" s="36"/>
      <c r="MO233" s="36"/>
      <c r="MP233" s="36"/>
      <c r="MQ233" s="36"/>
      <c r="MR233" s="36"/>
      <c r="MS233" s="36"/>
      <c r="MT233" s="36"/>
      <c r="MU233" s="36"/>
      <c r="MV233" s="36"/>
      <c r="MW233" s="36"/>
      <c r="MX233" s="36"/>
      <c r="MY233" s="36"/>
      <c r="MZ233" s="36"/>
      <c r="NA233" s="36"/>
      <c r="NB233" s="36"/>
      <c r="NC233" s="36"/>
      <c r="ND233" s="36"/>
      <c r="NE233" s="36"/>
      <c r="NF233" s="36"/>
      <c r="NG233" s="36"/>
      <c r="NH233" s="36"/>
      <c r="NI233" s="36"/>
      <c r="NJ233" s="36"/>
      <c r="NK233" s="36"/>
      <c r="NL233" s="36"/>
      <c r="NM233" s="36"/>
      <c r="NN233" s="36"/>
      <c r="NO233" s="36"/>
      <c r="NP233" s="36"/>
      <c r="NQ233" s="36"/>
      <c r="NR233" s="36"/>
      <c r="NS233" s="36"/>
      <c r="NT233" s="36"/>
      <c r="NU233" s="36"/>
      <c r="NV233" s="36"/>
      <c r="NW233" s="36"/>
      <c r="NX233" s="36"/>
      <c r="NY233" s="36"/>
      <c r="NZ233" s="36"/>
      <c r="OA233" s="36"/>
      <c r="OB233" s="36"/>
      <c r="OC233" s="36"/>
      <c r="OD233" s="36"/>
      <c r="OE233" s="36"/>
      <c r="OF233" s="36"/>
      <c r="OG233" s="36"/>
      <c r="OH233" s="36"/>
      <c r="OI233" s="36"/>
      <c r="OJ233" s="36"/>
      <c r="OK233" s="36"/>
      <c r="OL233" s="36"/>
      <c r="OM233" s="36"/>
      <c r="ON233" s="36"/>
      <c r="OO233" s="36"/>
      <c r="OP233" s="36"/>
      <c r="OQ233" s="36"/>
      <c r="OR233" s="36"/>
      <c r="OS233" s="36"/>
      <c r="OT233" s="36"/>
      <c r="OU233" s="36"/>
      <c r="OV233" s="36"/>
      <c r="OW233" s="36"/>
      <c r="OX233" s="36"/>
      <c r="OY233" s="36"/>
      <c r="OZ233" s="36"/>
      <c r="PA233" s="36"/>
      <c r="PB233" s="36"/>
      <c r="PC233" s="36"/>
      <c r="PD233" s="36"/>
      <c r="PE233" s="36"/>
      <c r="PF233" s="36"/>
      <c r="PG233" s="36"/>
      <c r="PH233" s="36"/>
      <c r="PI233" s="36"/>
      <c r="PJ233" s="36"/>
      <c r="PK233" s="36"/>
      <c r="PL233" s="36"/>
      <c r="PM233" s="36"/>
      <c r="PN233" s="36"/>
      <c r="PO233" s="36"/>
      <c r="PP233" s="36"/>
      <c r="PQ233" s="36"/>
      <c r="PR233" s="36"/>
      <c r="PS233" s="36"/>
      <c r="PT233" s="36"/>
      <c r="PU233" s="36"/>
      <c r="PV233" s="36"/>
      <c r="PW233" s="36"/>
      <c r="PX233" s="36"/>
      <c r="PY233" s="36"/>
      <c r="PZ233" s="36"/>
      <c r="QA233" s="36"/>
      <c r="QB233" s="36"/>
      <c r="QC233" s="36"/>
      <c r="QD233" s="36"/>
      <c r="QE233" s="36"/>
      <c r="QF233" s="36"/>
      <c r="QG233" s="36"/>
      <c r="QH233" s="36"/>
      <c r="QI233" s="36"/>
      <c r="QJ233" s="36"/>
      <c r="QK233" s="36"/>
      <c r="QL233" s="36"/>
      <c r="QM233" s="36"/>
      <c r="QN233" s="36"/>
      <c r="QO233" s="36"/>
      <c r="QP233" s="36"/>
      <c r="QQ233" s="36"/>
      <c r="QR233" s="36"/>
      <c r="QS233" s="36"/>
      <c r="QT233" s="36"/>
      <c r="QU233" s="36"/>
      <c r="QV233" s="36"/>
      <c r="QW233" s="36"/>
      <c r="QX233" s="36"/>
      <c r="QY233" s="36"/>
      <c r="QZ233" s="36"/>
      <c r="RA233" s="36"/>
      <c r="RB233" s="36"/>
      <c r="RC233" s="36"/>
      <c r="RD233" s="36"/>
      <c r="RE233" s="36"/>
      <c r="RF233" s="36"/>
      <c r="RG233" s="36"/>
      <c r="RH233" s="36"/>
      <c r="RI233" s="36"/>
      <c r="RJ233" s="36"/>
      <c r="RK233" s="36"/>
      <c r="RL233" s="36"/>
      <c r="RM233" s="36"/>
      <c r="RN233" s="36"/>
      <c r="RO233" s="36"/>
      <c r="RP233" s="36"/>
      <c r="RQ233" s="36"/>
      <c r="RR233" s="36"/>
      <c r="RS233" s="36"/>
      <c r="RT233" s="36"/>
      <c r="RU233" s="36"/>
      <c r="RV233" s="36"/>
      <c r="RW233" s="36"/>
      <c r="RX233" s="36"/>
      <c r="RY233" s="36"/>
      <c r="RZ233" s="36"/>
      <c r="SA233" s="36"/>
      <c r="SB233" s="36"/>
      <c r="SC233" s="36"/>
      <c r="SD233" s="36"/>
      <c r="SE233" s="36"/>
      <c r="SF233" s="36"/>
      <c r="SG233" s="36"/>
      <c r="SH233" s="36"/>
      <c r="SI233" s="36"/>
      <c r="SJ233" s="36"/>
      <c r="SK233" s="36"/>
      <c r="SL233" s="36"/>
      <c r="SM233" s="36"/>
      <c r="SN233" s="36"/>
      <c r="SO233" s="36"/>
      <c r="SP233" s="36"/>
      <c r="SQ233" s="36"/>
      <c r="SR233" s="36"/>
      <c r="SS233" s="36"/>
      <c r="ST233" s="36"/>
      <c r="SU233" s="36"/>
      <c r="SV233" s="36"/>
      <c r="SW233" s="36"/>
      <c r="SX233" s="36"/>
      <c r="SY233" s="36"/>
      <c r="SZ233" s="36"/>
      <c r="TA233" s="36"/>
      <c r="TB233" s="36"/>
      <c r="TC233" s="36"/>
      <c r="TD233" s="36"/>
      <c r="TE233" s="36"/>
      <c r="TF233" s="36"/>
      <c r="TG233" s="36"/>
      <c r="TH233" s="36"/>
      <c r="TI233" s="36"/>
    </row>
    <row r="234" spans="1:529" s="23" customFormat="1" ht="93.75" customHeight="1" x14ac:dyDescent="0.25">
      <c r="A234" s="43" t="s">
        <v>413</v>
      </c>
      <c r="B234" s="44">
        <v>7691</v>
      </c>
      <c r="C234" s="46" t="s">
        <v>89</v>
      </c>
      <c r="D234" s="24" t="s">
        <v>345</v>
      </c>
      <c r="E234" s="66">
        <f t="shared" si="119"/>
        <v>0</v>
      </c>
      <c r="F234" s="66"/>
      <c r="G234" s="66"/>
      <c r="H234" s="66"/>
      <c r="I234" s="66"/>
      <c r="J234" s="66">
        <f t="shared" si="121"/>
        <v>833117.12</v>
      </c>
      <c r="K234" s="66"/>
      <c r="L234" s="68"/>
      <c r="M234" s="66"/>
      <c r="N234" s="66"/>
      <c r="O234" s="66">
        <v>833117.12</v>
      </c>
      <c r="P234" s="66">
        <f t="shared" si="120"/>
        <v>833117.12</v>
      </c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  <c r="IW234" s="26"/>
      <c r="IX234" s="26"/>
      <c r="IY234" s="26"/>
      <c r="IZ234" s="26"/>
      <c r="JA234" s="26"/>
      <c r="JB234" s="26"/>
      <c r="JC234" s="26"/>
      <c r="JD234" s="26"/>
      <c r="JE234" s="26"/>
      <c r="JF234" s="26"/>
      <c r="JG234" s="26"/>
      <c r="JH234" s="26"/>
      <c r="JI234" s="26"/>
      <c r="JJ234" s="26"/>
      <c r="JK234" s="26"/>
      <c r="JL234" s="26"/>
      <c r="JM234" s="26"/>
      <c r="JN234" s="26"/>
      <c r="JO234" s="26"/>
      <c r="JP234" s="26"/>
      <c r="JQ234" s="26"/>
      <c r="JR234" s="26"/>
      <c r="JS234" s="26"/>
      <c r="JT234" s="26"/>
      <c r="JU234" s="26"/>
      <c r="JV234" s="26"/>
      <c r="JW234" s="26"/>
      <c r="JX234" s="26"/>
      <c r="JY234" s="26"/>
      <c r="JZ234" s="26"/>
      <c r="KA234" s="26"/>
      <c r="KB234" s="26"/>
      <c r="KC234" s="26"/>
      <c r="KD234" s="26"/>
      <c r="KE234" s="26"/>
      <c r="KF234" s="26"/>
      <c r="KG234" s="26"/>
      <c r="KH234" s="26"/>
      <c r="KI234" s="26"/>
      <c r="KJ234" s="26"/>
      <c r="KK234" s="26"/>
      <c r="KL234" s="26"/>
      <c r="KM234" s="26"/>
      <c r="KN234" s="26"/>
      <c r="KO234" s="26"/>
      <c r="KP234" s="26"/>
      <c r="KQ234" s="26"/>
      <c r="KR234" s="26"/>
      <c r="KS234" s="26"/>
      <c r="KT234" s="26"/>
      <c r="KU234" s="26"/>
      <c r="KV234" s="26"/>
      <c r="KW234" s="26"/>
      <c r="KX234" s="26"/>
      <c r="KY234" s="26"/>
      <c r="KZ234" s="26"/>
      <c r="LA234" s="26"/>
      <c r="LB234" s="26"/>
      <c r="LC234" s="26"/>
      <c r="LD234" s="26"/>
      <c r="LE234" s="26"/>
      <c r="LF234" s="26"/>
      <c r="LG234" s="26"/>
      <c r="LH234" s="26"/>
      <c r="LI234" s="26"/>
      <c r="LJ234" s="26"/>
      <c r="LK234" s="26"/>
      <c r="LL234" s="26"/>
      <c r="LM234" s="26"/>
      <c r="LN234" s="26"/>
      <c r="LO234" s="26"/>
      <c r="LP234" s="26"/>
      <c r="LQ234" s="26"/>
      <c r="LR234" s="26"/>
      <c r="LS234" s="26"/>
      <c r="LT234" s="26"/>
      <c r="LU234" s="26"/>
      <c r="LV234" s="26"/>
      <c r="LW234" s="26"/>
      <c r="LX234" s="26"/>
      <c r="LY234" s="26"/>
      <c r="LZ234" s="26"/>
      <c r="MA234" s="26"/>
      <c r="MB234" s="26"/>
      <c r="MC234" s="26"/>
      <c r="MD234" s="26"/>
      <c r="ME234" s="26"/>
      <c r="MF234" s="26"/>
      <c r="MG234" s="26"/>
      <c r="MH234" s="26"/>
      <c r="MI234" s="26"/>
      <c r="MJ234" s="26"/>
      <c r="MK234" s="26"/>
      <c r="ML234" s="26"/>
      <c r="MM234" s="26"/>
      <c r="MN234" s="26"/>
      <c r="MO234" s="26"/>
      <c r="MP234" s="26"/>
      <c r="MQ234" s="26"/>
      <c r="MR234" s="26"/>
      <c r="MS234" s="26"/>
      <c r="MT234" s="26"/>
      <c r="MU234" s="26"/>
      <c r="MV234" s="26"/>
      <c r="MW234" s="26"/>
      <c r="MX234" s="26"/>
      <c r="MY234" s="26"/>
      <c r="MZ234" s="26"/>
      <c r="NA234" s="26"/>
      <c r="NB234" s="26"/>
      <c r="NC234" s="26"/>
      <c r="ND234" s="26"/>
      <c r="NE234" s="26"/>
      <c r="NF234" s="26"/>
      <c r="NG234" s="26"/>
      <c r="NH234" s="26"/>
      <c r="NI234" s="26"/>
      <c r="NJ234" s="26"/>
      <c r="NK234" s="26"/>
      <c r="NL234" s="26"/>
      <c r="NM234" s="26"/>
      <c r="NN234" s="26"/>
      <c r="NO234" s="26"/>
      <c r="NP234" s="26"/>
      <c r="NQ234" s="26"/>
      <c r="NR234" s="26"/>
      <c r="NS234" s="26"/>
      <c r="NT234" s="26"/>
      <c r="NU234" s="26"/>
      <c r="NV234" s="26"/>
      <c r="NW234" s="26"/>
      <c r="NX234" s="26"/>
      <c r="NY234" s="26"/>
      <c r="NZ234" s="26"/>
      <c r="OA234" s="26"/>
      <c r="OB234" s="26"/>
      <c r="OC234" s="26"/>
      <c r="OD234" s="26"/>
      <c r="OE234" s="26"/>
      <c r="OF234" s="26"/>
      <c r="OG234" s="26"/>
      <c r="OH234" s="26"/>
      <c r="OI234" s="26"/>
      <c r="OJ234" s="26"/>
      <c r="OK234" s="26"/>
      <c r="OL234" s="26"/>
      <c r="OM234" s="26"/>
      <c r="ON234" s="26"/>
      <c r="OO234" s="26"/>
      <c r="OP234" s="26"/>
      <c r="OQ234" s="26"/>
      <c r="OR234" s="26"/>
      <c r="OS234" s="26"/>
      <c r="OT234" s="26"/>
      <c r="OU234" s="26"/>
      <c r="OV234" s="26"/>
      <c r="OW234" s="26"/>
      <c r="OX234" s="26"/>
      <c r="OY234" s="26"/>
      <c r="OZ234" s="26"/>
      <c r="PA234" s="26"/>
      <c r="PB234" s="26"/>
      <c r="PC234" s="26"/>
      <c r="PD234" s="26"/>
      <c r="PE234" s="26"/>
      <c r="PF234" s="26"/>
      <c r="PG234" s="26"/>
      <c r="PH234" s="26"/>
      <c r="PI234" s="26"/>
      <c r="PJ234" s="26"/>
      <c r="PK234" s="26"/>
      <c r="PL234" s="26"/>
      <c r="PM234" s="26"/>
      <c r="PN234" s="26"/>
      <c r="PO234" s="26"/>
      <c r="PP234" s="26"/>
      <c r="PQ234" s="26"/>
      <c r="PR234" s="26"/>
      <c r="PS234" s="26"/>
      <c r="PT234" s="26"/>
      <c r="PU234" s="26"/>
      <c r="PV234" s="26"/>
      <c r="PW234" s="26"/>
      <c r="PX234" s="26"/>
      <c r="PY234" s="26"/>
      <c r="PZ234" s="26"/>
      <c r="QA234" s="26"/>
      <c r="QB234" s="26"/>
      <c r="QC234" s="26"/>
      <c r="QD234" s="26"/>
      <c r="QE234" s="26"/>
      <c r="QF234" s="26"/>
      <c r="QG234" s="26"/>
      <c r="QH234" s="26"/>
      <c r="QI234" s="26"/>
      <c r="QJ234" s="26"/>
      <c r="QK234" s="26"/>
      <c r="QL234" s="26"/>
      <c r="QM234" s="26"/>
      <c r="QN234" s="26"/>
      <c r="QO234" s="26"/>
      <c r="QP234" s="26"/>
      <c r="QQ234" s="26"/>
      <c r="QR234" s="26"/>
      <c r="QS234" s="26"/>
      <c r="QT234" s="26"/>
      <c r="QU234" s="26"/>
      <c r="QV234" s="26"/>
      <c r="QW234" s="26"/>
      <c r="QX234" s="26"/>
      <c r="QY234" s="26"/>
      <c r="QZ234" s="26"/>
      <c r="RA234" s="26"/>
      <c r="RB234" s="26"/>
      <c r="RC234" s="26"/>
      <c r="RD234" s="26"/>
      <c r="RE234" s="26"/>
      <c r="RF234" s="26"/>
      <c r="RG234" s="26"/>
      <c r="RH234" s="26"/>
      <c r="RI234" s="26"/>
      <c r="RJ234" s="26"/>
      <c r="RK234" s="26"/>
      <c r="RL234" s="26"/>
      <c r="RM234" s="26"/>
      <c r="RN234" s="26"/>
      <c r="RO234" s="26"/>
      <c r="RP234" s="26"/>
      <c r="RQ234" s="26"/>
      <c r="RR234" s="26"/>
      <c r="RS234" s="26"/>
      <c r="RT234" s="26"/>
      <c r="RU234" s="26"/>
      <c r="RV234" s="26"/>
      <c r="RW234" s="26"/>
      <c r="RX234" s="26"/>
      <c r="RY234" s="26"/>
      <c r="RZ234" s="26"/>
      <c r="SA234" s="26"/>
      <c r="SB234" s="26"/>
      <c r="SC234" s="26"/>
      <c r="SD234" s="26"/>
      <c r="SE234" s="26"/>
      <c r="SF234" s="26"/>
      <c r="SG234" s="26"/>
      <c r="SH234" s="26"/>
      <c r="SI234" s="26"/>
      <c r="SJ234" s="26"/>
      <c r="SK234" s="26"/>
      <c r="SL234" s="26"/>
      <c r="SM234" s="26"/>
      <c r="SN234" s="26"/>
      <c r="SO234" s="26"/>
      <c r="SP234" s="26"/>
      <c r="SQ234" s="26"/>
      <c r="SR234" s="26"/>
      <c r="SS234" s="26"/>
      <c r="ST234" s="26"/>
      <c r="SU234" s="26"/>
      <c r="SV234" s="26"/>
      <c r="SW234" s="26"/>
      <c r="SX234" s="26"/>
      <c r="SY234" s="26"/>
      <c r="SZ234" s="26"/>
      <c r="TA234" s="26"/>
      <c r="TB234" s="26"/>
      <c r="TC234" s="26"/>
      <c r="TD234" s="26"/>
      <c r="TE234" s="26"/>
      <c r="TF234" s="26"/>
      <c r="TG234" s="26"/>
      <c r="TH234" s="26"/>
      <c r="TI234" s="26"/>
    </row>
    <row r="235" spans="1:529" s="31" customFormat="1" ht="35.25" customHeight="1" x14ac:dyDescent="0.2">
      <c r="A235" s="178" t="s">
        <v>224</v>
      </c>
      <c r="B235" s="71"/>
      <c r="C235" s="71"/>
      <c r="D235" s="30" t="s">
        <v>44</v>
      </c>
      <c r="E235" s="63">
        <f>E236</f>
        <v>9090541</v>
      </c>
      <c r="F235" s="63">
        <f t="shared" ref="F235:J235" si="124">F236</f>
        <v>9090541</v>
      </c>
      <c r="G235" s="63">
        <f t="shared" si="124"/>
        <v>6943906</v>
      </c>
      <c r="H235" s="63">
        <f t="shared" si="124"/>
        <v>92400</v>
      </c>
      <c r="I235" s="63">
        <f t="shared" si="124"/>
        <v>0</v>
      </c>
      <c r="J235" s="63">
        <f t="shared" si="124"/>
        <v>2696249.54</v>
      </c>
      <c r="K235" s="63">
        <f t="shared" ref="K235" si="125">K236</f>
        <v>0</v>
      </c>
      <c r="L235" s="63">
        <f t="shared" ref="L235" si="126">L236</f>
        <v>1716249.54</v>
      </c>
      <c r="M235" s="63">
        <f t="shared" ref="M235" si="127">M236</f>
        <v>0</v>
      </c>
      <c r="N235" s="63">
        <f t="shared" ref="N235" si="128">N236</f>
        <v>0</v>
      </c>
      <c r="O235" s="63">
        <f t="shared" ref="O235:P235" si="129">O236</f>
        <v>980000</v>
      </c>
      <c r="P235" s="63">
        <f t="shared" si="129"/>
        <v>11786790.539999999</v>
      </c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  <c r="DG235" s="38"/>
      <c r="DH235" s="38"/>
      <c r="DI235" s="38"/>
      <c r="DJ235" s="38"/>
      <c r="DK235" s="38"/>
      <c r="DL235" s="38"/>
      <c r="DM235" s="38"/>
      <c r="DN235" s="38"/>
      <c r="DO235" s="38"/>
      <c r="DP235" s="38"/>
      <c r="DQ235" s="38"/>
      <c r="DR235" s="38"/>
      <c r="DS235" s="38"/>
      <c r="DT235" s="38"/>
      <c r="DU235" s="38"/>
      <c r="DV235" s="38"/>
      <c r="DW235" s="38"/>
      <c r="DX235" s="38"/>
      <c r="DY235" s="38"/>
      <c r="DZ235" s="38"/>
      <c r="EA235" s="38"/>
      <c r="EB235" s="38"/>
      <c r="EC235" s="38"/>
      <c r="ED235" s="38"/>
      <c r="EE235" s="38"/>
      <c r="EF235" s="38"/>
      <c r="EG235" s="38"/>
      <c r="EH235" s="38"/>
      <c r="EI235" s="38"/>
      <c r="EJ235" s="38"/>
      <c r="EK235" s="38"/>
      <c r="EL235" s="38"/>
      <c r="EM235" s="38"/>
      <c r="EN235" s="38"/>
      <c r="EO235" s="38"/>
      <c r="EP235" s="38"/>
      <c r="EQ235" s="38"/>
      <c r="ER235" s="38"/>
      <c r="ES235" s="38"/>
      <c r="ET235" s="38"/>
      <c r="EU235" s="38"/>
      <c r="EV235" s="38"/>
      <c r="EW235" s="38"/>
      <c r="EX235" s="38"/>
      <c r="EY235" s="38"/>
      <c r="EZ235" s="38"/>
      <c r="FA235" s="38"/>
      <c r="FB235" s="38"/>
      <c r="FC235" s="38"/>
      <c r="FD235" s="38"/>
      <c r="FE235" s="38"/>
      <c r="FF235" s="38"/>
      <c r="FG235" s="38"/>
      <c r="FH235" s="38"/>
      <c r="FI235" s="38"/>
      <c r="FJ235" s="38"/>
      <c r="FK235" s="38"/>
      <c r="FL235" s="38"/>
      <c r="FM235" s="38"/>
      <c r="FN235" s="38"/>
      <c r="FO235" s="38"/>
      <c r="FP235" s="38"/>
      <c r="FQ235" s="38"/>
      <c r="FR235" s="38"/>
      <c r="FS235" s="38"/>
      <c r="FT235" s="38"/>
      <c r="FU235" s="38"/>
      <c r="FV235" s="38"/>
      <c r="FW235" s="38"/>
      <c r="FX235" s="38"/>
      <c r="FY235" s="38"/>
      <c r="FZ235" s="38"/>
      <c r="GA235" s="38"/>
      <c r="GB235" s="38"/>
      <c r="GC235" s="38"/>
      <c r="GD235" s="38"/>
      <c r="GE235" s="38"/>
      <c r="GF235" s="38"/>
      <c r="GG235" s="38"/>
      <c r="GH235" s="38"/>
      <c r="GI235" s="38"/>
      <c r="GJ235" s="38"/>
      <c r="GK235" s="38"/>
      <c r="GL235" s="38"/>
      <c r="GM235" s="38"/>
      <c r="GN235" s="38"/>
      <c r="GO235" s="38"/>
      <c r="GP235" s="38"/>
      <c r="GQ235" s="38"/>
      <c r="GR235" s="38"/>
      <c r="GS235" s="38"/>
      <c r="GT235" s="38"/>
      <c r="GU235" s="38"/>
      <c r="GV235" s="38"/>
      <c r="GW235" s="38"/>
      <c r="GX235" s="38"/>
      <c r="GY235" s="38"/>
      <c r="GZ235" s="38"/>
      <c r="HA235" s="38"/>
      <c r="HB235" s="38"/>
      <c r="HC235" s="38"/>
      <c r="HD235" s="38"/>
      <c r="HE235" s="38"/>
      <c r="HF235" s="38"/>
      <c r="HG235" s="38"/>
      <c r="HH235" s="38"/>
      <c r="HI235" s="38"/>
      <c r="HJ235" s="38"/>
      <c r="HK235" s="38"/>
      <c r="HL235" s="38"/>
      <c r="HM235" s="38"/>
      <c r="HN235" s="38"/>
      <c r="HO235" s="38"/>
      <c r="HP235" s="38"/>
      <c r="HQ235" s="38"/>
      <c r="HR235" s="38"/>
      <c r="HS235" s="38"/>
      <c r="HT235" s="38"/>
      <c r="HU235" s="38"/>
      <c r="HV235" s="38"/>
      <c r="HW235" s="38"/>
      <c r="HX235" s="38"/>
      <c r="HY235" s="38"/>
      <c r="HZ235" s="38"/>
      <c r="IA235" s="38"/>
      <c r="IB235" s="38"/>
      <c r="IC235" s="38"/>
      <c r="ID235" s="38"/>
      <c r="IE235" s="38"/>
      <c r="IF235" s="38"/>
      <c r="IG235" s="38"/>
      <c r="IH235" s="38"/>
      <c r="II235" s="38"/>
      <c r="IJ235" s="38"/>
      <c r="IK235" s="38"/>
      <c r="IL235" s="38"/>
      <c r="IM235" s="38"/>
      <c r="IN235" s="38"/>
      <c r="IO235" s="38"/>
      <c r="IP235" s="38"/>
      <c r="IQ235" s="38"/>
      <c r="IR235" s="38"/>
      <c r="IS235" s="38"/>
      <c r="IT235" s="38"/>
      <c r="IU235" s="38"/>
      <c r="IV235" s="38"/>
      <c r="IW235" s="38"/>
      <c r="IX235" s="38"/>
      <c r="IY235" s="38"/>
      <c r="IZ235" s="38"/>
      <c r="JA235" s="38"/>
      <c r="JB235" s="38"/>
      <c r="JC235" s="38"/>
      <c r="JD235" s="38"/>
      <c r="JE235" s="38"/>
      <c r="JF235" s="38"/>
      <c r="JG235" s="38"/>
      <c r="JH235" s="38"/>
      <c r="JI235" s="38"/>
      <c r="JJ235" s="38"/>
      <c r="JK235" s="38"/>
      <c r="JL235" s="38"/>
      <c r="JM235" s="38"/>
      <c r="JN235" s="38"/>
      <c r="JO235" s="38"/>
      <c r="JP235" s="38"/>
      <c r="JQ235" s="38"/>
      <c r="JR235" s="38"/>
      <c r="JS235" s="38"/>
      <c r="JT235" s="38"/>
      <c r="JU235" s="38"/>
      <c r="JV235" s="38"/>
      <c r="JW235" s="38"/>
      <c r="JX235" s="38"/>
      <c r="JY235" s="38"/>
      <c r="JZ235" s="38"/>
      <c r="KA235" s="38"/>
      <c r="KB235" s="38"/>
      <c r="KC235" s="38"/>
      <c r="KD235" s="38"/>
      <c r="KE235" s="38"/>
      <c r="KF235" s="38"/>
      <c r="KG235" s="38"/>
      <c r="KH235" s="38"/>
      <c r="KI235" s="38"/>
      <c r="KJ235" s="38"/>
      <c r="KK235" s="38"/>
      <c r="KL235" s="38"/>
      <c r="KM235" s="38"/>
      <c r="KN235" s="38"/>
      <c r="KO235" s="38"/>
      <c r="KP235" s="38"/>
      <c r="KQ235" s="38"/>
      <c r="KR235" s="38"/>
      <c r="KS235" s="38"/>
      <c r="KT235" s="38"/>
      <c r="KU235" s="38"/>
      <c r="KV235" s="38"/>
      <c r="KW235" s="38"/>
      <c r="KX235" s="38"/>
      <c r="KY235" s="38"/>
      <c r="KZ235" s="38"/>
      <c r="LA235" s="38"/>
      <c r="LB235" s="38"/>
      <c r="LC235" s="38"/>
      <c r="LD235" s="38"/>
      <c r="LE235" s="38"/>
      <c r="LF235" s="38"/>
      <c r="LG235" s="38"/>
      <c r="LH235" s="38"/>
      <c r="LI235" s="38"/>
      <c r="LJ235" s="38"/>
      <c r="LK235" s="38"/>
      <c r="LL235" s="38"/>
      <c r="LM235" s="38"/>
      <c r="LN235" s="38"/>
      <c r="LO235" s="38"/>
      <c r="LP235" s="38"/>
      <c r="LQ235" s="38"/>
      <c r="LR235" s="38"/>
      <c r="LS235" s="38"/>
      <c r="LT235" s="38"/>
      <c r="LU235" s="38"/>
      <c r="LV235" s="38"/>
      <c r="LW235" s="38"/>
      <c r="LX235" s="38"/>
      <c r="LY235" s="38"/>
      <c r="LZ235" s="38"/>
      <c r="MA235" s="38"/>
      <c r="MB235" s="38"/>
      <c r="MC235" s="38"/>
      <c r="MD235" s="38"/>
      <c r="ME235" s="38"/>
      <c r="MF235" s="38"/>
      <c r="MG235" s="38"/>
      <c r="MH235" s="38"/>
      <c r="MI235" s="38"/>
      <c r="MJ235" s="38"/>
      <c r="MK235" s="38"/>
      <c r="ML235" s="38"/>
      <c r="MM235" s="38"/>
      <c r="MN235" s="38"/>
      <c r="MO235" s="38"/>
      <c r="MP235" s="38"/>
      <c r="MQ235" s="38"/>
      <c r="MR235" s="38"/>
      <c r="MS235" s="38"/>
      <c r="MT235" s="38"/>
      <c r="MU235" s="38"/>
      <c r="MV235" s="38"/>
      <c r="MW235" s="38"/>
      <c r="MX235" s="38"/>
      <c r="MY235" s="38"/>
      <c r="MZ235" s="38"/>
      <c r="NA235" s="38"/>
      <c r="NB235" s="38"/>
      <c r="NC235" s="38"/>
      <c r="ND235" s="38"/>
      <c r="NE235" s="38"/>
      <c r="NF235" s="38"/>
      <c r="NG235" s="38"/>
      <c r="NH235" s="38"/>
      <c r="NI235" s="38"/>
      <c r="NJ235" s="38"/>
      <c r="NK235" s="38"/>
      <c r="NL235" s="38"/>
      <c r="NM235" s="38"/>
      <c r="NN235" s="38"/>
      <c r="NO235" s="38"/>
      <c r="NP235" s="38"/>
      <c r="NQ235" s="38"/>
      <c r="NR235" s="38"/>
      <c r="NS235" s="38"/>
      <c r="NT235" s="38"/>
      <c r="NU235" s="38"/>
      <c r="NV235" s="38"/>
      <c r="NW235" s="38"/>
      <c r="NX235" s="38"/>
      <c r="NY235" s="38"/>
      <c r="NZ235" s="38"/>
      <c r="OA235" s="38"/>
      <c r="OB235" s="38"/>
      <c r="OC235" s="38"/>
      <c r="OD235" s="38"/>
      <c r="OE235" s="38"/>
      <c r="OF235" s="38"/>
      <c r="OG235" s="38"/>
      <c r="OH235" s="38"/>
      <c r="OI235" s="38"/>
      <c r="OJ235" s="38"/>
      <c r="OK235" s="38"/>
      <c r="OL235" s="38"/>
      <c r="OM235" s="38"/>
      <c r="ON235" s="38"/>
      <c r="OO235" s="38"/>
      <c r="OP235" s="38"/>
      <c r="OQ235" s="38"/>
      <c r="OR235" s="38"/>
      <c r="OS235" s="38"/>
      <c r="OT235" s="38"/>
      <c r="OU235" s="38"/>
      <c r="OV235" s="38"/>
      <c r="OW235" s="38"/>
      <c r="OX235" s="38"/>
      <c r="OY235" s="38"/>
      <c r="OZ235" s="38"/>
      <c r="PA235" s="38"/>
      <c r="PB235" s="38"/>
      <c r="PC235" s="38"/>
      <c r="PD235" s="38"/>
      <c r="PE235" s="38"/>
      <c r="PF235" s="38"/>
      <c r="PG235" s="38"/>
      <c r="PH235" s="38"/>
      <c r="PI235" s="38"/>
      <c r="PJ235" s="38"/>
      <c r="PK235" s="38"/>
      <c r="PL235" s="38"/>
      <c r="PM235" s="38"/>
      <c r="PN235" s="38"/>
      <c r="PO235" s="38"/>
      <c r="PP235" s="38"/>
      <c r="PQ235" s="38"/>
      <c r="PR235" s="38"/>
      <c r="PS235" s="38"/>
      <c r="PT235" s="38"/>
      <c r="PU235" s="38"/>
      <c r="PV235" s="38"/>
      <c r="PW235" s="38"/>
      <c r="PX235" s="38"/>
      <c r="PY235" s="38"/>
      <c r="PZ235" s="38"/>
      <c r="QA235" s="38"/>
      <c r="QB235" s="38"/>
      <c r="QC235" s="38"/>
      <c r="QD235" s="38"/>
      <c r="QE235" s="38"/>
      <c r="QF235" s="38"/>
      <c r="QG235" s="38"/>
      <c r="QH235" s="38"/>
      <c r="QI235" s="38"/>
      <c r="QJ235" s="38"/>
      <c r="QK235" s="38"/>
      <c r="QL235" s="38"/>
      <c r="QM235" s="38"/>
      <c r="QN235" s="38"/>
      <c r="QO235" s="38"/>
      <c r="QP235" s="38"/>
      <c r="QQ235" s="38"/>
      <c r="QR235" s="38"/>
      <c r="QS235" s="38"/>
      <c r="QT235" s="38"/>
      <c r="QU235" s="38"/>
      <c r="QV235" s="38"/>
      <c r="QW235" s="38"/>
      <c r="QX235" s="38"/>
      <c r="QY235" s="38"/>
      <c r="QZ235" s="38"/>
      <c r="RA235" s="38"/>
      <c r="RB235" s="38"/>
      <c r="RC235" s="38"/>
      <c r="RD235" s="38"/>
      <c r="RE235" s="38"/>
      <c r="RF235" s="38"/>
      <c r="RG235" s="38"/>
      <c r="RH235" s="38"/>
      <c r="RI235" s="38"/>
      <c r="RJ235" s="38"/>
      <c r="RK235" s="38"/>
      <c r="RL235" s="38"/>
      <c r="RM235" s="38"/>
      <c r="RN235" s="38"/>
      <c r="RO235" s="38"/>
      <c r="RP235" s="38"/>
      <c r="RQ235" s="38"/>
      <c r="RR235" s="38"/>
      <c r="RS235" s="38"/>
      <c r="RT235" s="38"/>
      <c r="RU235" s="38"/>
      <c r="RV235" s="38"/>
      <c r="RW235" s="38"/>
      <c r="RX235" s="38"/>
      <c r="RY235" s="38"/>
      <c r="RZ235" s="38"/>
      <c r="SA235" s="38"/>
      <c r="SB235" s="38"/>
      <c r="SC235" s="38"/>
      <c r="SD235" s="38"/>
      <c r="SE235" s="38"/>
      <c r="SF235" s="38"/>
      <c r="SG235" s="38"/>
      <c r="SH235" s="38"/>
      <c r="SI235" s="38"/>
      <c r="SJ235" s="38"/>
      <c r="SK235" s="38"/>
      <c r="SL235" s="38"/>
      <c r="SM235" s="38"/>
      <c r="SN235" s="38"/>
      <c r="SO235" s="38"/>
      <c r="SP235" s="38"/>
      <c r="SQ235" s="38"/>
      <c r="SR235" s="38"/>
      <c r="SS235" s="38"/>
      <c r="ST235" s="38"/>
      <c r="SU235" s="38"/>
      <c r="SV235" s="38"/>
      <c r="SW235" s="38"/>
      <c r="SX235" s="38"/>
      <c r="SY235" s="38"/>
      <c r="SZ235" s="38"/>
      <c r="TA235" s="38"/>
      <c r="TB235" s="38"/>
      <c r="TC235" s="38"/>
      <c r="TD235" s="38"/>
      <c r="TE235" s="38"/>
      <c r="TF235" s="38"/>
      <c r="TG235" s="38"/>
      <c r="TH235" s="38"/>
      <c r="TI235" s="38"/>
    </row>
    <row r="236" spans="1:529" s="40" customFormat="1" ht="41.25" customHeight="1" x14ac:dyDescent="0.25">
      <c r="A236" s="73" t="s">
        <v>225</v>
      </c>
      <c r="B236" s="72"/>
      <c r="C236" s="72"/>
      <c r="D236" s="33" t="s">
        <v>44</v>
      </c>
      <c r="E236" s="65">
        <f>E237+E238+E239</f>
        <v>9090541</v>
      </c>
      <c r="F236" s="65">
        <f t="shared" ref="F236:P236" si="130">F237+F238+F239</f>
        <v>9090541</v>
      </c>
      <c r="G236" s="65">
        <f t="shared" si="130"/>
        <v>6943906</v>
      </c>
      <c r="H236" s="65">
        <f t="shared" si="130"/>
        <v>92400</v>
      </c>
      <c r="I236" s="65">
        <f t="shared" si="130"/>
        <v>0</v>
      </c>
      <c r="J236" s="65">
        <f t="shared" si="130"/>
        <v>2696249.54</v>
      </c>
      <c r="K236" s="65">
        <f t="shared" si="130"/>
        <v>0</v>
      </c>
      <c r="L236" s="65">
        <f>L237+L238+L239</f>
        <v>1716249.54</v>
      </c>
      <c r="M236" s="65">
        <f t="shared" si="130"/>
        <v>0</v>
      </c>
      <c r="N236" s="65">
        <f t="shared" si="130"/>
        <v>0</v>
      </c>
      <c r="O236" s="65">
        <f t="shared" si="130"/>
        <v>980000</v>
      </c>
      <c r="P236" s="65">
        <f t="shared" si="130"/>
        <v>11786790.539999999</v>
      </c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  <c r="FC236" s="39"/>
      <c r="FD236" s="39"/>
      <c r="FE236" s="39"/>
      <c r="FF236" s="39"/>
      <c r="FG236" s="39"/>
      <c r="FH236" s="39"/>
      <c r="FI236" s="39"/>
      <c r="FJ236" s="39"/>
      <c r="FK236" s="39"/>
      <c r="FL236" s="39"/>
      <c r="FM236" s="39"/>
      <c r="FN236" s="39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/>
      <c r="GC236" s="39"/>
      <c r="GD236" s="39"/>
      <c r="GE236" s="39"/>
      <c r="GF236" s="39"/>
      <c r="GG236" s="39"/>
      <c r="GH236" s="39"/>
      <c r="GI236" s="39"/>
      <c r="GJ236" s="39"/>
      <c r="GK236" s="39"/>
      <c r="GL236" s="39"/>
      <c r="GM236" s="39"/>
      <c r="GN236" s="39"/>
      <c r="GO236" s="39"/>
      <c r="GP236" s="39"/>
      <c r="GQ236" s="39"/>
      <c r="GR236" s="39"/>
      <c r="GS236" s="39"/>
      <c r="GT236" s="39"/>
      <c r="GU236" s="39"/>
      <c r="GV236" s="39"/>
      <c r="GW236" s="39"/>
      <c r="GX236" s="39"/>
      <c r="GY236" s="39"/>
      <c r="GZ236" s="39"/>
      <c r="HA236" s="39"/>
      <c r="HB236" s="39"/>
      <c r="HC236" s="39"/>
      <c r="HD236" s="39"/>
      <c r="HE236" s="39"/>
      <c r="HF236" s="39"/>
      <c r="HG236" s="39"/>
      <c r="HH236" s="39"/>
      <c r="HI236" s="39"/>
      <c r="HJ236" s="39"/>
      <c r="HK236" s="39"/>
      <c r="HL236" s="39"/>
      <c r="HM236" s="39"/>
      <c r="HN236" s="39"/>
      <c r="HO236" s="39"/>
      <c r="HP236" s="39"/>
      <c r="HQ236" s="39"/>
      <c r="HR236" s="39"/>
      <c r="HS236" s="39"/>
      <c r="HT236" s="39"/>
      <c r="HU236" s="39"/>
      <c r="HV236" s="39"/>
      <c r="HW236" s="39"/>
      <c r="HX236" s="39"/>
      <c r="HY236" s="39"/>
      <c r="HZ236" s="39"/>
      <c r="IA236" s="39"/>
      <c r="IB236" s="39"/>
      <c r="IC236" s="39"/>
      <c r="ID236" s="39"/>
      <c r="IE236" s="39"/>
      <c r="IF236" s="39"/>
      <c r="IG236" s="39"/>
      <c r="IH236" s="39"/>
      <c r="II236" s="39"/>
      <c r="IJ236" s="39"/>
      <c r="IK236" s="39"/>
      <c r="IL236" s="39"/>
      <c r="IM236" s="39"/>
      <c r="IN236" s="39"/>
      <c r="IO236" s="39"/>
      <c r="IP236" s="39"/>
      <c r="IQ236" s="39"/>
      <c r="IR236" s="39"/>
      <c r="IS236" s="39"/>
      <c r="IT236" s="39"/>
      <c r="IU236" s="39"/>
      <c r="IV236" s="39"/>
      <c r="IW236" s="39"/>
      <c r="IX236" s="39"/>
      <c r="IY236" s="39"/>
      <c r="IZ236" s="39"/>
      <c r="JA236" s="39"/>
      <c r="JB236" s="39"/>
      <c r="JC236" s="39"/>
      <c r="JD236" s="39"/>
      <c r="JE236" s="39"/>
      <c r="JF236" s="39"/>
      <c r="JG236" s="39"/>
      <c r="JH236" s="39"/>
      <c r="JI236" s="39"/>
      <c r="JJ236" s="39"/>
      <c r="JK236" s="39"/>
      <c r="JL236" s="39"/>
      <c r="JM236" s="39"/>
      <c r="JN236" s="39"/>
      <c r="JO236" s="39"/>
      <c r="JP236" s="39"/>
      <c r="JQ236" s="39"/>
      <c r="JR236" s="39"/>
      <c r="JS236" s="39"/>
      <c r="JT236" s="39"/>
      <c r="JU236" s="39"/>
      <c r="JV236" s="39"/>
      <c r="JW236" s="39"/>
      <c r="JX236" s="39"/>
      <c r="JY236" s="39"/>
      <c r="JZ236" s="39"/>
      <c r="KA236" s="39"/>
      <c r="KB236" s="39"/>
      <c r="KC236" s="39"/>
      <c r="KD236" s="39"/>
      <c r="KE236" s="39"/>
      <c r="KF236" s="39"/>
      <c r="KG236" s="39"/>
      <c r="KH236" s="39"/>
      <c r="KI236" s="39"/>
      <c r="KJ236" s="39"/>
      <c r="KK236" s="39"/>
      <c r="KL236" s="39"/>
      <c r="KM236" s="39"/>
      <c r="KN236" s="39"/>
      <c r="KO236" s="39"/>
      <c r="KP236" s="39"/>
      <c r="KQ236" s="39"/>
      <c r="KR236" s="39"/>
      <c r="KS236" s="39"/>
      <c r="KT236" s="39"/>
      <c r="KU236" s="39"/>
      <c r="KV236" s="39"/>
      <c r="KW236" s="39"/>
      <c r="KX236" s="39"/>
      <c r="KY236" s="39"/>
      <c r="KZ236" s="39"/>
      <c r="LA236" s="39"/>
      <c r="LB236" s="39"/>
      <c r="LC236" s="39"/>
      <c r="LD236" s="39"/>
      <c r="LE236" s="39"/>
      <c r="LF236" s="39"/>
      <c r="LG236" s="39"/>
      <c r="LH236" s="39"/>
      <c r="LI236" s="39"/>
      <c r="LJ236" s="39"/>
      <c r="LK236" s="39"/>
      <c r="LL236" s="39"/>
      <c r="LM236" s="39"/>
      <c r="LN236" s="39"/>
      <c r="LO236" s="39"/>
      <c r="LP236" s="39"/>
      <c r="LQ236" s="39"/>
      <c r="LR236" s="39"/>
      <c r="LS236" s="39"/>
      <c r="LT236" s="39"/>
      <c r="LU236" s="39"/>
      <c r="LV236" s="39"/>
      <c r="LW236" s="39"/>
      <c r="LX236" s="39"/>
      <c r="LY236" s="39"/>
      <c r="LZ236" s="39"/>
      <c r="MA236" s="39"/>
      <c r="MB236" s="39"/>
      <c r="MC236" s="39"/>
      <c r="MD236" s="39"/>
      <c r="ME236" s="39"/>
      <c r="MF236" s="39"/>
      <c r="MG236" s="39"/>
      <c r="MH236" s="39"/>
      <c r="MI236" s="39"/>
      <c r="MJ236" s="39"/>
      <c r="MK236" s="39"/>
      <c r="ML236" s="39"/>
      <c r="MM236" s="39"/>
      <c r="MN236" s="39"/>
      <c r="MO236" s="39"/>
      <c r="MP236" s="39"/>
      <c r="MQ236" s="39"/>
      <c r="MR236" s="39"/>
      <c r="MS236" s="39"/>
      <c r="MT236" s="39"/>
      <c r="MU236" s="39"/>
      <c r="MV236" s="39"/>
      <c r="MW236" s="39"/>
      <c r="MX236" s="39"/>
      <c r="MY236" s="39"/>
      <c r="MZ236" s="39"/>
      <c r="NA236" s="39"/>
      <c r="NB236" s="39"/>
      <c r="NC236" s="39"/>
      <c r="ND236" s="39"/>
      <c r="NE236" s="39"/>
      <c r="NF236" s="39"/>
      <c r="NG236" s="39"/>
      <c r="NH236" s="39"/>
      <c r="NI236" s="39"/>
      <c r="NJ236" s="39"/>
      <c r="NK236" s="39"/>
      <c r="NL236" s="39"/>
      <c r="NM236" s="39"/>
      <c r="NN236" s="39"/>
      <c r="NO236" s="39"/>
      <c r="NP236" s="39"/>
      <c r="NQ236" s="39"/>
      <c r="NR236" s="39"/>
      <c r="NS236" s="39"/>
      <c r="NT236" s="39"/>
      <c r="NU236" s="39"/>
      <c r="NV236" s="39"/>
      <c r="NW236" s="39"/>
      <c r="NX236" s="39"/>
      <c r="NY236" s="39"/>
      <c r="NZ236" s="39"/>
      <c r="OA236" s="39"/>
      <c r="OB236" s="39"/>
      <c r="OC236" s="39"/>
      <c r="OD236" s="39"/>
      <c r="OE236" s="39"/>
      <c r="OF236" s="39"/>
      <c r="OG236" s="39"/>
      <c r="OH236" s="39"/>
      <c r="OI236" s="39"/>
      <c r="OJ236" s="39"/>
      <c r="OK236" s="39"/>
      <c r="OL236" s="39"/>
      <c r="OM236" s="39"/>
      <c r="ON236" s="39"/>
      <c r="OO236" s="39"/>
      <c r="OP236" s="39"/>
      <c r="OQ236" s="39"/>
      <c r="OR236" s="39"/>
      <c r="OS236" s="39"/>
      <c r="OT236" s="39"/>
      <c r="OU236" s="39"/>
      <c r="OV236" s="39"/>
      <c r="OW236" s="39"/>
      <c r="OX236" s="39"/>
      <c r="OY236" s="39"/>
      <c r="OZ236" s="39"/>
      <c r="PA236" s="39"/>
      <c r="PB236" s="39"/>
      <c r="PC236" s="39"/>
      <c r="PD236" s="39"/>
      <c r="PE236" s="39"/>
      <c r="PF236" s="39"/>
      <c r="PG236" s="39"/>
      <c r="PH236" s="39"/>
      <c r="PI236" s="39"/>
      <c r="PJ236" s="39"/>
      <c r="PK236" s="39"/>
      <c r="PL236" s="39"/>
      <c r="PM236" s="39"/>
      <c r="PN236" s="39"/>
      <c r="PO236" s="39"/>
      <c r="PP236" s="39"/>
      <c r="PQ236" s="39"/>
      <c r="PR236" s="39"/>
      <c r="PS236" s="39"/>
      <c r="PT236" s="39"/>
      <c r="PU236" s="39"/>
      <c r="PV236" s="39"/>
      <c r="PW236" s="39"/>
      <c r="PX236" s="39"/>
      <c r="PY236" s="39"/>
      <c r="PZ236" s="39"/>
      <c r="QA236" s="39"/>
      <c r="QB236" s="39"/>
      <c r="QC236" s="39"/>
      <c r="QD236" s="39"/>
      <c r="QE236" s="39"/>
      <c r="QF236" s="39"/>
      <c r="QG236" s="39"/>
      <c r="QH236" s="39"/>
      <c r="QI236" s="39"/>
      <c r="QJ236" s="39"/>
      <c r="QK236" s="39"/>
      <c r="QL236" s="39"/>
      <c r="QM236" s="39"/>
      <c r="QN236" s="39"/>
      <c r="QO236" s="39"/>
      <c r="QP236" s="39"/>
      <c r="QQ236" s="39"/>
      <c r="QR236" s="39"/>
      <c r="QS236" s="39"/>
      <c r="QT236" s="39"/>
      <c r="QU236" s="39"/>
      <c r="QV236" s="39"/>
      <c r="QW236" s="39"/>
      <c r="QX236" s="39"/>
      <c r="QY236" s="39"/>
      <c r="QZ236" s="39"/>
      <c r="RA236" s="39"/>
      <c r="RB236" s="39"/>
      <c r="RC236" s="39"/>
      <c r="RD236" s="39"/>
      <c r="RE236" s="39"/>
      <c r="RF236" s="39"/>
      <c r="RG236" s="39"/>
      <c r="RH236" s="39"/>
      <c r="RI236" s="39"/>
      <c r="RJ236" s="39"/>
      <c r="RK236" s="39"/>
      <c r="RL236" s="39"/>
      <c r="RM236" s="39"/>
      <c r="RN236" s="39"/>
      <c r="RO236" s="39"/>
      <c r="RP236" s="39"/>
      <c r="RQ236" s="39"/>
      <c r="RR236" s="39"/>
      <c r="RS236" s="39"/>
      <c r="RT236" s="39"/>
      <c r="RU236" s="39"/>
      <c r="RV236" s="39"/>
      <c r="RW236" s="39"/>
      <c r="RX236" s="39"/>
      <c r="RY236" s="39"/>
      <c r="RZ236" s="39"/>
      <c r="SA236" s="39"/>
      <c r="SB236" s="39"/>
      <c r="SC236" s="39"/>
      <c r="SD236" s="39"/>
      <c r="SE236" s="39"/>
      <c r="SF236" s="39"/>
      <c r="SG236" s="39"/>
      <c r="SH236" s="39"/>
      <c r="SI236" s="39"/>
      <c r="SJ236" s="39"/>
      <c r="SK236" s="39"/>
      <c r="SL236" s="39"/>
      <c r="SM236" s="39"/>
      <c r="SN236" s="39"/>
      <c r="SO236" s="39"/>
      <c r="SP236" s="39"/>
      <c r="SQ236" s="39"/>
      <c r="SR236" s="39"/>
      <c r="SS236" s="39"/>
      <c r="ST236" s="39"/>
      <c r="SU236" s="39"/>
      <c r="SV236" s="39"/>
      <c r="SW236" s="39"/>
      <c r="SX236" s="39"/>
      <c r="SY236" s="39"/>
      <c r="SZ236" s="39"/>
      <c r="TA236" s="39"/>
      <c r="TB236" s="39"/>
      <c r="TC236" s="39"/>
      <c r="TD236" s="39"/>
      <c r="TE236" s="39"/>
      <c r="TF236" s="39"/>
      <c r="TG236" s="39"/>
      <c r="TH236" s="39"/>
      <c r="TI236" s="39"/>
    </row>
    <row r="237" spans="1:529" s="23" customFormat="1" ht="45" customHeight="1" x14ac:dyDescent="0.25">
      <c r="A237" s="43" t="s">
        <v>226</v>
      </c>
      <c r="B237" s="44" t="str">
        <f>'дод 4'!A20</f>
        <v>0160</v>
      </c>
      <c r="C237" s="44" t="str">
        <f>'дод 4'!B20</f>
        <v>0111</v>
      </c>
      <c r="D237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37" s="66">
        <f>F237+I237</f>
        <v>8915541</v>
      </c>
      <c r="F237" s="66">
        <f>8936200+12100+288619-394119+50000-19500+11841+30400</f>
        <v>8915541</v>
      </c>
      <c r="G237" s="66">
        <f>7036700+236573-323073-16000+9706</f>
        <v>6943906</v>
      </c>
      <c r="H237" s="66">
        <v>92400</v>
      </c>
      <c r="I237" s="66"/>
      <c r="J237" s="66">
        <f t="shared" si="121"/>
        <v>0</v>
      </c>
      <c r="K237" s="66"/>
      <c r="L237" s="66"/>
      <c r="M237" s="66"/>
      <c r="N237" s="66"/>
      <c r="O237" s="66"/>
      <c r="P237" s="66">
        <f>E237+J237</f>
        <v>8915541</v>
      </c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  <c r="IW237" s="26"/>
      <c r="IX237" s="26"/>
      <c r="IY237" s="26"/>
      <c r="IZ237" s="26"/>
      <c r="JA237" s="26"/>
      <c r="JB237" s="26"/>
      <c r="JC237" s="26"/>
      <c r="JD237" s="26"/>
      <c r="JE237" s="26"/>
      <c r="JF237" s="26"/>
      <c r="JG237" s="26"/>
      <c r="JH237" s="26"/>
      <c r="JI237" s="26"/>
      <c r="JJ237" s="26"/>
      <c r="JK237" s="26"/>
      <c r="JL237" s="26"/>
      <c r="JM237" s="26"/>
      <c r="JN237" s="26"/>
      <c r="JO237" s="26"/>
      <c r="JP237" s="26"/>
      <c r="JQ237" s="26"/>
      <c r="JR237" s="26"/>
      <c r="JS237" s="26"/>
      <c r="JT237" s="26"/>
      <c r="JU237" s="26"/>
      <c r="JV237" s="26"/>
      <c r="JW237" s="26"/>
      <c r="JX237" s="26"/>
      <c r="JY237" s="26"/>
      <c r="JZ237" s="26"/>
      <c r="KA237" s="26"/>
      <c r="KB237" s="26"/>
      <c r="KC237" s="26"/>
      <c r="KD237" s="26"/>
      <c r="KE237" s="26"/>
      <c r="KF237" s="26"/>
      <c r="KG237" s="26"/>
      <c r="KH237" s="26"/>
      <c r="KI237" s="26"/>
      <c r="KJ237" s="26"/>
      <c r="KK237" s="26"/>
      <c r="KL237" s="26"/>
      <c r="KM237" s="26"/>
      <c r="KN237" s="26"/>
      <c r="KO237" s="26"/>
      <c r="KP237" s="26"/>
      <c r="KQ237" s="26"/>
      <c r="KR237" s="26"/>
      <c r="KS237" s="26"/>
      <c r="KT237" s="26"/>
      <c r="KU237" s="26"/>
      <c r="KV237" s="26"/>
      <c r="KW237" s="26"/>
      <c r="KX237" s="26"/>
      <c r="KY237" s="26"/>
      <c r="KZ237" s="26"/>
      <c r="LA237" s="26"/>
      <c r="LB237" s="26"/>
      <c r="LC237" s="26"/>
      <c r="LD237" s="26"/>
      <c r="LE237" s="26"/>
      <c r="LF237" s="26"/>
      <c r="LG237" s="26"/>
      <c r="LH237" s="26"/>
      <c r="LI237" s="26"/>
      <c r="LJ237" s="26"/>
      <c r="LK237" s="26"/>
      <c r="LL237" s="26"/>
      <c r="LM237" s="26"/>
      <c r="LN237" s="26"/>
      <c r="LO237" s="26"/>
      <c r="LP237" s="26"/>
      <c r="LQ237" s="26"/>
      <c r="LR237" s="26"/>
      <c r="LS237" s="26"/>
      <c r="LT237" s="26"/>
      <c r="LU237" s="26"/>
      <c r="LV237" s="26"/>
      <c r="LW237" s="26"/>
      <c r="LX237" s="26"/>
      <c r="LY237" s="26"/>
      <c r="LZ237" s="26"/>
      <c r="MA237" s="26"/>
      <c r="MB237" s="26"/>
      <c r="MC237" s="26"/>
      <c r="MD237" s="26"/>
      <c r="ME237" s="26"/>
      <c r="MF237" s="26"/>
      <c r="MG237" s="26"/>
      <c r="MH237" s="26"/>
      <c r="MI237" s="26"/>
      <c r="MJ237" s="26"/>
      <c r="MK237" s="26"/>
      <c r="ML237" s="26"/>
      <c r="MM237" s="26"/>
      <c r="MN237" s="26"/>
      <c r="MO237" s="26"/>
      <c r="MP237" s="26"/>
      <c r="MQ237" s="26"/>
      <c r="MR237" s="26"/>
      <c r="MS237" s="26"/>
      <c r="MT237" s="26"/>
      <c r="MU237" s="26"/>
      <c r="MV237" s="26"/>
      <c r="MW237" s="26"/>
      <c r="MX237" s="26"/>
      <c r="MY237" s="26"/>
      <c r="MZ237" s="26"/>
      <c r="NA237" s="26"/>
      <c r="NB237" s="26"/>
      <c r="NC237" s="26"/>
      <c r="ND237" s="26"/>
      <c r="NE237" s="26"/>
      <c r="NF237" s="26"/>
      <c r="NG237" s="26"/>
      <c r="NH237" s="26"/>
      <c r="NI237" s="26"/>
      <c r="NJ237" s="26"/>
      <c r="NK237" s="26"/>
      <c r="NL237" s="26"/>
      <c r="NM237" s="26"/>
      <c r="NN237" s="26"/>
      <c r="NO237" s="26"/>
      <c r="NP237" s="26"/>
      <c r="NQ237" s="26"/>
      <c r="NR237" s="26"/>
      <c r="NS237" s="26"/>
      <c r="NT237" s="26"/>
      <c r="NU237" s="26"/>
      <c r="NV237" s="26"/>
      <c r="NW237" s="26"/>
      <c r="NX237" s="26"/>
      <c r="NY237" s="26"/>
      <c r="NZ237" s="26"/>
      <c r="OA237" s="26"/>
      <c r="OB237" s="26"/>
      <c r="OC237" s="26"/>
      <c r="OD237" s="26"/>
      <c r="OE237" s="26"/>
      <c r="OF237" s="26"/>
      <c r="OG237" s="26"/>
      <c r="OH237" s="26"/>
      <c r="OI237" s="26"/>
      <c r="OJ237" s="26"/>
      <c r="OK237" s="26"/>
      <c r="OL237" s="26"/>
      <c r="OM237" s="26"/>
      <c r="ON237" s="26"/>
      <c r="OO237" s="26"/>
      <c r="OP237" s="26"/>
      <c r="OQ237" s="26"/>
      <c r="OR237" s="26"/>
      <c r="OS237" s="26"/>
      <c r="OT237" s="26"/>
      <c r="OU237" s="26"/>
      <c r="OV237" s="26"/>
      <c r="OW237" s="26"/>
      <c r="OX237" s="26"/>
      <c r="OY237" s="26"/>
      <c r="OZ237" s="26"/>
      <c r="PA237" s="26"/>
      <c r="PB237" s="26"/>
      <c r="PC237" s="26"/>
      <c r="PD237" s="26"/>
      <c r="PE237" s="26"/>
      <c r="PF237" s="26"/>
      <c r="PG237" s="26"/>
      <c r="PH237" s="26"/>
      <c r="PI237" s="26"/>
      <c r="PJ237" s="26"/>
      <c r="PK237" s="26"/>
      <c r="PL237" s="26"/>
      <c r="PM237" s="26"/>
      <c r="PN237" s="26"/>
      <c r="PO237" s="26"/>
      <c r="PP237" s="26"/>
      <c r="PQ237" s="26"/>
      <c r="PR237" s="26"/>
      <c r="PS237" s="26"/>
      <c r="PT237" s="26"/>
      <c r="PU237" s="26"/>
      <c r="PV237" s="26"/>
      <c r="PW237" s="26"/>
      <c r="PX237" s="26"/>
      <c r="PY237" s="26"/>
      <c r="PZ237" s="26"/>
      <c r="QA237" s="26"/>
      <c r="QB237" s="26"/>
      <c r="QC237" s="26"/>
      <c r="QD237" s="26"/>
      <c r="QE237" s="26"/>
      <c r="QF237" s="26"/>
      <c r="QG237" s="26"/>
      <c r="QH237" s="26"/>
      <c r="QI237" s="26"/>
      <c r="QJ237" s="26"/>
      <c r="QK237" s="26"/>
      <c r="QL237" s="26"/>
      <c r="QM237" s="26"/>
      <c r="QN237" s="26"/>
      <c r="QO237" s="26"/>
      <c r="QP237" s="26"/>
      <c r="QQ237" s="26"/>
      <c r="QR237" s="26"/>
      <c r="QS237" s="26"/>
      <c r="QT237" s="26"/>
      <c r="QU237" s="26"/>
      <c r="QV237" s="26"/>
      <c r="QW237" s="26"/>
      <c r="QX237" s="26"/>
      <c r="QY237" s="26"/>
      <c r="QZ237" s="26"/>
      <c r="RA237" s="26"/>
      <c r="RB237" s="26"/>
      <c r="RC237" s="26"/>
      <c r="RD237" s="26"/>
      <c r="RE237" s="26"/>
      <c r="RF237" s="26"/>
      <c r="RG237" s="26"/>
      <c r="RH237" s="26"/>
      <c r="RI237" s="26"/>
      <c r="RJ237" s="26"/>
      <c r="RK237" s="26"/>
      <c r="RL237" s="26"/>
      <c r="RM237" s="26"/>
      <c r="RN237" s="26"/>
      <c r="RO237" s="26"/>
      <c r="RP237" s="26"/>
      <c r="RQ237" s="26"/>
      <c r="RR237" s="26"/>
      <c r="RS237" s="26"/>
      <c r="RT237" s="26"/>
      <c r="RU237" s="26"/>
      <c r="RV237" s="26"/>
      <c r="RW237" s="26"/>
      <c r="RX237" s="26"/>
      <c r="RY237" s="26"/>
      <c r="RZ237" s="26"/>
      <c r="SA237" s="26"/>
      <c r="SB237" s="26"/>
      <c r="SC237" s="26"/>
      <c r="SD237" s="26"/>
      <c r="SE237" s="26"/>
      <c r="SF237" s="26"/>
      <c r="SG237" s="26"/>
      <c r="SH237" s="26"/>
      <c r="SI237" s="26"/>
      <c r="SJ237" s="26"/>
      <c r="SK237" s="26"/>
      <c r="SL237" s="26"/>
      <c r="SM237" s="26"/>
      <c r="SN237" s="26"/>
      <c r="SO237" s="26"/>
      <c r="SP237" s="26"/>
      <c r="SQ237" s="26"/>
      <c r="SR237" s="26"/>
      <c r="SS237" s="26"/>
      <c r="ST237" s="26"/>
      <c r="SU237" s="26"/>
      <c r="SV237" s="26"/>
      <c r="SW237" s="26"/>
      <c r="SX237" s="26"/>
      <c r="SY237" s="26"/>
      <c r="SZ237" s="26"/>
      <c r="TA237" s="26"/>
      <c r="TB237" s="26"/>
      <c r="TC237" s="26"/>
      <c r="TD237" s="26"/>
      <c r="TE237" s="26"/>
      <c r="TF237" s="26"/>
      <c r="TG237" s="26"/>
      <c r="TH237" s="26"/>
      <c r="TI237" s="26"/>
    </row>
    <row r="238" spans="1:529" s="23" customFormat="1" ht="34.5" customHeight="1" x14ac:dyDescent="0.25">
      <c r="A238" s="43" t="s">
        <v>341</v>
      </c>
      <c r="B238" s="44" t="str">
        <f>'дод 4'!A131</f>
        <v>6090</v>
      </c>
      <c r="C238" s="44" t="str">
        <f>'дод 4'!B131</f>
        <v>0640</v>
      </c>
      <c r="D238" s="24" t="str">
        <f>'дод 4'!C131</f>
        <v>Інша діяльність у сфері житлово-комунального господарства</v>
      </c>
      <c r="E238" s="66">
        <f>F238+I238</f>
        <v>175000</v>
      </c>
      <c r="F238" s="66">
        <v>175000</v>
      </c>
      <c r="G238" s="66"/>
      <c r="H238" s="66"/>
      <c r="I238" s="66"/>
      <c r="J238" s="66">
        <f t="shared" si="121"/>
        <v>0</v>
      </c>
      <c r="K238" s="66"/>
      <c r="L238" s="66"/>
      <c r="M238" s="66"/>
      <c r="N238" s="66"/>
      <c r="O238" s="66"/>
      <c r="P238" s="66">
        <f>E238+J238</f>
        <v>175000</v>
      </c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  <c r="IW238" s="26"/>
      <c r="IX238" s="26"/>
      <c r="IY238" s="26"/>
      <c r="IZ238" s="26"/>
      <c r="JA238" s="26"/>
      <c r="JB238" s="26"/>
      <c r="JC238" s="26"/>
      <c r="JD238" s="26"/>
      <c r="JE238" s="26"/>
      <c r="JF238" s="26"/>
      <c r="JG238" s="26"/>
      <c r="JH238" s="26"/>
      <c r="JI238" s="26"/>
      <c r="JJ238" s="26"/>
      <c r="JK238" s="26"/>
      <c r="JL238" s="26"/>
      <c r="JM238" s="26"/>
      <c r="JN238" s="26"/>
      <c r="JO238" s="26"/>
      <c r="JP238" s="26"/>
      <c r="JQ238" s="26"/>
      <c r="JR238" s="26"/>
      <c r="JS238" s="26"/>
      <c r="JT238" s="26"/>
      <c r="JU238" s="26"/>
      <c r="JV238" s="26"/>
      <c r="JW238" s="26"/>
      <c r="JX238" s="26"/>
      <c r="JY238" s="26"/>
      <c r="JZ238" s="26"/>
      <c r="KA238" s="26"/>
      <c r="KB238" s="26"/>
      <c r="KC238" s="26"/>
      <c r="KD238" s="26"/>
      <c r="KE238" s="26"/>
      <c r="KF238" s="26"/>
      <c r="KG238" s="26"/>
      <c r="KH238" s="26"/>
      <c r="KI238" s="26"/>
      <c r="KJ238" s="26"/>
      <c r="KK238" s="26"/>
      <c r="KL238" s="26"/>
      <c r="KM238" s="26"/>
      <c r="KN238" s="26"/>
      <c r="KO238" s="26"/>
      <c r="KP238" s="26"/>
      <c r="KQ238" s="26"/>
      <c r="KR238" s="26"/>
      <c r="KS238" s="26"/>
      <c r="KT238" s="26"/>
      <c r="KU238" s="26"/>
      <c r="KV238" s="26"/>
      <c r="KW238" s="26"/>
      <c r="KX238" s="26"/>
      <c r="KY238" s="26"/>
      <c r="KZ238" s="26"/>
      <c r="LA238" s="26"/>
      <c r="LB238" s="26"/>
      <c r="LC238" s="26"/>
      <c r="LD238" s="26"/>
      <c r="LE238" s="26"/>
      <c r="LF238" s="26"/>
      <c r="LG238" s="26"/>
      <c r="LH238" s="26"/>
      <c r="LI238" s="26"/>
      <c r="LJ238" s="26"/>
      <c r="LK238" s="26"/>
      <c r="LL238" s="26"/>
      <c r="LM238" s="26"/>
      <c r="LN238" s="26"/>
      <c r="LO238" s="26"/>
      <c r="LP238" s="26"/>
      <c r="LQ238" s="26"/>
      <c r="LR238" s="26"/>
      <c r="LS238" s="26"/>
      <c r="LT238" s="26"/>
      <c r="LU238" s="26"/>
      <c r="LV238" s="26"/>
      <c r="LW238" s="26"/>
      <c r="LX238" s="26"/>
      <c r="LY238" s="26"/>
      <c r="LZ238" s="26"/>
      <c r="MA238" s="26"/>
      <c r="MB238" s="26"/>
      <c r="MC238" s="26"/>
      <c r="MD238" s="26"/>
      <c r="ME238" s="26"/>
      <c r="MF238" s="26"/>
      <c r="MG238" s="26"/>
      <c r="MH238" s="26"/>
      <c r="MI238" s="26"/>
      <c r="MJ238" s="26"/>
      <c r="MK238" s="26"/>
      <c r="ML238" s="26"/>
      <c r="MM238" s="26"/>
      <c r="MN238" s="26"/>
      <c r="MO238" s="26"/>
      <c r="MP238" s="26"/>
      <c r="MQ238" s="26"/>
      <c r="MR238" s="26"/>
      <c r="MS238" s="26"/>
      <c r="MT238" s="26"/>
      <c r="MU238" s="26"/>
      <c r="MV238" s="26"/>
      <c r="MW238" s="26"/>
      <c r="MX238" s="26"/>
      <c r="MY238" s="26"/>
      <c r="MZ238" s="26"/>
      <c r="NA238" s="26"/>
      <c r="NB238" s="26"/>
      <c r="NC238" s="26"/>
      <c r="ND238" s="26"/>
      <c r="NE238" s="26"/>
      <c r="NF238" s="26"/>
      <c r="NG238" s="26"/>
      <c r="NH238" s="26"/>
      <c r="NI238" s="26"/>
      <c r="NJ238" s="26"/>
      <c r="NK238" s="26"/>
      <c r="NL238" s="26"/>
      <c r="NM238" s="26"/>
      <c r="NN238" s="26"/>
      <c r="NO238" s="26"/>
      <c r="NP238" s="26"/>
      <c r="NQ238" s="26"/>
      <c r="NR238" s="26"/>
      <c r="NS238" s="26"/>
      <c r="NT238" s="26"/>
      <c r="NU238" s="26"/>
      <c r="NV238" s="26"/>
      <c r="NW238" s="26"/>
      <c r="NX238" s="26"/>
      <c r="NY238" s="26"/>
      <c r="NZ238" s="26"/>
      <c r="OA238" s="26"/>
      <c r="OB238" s="26"/>
      <c r="OC238" s="26"/>
      <c r="OD238" s="26"/>
      <c r="OE238" s="26"/>
      <c r="OF238" s="26"/>
      <c r="OG238" s="26"/>
      <c r="OH238" s="26"/>
      <c r="OI238" s="26"/>
      <c r="OJ238" s="26"/>
      <c r="OK238" s="26"/>
      <c r="OL238" s="26"/>
      <c r="OM238" s="26"/>
      <c r="ON238" s="26"/>
      <c r="OO238" s="26"/>
      <c r="OP238" s="26"/>
      <c r="OQ238" s="26"/>
      <c r="OR238" s="26"/>
      <c r="OS238" s="26"/>
      <c r="OT238" s="26"/>
      <c r="OU238" s="26"/>
      <c r="OV238" s="26"/>
      <c r="OW238" s="26"/>
      <c r="OX238" s="26"/>
      <c r="OY238" s="26"/>
      <c r="OZ238" s="26"/>
      <c r="PA238" s="26"/>
      <c r="PB238" s="26"/>
      <c r="PC238" s="26"/>
      <c r="PD238" s="26"/>
      <c r="PE238" s="26"/>
      <c r="PF238" s="26"/>
      <c r="PG238" s="26"/>
      <c r="PH238" s="26"/>
      <c r="PI238" s="26"/>
      <c r="PJ238" s="26"/>
      <c r="PK238" s="26"/>
      <c r="PL238" s="26"/>
      <c r="PM238" s="26"/>
      <c r="PN238" s="26"/>
      <c r="PO238" s="26"/>
      <c r="PP238" s="26"/>
      <c r="PQ238" s="26"/>
      <c r="PR238" s="26"/>
      <c r="PS238" s="26"/>
      <c r="PT238" s="26"/>
      <c r="PU238" s="26"/>
      <c r="PV238" s="26"/>
      <c r="PW238" s="26"/>
      <c r="PX238" s="26"/>
      <c r="PY238" s="26"/>
      <c r="PZ238" s="26"/>
      <c r="QA238" s="26"/>
      <c r="QB238" s="26"/>
      <c r="QC238" s="26"/>
      <c r="QD238" s="26"/>
      <c r="QE238" s="26"/>
      <c r="QF238" s="26"/>
      <c r="QG238" s="26"/>
      <c r="QH238" s="26"/>
      <c r="QI238" s="26"/>
      <c r="QJ238" s="26"/>
      <c r="QK238" s="26"/>
      <c r="QL238" s="26"/>
      <c r="QM238" s="26"/>
      <c r="QN238" s="26"/>
      <c r="QO238" s="26"/>
      <c r="QP238" s="26"/>
      <c r="QQ238" s="26"/>
      <c r="QR238" s="26"/>
      <c r="QS238" s="26"/>
      <c r="QT238" s="26"/>
      <c r="QU238" s="26"/>
      <c r="QV238" s="26"/>
      <c r="QW238" s="26"/>
      <c r="QX238" s="26"/>
      <c r="QY238" s="26"/>
      <c r="QZ238" s="26"/>
      <c r="RA238" s="26"/>
      <c r="RB238" s="26"/>
      <c r="RC238" s="26"/>
      <c r="RD238" s="26"/>
      <c r="RE238" s="26"/>
      <c r="RF238" s="26"/>
      <c r="RG238" s="26"/>
      <c r="RH238" s="26"/>
      <c r="RI238" s="26"/>
      <c r="RJ238" s="26"/>
      <c r="RK238" s="26"/>
      <c r="RL238" s="26"/>
      <c r="RM238" s="26"/>
      <c r="RN238" s="26"/>
      <c r="RO238" s="26"/>
      <c r="RP238" s="26"/>
      <c r="RQ238" s="26"/>
      <c r="RR238" s="26"/>
      <c r="RS238" s="26"/>
      <c r="RT238" s="26"/>
      <c r="RU238" s="26"/>
      <c r="RV238" s="26"/>
      <c r="RW238" s="26"/>
      <c r="RX238" s="26"/>
      <c r="RY238" s="26"/>
      <c r="RZ238" s="26"/>
      <c r="SA238" s="26"/>
      <c r="SB238" s="26"/>
      <c r="SC238" s="26"/>
      <c r="SD238" s="26"/>
      <c r="SE238" s="26"/>
      <c r="SF238" s="26"/>
      <c r="SG238" s="26"/>
      <c r="SH238" s="26"/>
      <c r="SI238" s="26"/>
      <c r="SJ238" s="26"/>
      <c r="SK238" s="26"/>
      <c r="SL238" s="26"/>
      <c r="SM238" s="26"/>
      <c r="SN238" s="26"/>
      <c r="SO238" s="26"/>
      <c r="SP238" s="26"/>
      <c r="SQ238" s="26"/>
      <c r="SR238" s="26"/>
      <c r="SS238" s="26"/>
      <c r="ST238" s="26"/>
      <c r="SU238" s="26"/>
      <c r="SV238" s="26"/>
      <c r="SW238" s="26"/>
      <c r="SX238" s="26"/>
      <c r="SY238" s="26"/>
      <c r="SZ238" s="26"/>
      <c r="TA238" s="26"/>
      <c r="TB238" s="26"/>
      <c r="TC238" s="26"/>
      <c r="TD238" s="26"/>
      <c r="TE238" s="26"/>
      <c r="TF238" s="26"/>
      <c r="TG238" s="26"/>
      <c r="TH238" s="26"/>
      <c r="TI238" s="26"/>
    </row>
    <row r="239" spans="1:529" s="23" customFormat="1" ht="90.75" customHeight="1" x14ac:dyDescent="0.25">
      <c r="A239" s="52" t="s">
        <v>327</v>
      </c>
      <c r="B239" s="45" t="str">
        <f>'дод 4'!A169</f>
        <v>7691</v>
      </c>
      <c r="C239" s="45" t="str">
        <f>'дод 4'!B169</f>
        <v>0490</v>
      </c>
      <c r="D239" s="22" t="str">
        <f>'дод 4'!C169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39" s="66">
        <f>F239+I239</f>
        <v>0</v>
      </c>
      <c r="F239" s="66"/>
      <c r="G239" s="66"/>
      <c r="H239" s="66"/>
      <c r="I239" s="66"/>
      <c r="J239" s="66">
        <f t="shared" si="121"/>
        <v>2696249.54</v>
      </c>
      <c r="K239" s="66"/>
      <c r="L239" s="66">
        <f>1321371+1074878.54-450000-230000</f>
        <v>1716249.54</v>
      </c>
      <c r="M239" s="66"/>
      <c r="N239" s="66"/>
      <c r="O239" s="66">
        <f>300000+450000+230000</f>
        <v>980000</v>
      </c>
      <c r="P239" s="66">
        <f>E239+J239</f>
        <v>2696249.54</v>
      </c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  <c r="IW239" s="26"/>
      <c r="IX239" s="26"/>
      <c r="IY239" s="26"/>
      <c r="IZ239" s="26"/>
      <c r="JA239" s="26"/>
      <c r="JB239" s="26"/>
      <c r="JC239" s="26"/>
      <c r="JD239" s="26"/>
      <c r="JE239" s="26"/>
      <c r="JF239" s="26"/>
      <c r="JG239" s="26"/>
      <c r="JH239" s="26"/>
      <c r="JI239" s="26"/>
      <c r="JJ239" s="26"/>
      <c r="JK239" s="26"/>
      <c r="JL239" s="26"/>
      <c r="JM239" s="26"/>
      <c r="JN239" s="26"/>
      <c r="JO239" s="26"/>
      <c r="JP239" s="26"/>
      <c r="JQ239" s="26"/>
      <c r="JR239" s="26"/>
      <c r="JS239" s="26"/>
      <c r="JT239" s="26"/>
      <c r="JU239" s="26"/>
      <c r="JV239" s="26"/>
      <c r="JW239" s="26"/>
      <c r="JX239" s="26"/>
      <c r="JY239" s="26"/>
      <c r="JZ239" s="26"/>
      <c r="KA239" s="26"/>
      <c r="KB239" s="26"/>
      <c r="KC239" s="26"/>
      <c r="KD239" s="26"/>
      <c r="KE239" s="26"/>
      <c r="KF239" s="26"/>
      <c r="KG239" s="26"/>
      <c r="KH239" s="26"/>
      <c r="KI239" s="26"/>
      <c r="KJ239" s="26"/>
      <c r="KK239" s="26"/>
      <c r="KL239" s="26"/>
      <c r="KM239" s="26"/>
      <c r="KN239" s="26"/>
      <c r="KO239" s="26"/>
      <c r="KP239" s="26"/>
      <c r="KQ239" s="26"/>
      <c r="KR239" s="26"/>
      <c r="KS239" s="26"/>
      <c r="KT239" s="26"/>
      <c r="KU239" s="26"/>
      <c r="KV239" s="26"/>
      <c r="KW239" s="26"/>
      <c r="KX239" s="26"/>
      <c r="KY239" s="26"/>
      <c r="KZ239" s="26"/>
      <c r="LA239" s="26"/>
      <c r="LB239" s="26"/>
      <c r="LC239" s="26"/>
      <c r="LD239" s="26"/>
      <c r="LE239" s="26"/>
      <c r="LF239" s="26"/>
      <c r="LG239" s="26"/>
      <c r="LH239" s="26"/>
      <c r="LI239" s="26"/>
      <c r="LJ239" s="26"/>
      <c r="LK239" s="26"/>
      <c r="LL239" s="26"/>
      <c r="LM239" s="26"/>
      <c r="LN239" s="26"/>
      <c r="LO239" s="26"/>
      <c r="LP239" s="26"/>
      <c r="LQ239" s="26"/>
      <c r="LR239" s="26"/>
      <c r="LS239" s="26"/>
      <c r="LT239" s="26"/>
      <c r="LU239" s="26"/>
      <c r="LV239" s="26"/>
      <c r="LW239" s="26"/>
      <c r="LX239" s="26"/>
      <c r="LY239" s="26"/>
      <c r="LZ239" s="26"/>
      <c r="MA239" s="26"/>
      <c r="MB239" s="26"/>
      <c r="MC239" s="26"/>
      <c r="MD239" s="26"/>
      <c r="ME239" s="26"/>
      <c r="MF239" s="26"/>
      <c r="MG239" s="26"/>
      <c r="MH239" s="26"/>
      <c r="MI239" s="26"/>
      <c r="MJ239" s="26"/>
      <c r="MK239" s="26"/>
      <c r="ML239" s="26"/>
      <c r="MM239" s="26"/>
      <c r="MN239" s="26"/>
      <c r="MO239" s="26"/>
      <c r="MP239" s="26"/>
      <c r="MQ239" s="26"/>
      <c r="MR239" s="26"/>
      <c r="MS239" s="26"/>
      <c r="MT239" s="26"/>
      <c r="MU239" s="26"/>
      <c r="MV239" s="26"/>
      <c r="MW239" s="26"/>
      <c r="MX239" s="26"/>
      <c r="MY239" s="26"/>
      <c r="MZ239" s="26"/>
      <c r="NA239" s="26"/>
      <c r="NB239" s="26"/>
      <c r="NC239" s="26"/>
      <c r="ND239" s="26"/>
      <c r="NE239" s="26"/>
      <c r="NF239" s="26"/>
      <c r="NG239" s="26"/>
      <c r="NH239" s="26"/>
      <c r="NI239" s="26"/>
      <c r="NJ239" s="26"/>
      <c r="NK239" s="26"/>
      <c r="NL239" s="26"/>
      <c r="NM239" s="26"/>
      <c r="NN239" s="26"/>
      <c r="NO239" s="26"/>
      <c r="NP239" s="26"/>
      <c r="NQ239" s="26"/>
      <c r="NR239" s="26"/>
      <c r="NS239" s="26"/>
      <c r="NT239" s="26"/>
      <c r="NU239" s="26"/>
      <c r="NV239" s="26"/>
      <c r="NW239" s="26"/>
      <c r="NX239" s="26"/>
      <c r="NY239" s="26"/>
      <c r="NZ239" s="26"/>
      <c r="OA239" s="26"/>
      <c r="OB239" s="26"/>
      <c r="OC239" s="26"/>
      <c r="OD239" s="26"/>
      <c r="OE239" s="26"/>
      <c r="OF239" s="26"/>
      <c r="OG239" s="26"/>
      <c r="OH239" s="26"/>
      <c r="OI239" s="26"/>
      <c r="OJ239" s="26"/>
      <c r="OK239" s="26"/>
      <c r="OL239" s="26"/>
      <c r="OM239" s="26"/>
      <c r="ON239" s="26"/>
      <c r="OO239" s="26"/>
      <c r="OP239" s="26"/>
      <c r="OQ239" s="26"/>
      <c r="OR239" s="26"/>
      <c r="OS239" s="26"/>
      <c r="OT239" s="26"/>
      <c r="OU239" s="26"/>
      <c r="OV239" s="26"/>
      <c r="OW239" s="26"/>
      <c r="OX239" s="26"/>
      <c r="OY239" s="26"/>
      <c r="OZ239" s="26"/>
      <c r="PA239" s="26"/>
      <c r="PB239" s="26"/>
      <c r="PC239" s="26"/>
      <c r="PD239" s="26"/>
      <c r="PE239" s="26"/>
      <c r="PF239" s="26"/>
      <c r="PG239" s="26"/>
      <c r="PH239" s="26"/>
      <c r="PI239" s="26"/>
      <c r="PJ239" s="26"/>
      <c r="PK239" s="26"/>
      <c r="PL239" s="26"/>
      <c r="PM239" s="26"/>
      <c r="PN239" s="26"/>
      <c r="PO239" s="26"/>
      <c r="PP239" s="26"/>
      <c r="PQ239" s="26"/>
      <c r="PR239" s="26"/>
      <c r="PS239" s="26"/>
      <c r="PT239" s="26"/>
      <c r="PU239" s="26"/>
      <c r="PV239" s="26"/>
      <c r="PW239" s="26"/>
      <c r="PX239" s="26"/>
      <c r="PY239" s="26"/>
      <c r="PZ239" s="26"/>
      <c r="QA239" s="26"/>
      <c r="QB239" s="26"/>
      <c r="QC239" s="26"/>
      <c r="QD239" s="26"/>
      <c r="QE239" s="26"/>
      <c r="QF239" s="26"/>
      <c r="QG239" s="26"/>
      <c r="QH239" s="26"/>
      <c r="QI239" s="26"/>
      <c r="QJ239" s="26"/>
      <c r="QK239" s="26"/>
      <c r="QL239" s="26"/>
      <c r="QM239" s="26"/>
      <c r="QN239" s="26"/>
      <c r="QO239" s="26"/>
      <c r="QP239" s="26"/>
      <c r="QQ239" s="26"/>
      <c r="QR239" s="26"/>
      <c r="QS239" s="26"/>
      <c r="QT239" s="26"/>
      <c r="QU239" s="26"/>
      <c r="QV239" s="26"/>
      <c r="QW239" s="26"/>
      <c r="QX239" s="26"/>
      <c r="QY239" s="26"/>
      <c r="QZ239" s="26"/>
      <c r="RA239" s="26"/>
      <c r="RB239" s="26"/>
      <c r="RC239" s="26"/>
      <c r="RD239" s="26"/>
      <c r="RE239" s="26"/>
      <c r="RF239" s="26"/>
      <c r="RG239" s="26"/>
      <c r="RH239" s="26"/>
      <c r="RI239" s="26"/>
      <c r="RJ239" s="26"/>
      <c r="RK239" s="26"/>
      <c r="RL239" s="26"/>
      <c r="RM239" s="26"/>
      <c r="RN239" s="26"/>
      <c r="RO239" s="26"/>
      <c r="RP239" s="26"/>
      <c r="RQ239" s="26"/>
      <c r="RR239" s="26"/>
      <c r="RS239" s="26"/>
      <c r="RT239" s="26"/>
      <c r="RU239" s="26"/>
      <c r="RV239" s="26"/>
      <c r="RW239" s="26"/>
      <c r="RX239" s="26"/>
      <c r="RY239" s="26"/>
      <c r="RZ239" s="26"/>
      <c r="SA239" s="26"/>
      <c r="SB239" s="26"/>
      <c r="SC239" s="26"/>
      <c r="SD239" s="26"/>
      <c r="SE239" s="26"/>
      <c r="SF239" s="26"/>
      <c r="SG239" s="26"/>
      <c r="SH239" s="26"/>
      <c r="SI239" s="26"/>
      <c r="SJ239" s="26"/>
      <c r="SK239" s="26"/>
      <c r="SL239" s="26"/>
      <c r="SM239" s="26"/>
      <c r="SN239" s="26"/>
      <c r="SO239" s="26"/>
      <c r="SP239" s="26"/>
      <c r="SQ239" s="26"/>
      <c r="SR239" s="26"/>
      <c r="SS239" s="26"/>
      <c r="ST239" s="26"/>
      <c r="SU239" s="26"/>
      <c r="SV239" s="26"/>
      <c r="SW239" s="26"/>
      <c r="SX239" s="26"/>
      <c r="SY239" s="26"/>
      <c r="SZ239" s="26"/>
      <c r="TA239" s="26"/>
      <c r="TB239" s="26"/>
      <c r="TC239" s="26"/>
      <c r="TD239" s="26"/>
      <c r="TE239" s="26"/>
      <c r="TF239" s="26"/>
      <c r="TG239" s="26"/>
      <c r="TH239" s="26"/>
      <c r="TI239" s="26"/>
    </row>
    <row r="240" spans="1:529" s="31" customFormat="1" ht="34.5" customHeight="1" x14ac:dyDescent="0.2">
      <c r="A240" s="178" t="s">
        <v>229</v>
      </c>
      <c r="B240" s="71"/>
      <c r="C240" s="71"/>
      <c r="D240" s="30" t="s">
        <v>46</v>
      </c>
      <c r="E240" s="63">
        <f>E241</f>
        <v>4307418</v>
      </c>
      <c r="F240" s="63">
        <f t="shared" ref="F240:J241" si="131">F241</f>
        <v>4307418</v>
      </c>
      <c r="G240" s="63">
        <f t="shared" si="131"/>
        <v>3320099</v>
      </c>
      <c r="H240" s="63">
        <f t="shared" si="131"/>
        <v>52700</v>
      </c>
      <c r="I240" s="63">
        <f t="shared" si="131"/>
        <v>0</v>
      </c>
      <c r="J240" s="63">
        <f t="shared" si="131"/>
        <v>0</v>
      </c>
      <c r="K240" s="63">
        <f t="shared" ref="K240:K241" si="132">K241</f>
        <v>0</v>
      </c>
      <c r="L240" s="63">
        <f t="shared" ref="L240:L241" si="133">L241</f>
        <v>0</v>
      </c>
      <c r="M240" s="63">
        <f t="shared" ref="M240:M241" si="134">M241</f>
        <v>0</v>
      </c>
      <c r="N240" s="63">
        <f t="shared" ref="N240:N241" si="135">N241</f>
        <v>0</v>
      </c>
      <c r="O240" s="63">
        <f t="shared" ref="O240:P241" si="136">O241</f>
        <v>0</v>
      </c>
      <c r="P240" s="63">
        <f t="shared" si="136"/>
        <v>4307418</v>
      </c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  <c r="DG240" s="38"/>
      <c r="DH240" s="38"/>
      <c r="DI240" s="38"/>
      <c r="DJ240" s="38"/>
      <c r="DK240" s="38"/>
      <c r="DL240" s="38"/>
      <c r="DM240" s="38"/>
      <c r="DN240" s="38"/>
      <c r="DO240" s="38"/>
      <c r="DP240" s="38"/>
      <c r="DQ240" s="38"/>
      <c r="DR240" s="38"/>
      <c r="DS240" s="38"/>
      <c r="DT240" s="38"/>
      <c r="DU240" s="38"/>
      <c r="DV240" s="38"/>
      <c r="DW240" s="38"/>
      <c r="DX240" s="38"/>
      <c r="DY240" s="38"/>
      <c r="DZ240" s="38"/>
      <c r="EA240" s="38"/>
      <c r="EB240" s="38"/>
      <c r="EC240" s="38"/>
      <c r="ED240" s="38"/>
      <c r="EE240" s="38"/>
      <c r="EF240" s="38"/>
      <c r="EG240" s="38"/>
      <c r="EH240" s="38"/>
      <c r="EI240" s="38"/>
      <c r="EJ240" s="38"/>
      <c r="EK240" s="38"/>
      <c r="EL240" s="38"/>
      <c r="EM240" s="38"/>
      <c r="EN240" s="38"/>
      <c r="EO240" s="38"/>
      <c r="EP240" s="38"/>
      <c r="EQ240" s="38"/>
      <c r="ER240" s="38"/>
      <c r="ES240" s="38"/>
      <c r="ET240" s="38"/>
      <c r="EU240" s="38"/>
      <c r="EV240" s="38"/>
      <c r="EW240" s="38"/>
      <c r="EX240" s="38"/>
      <c r="EY240" s="38"/>
      <c r="EZ240" s="38"/>
      <c r="FA240" s="38"/>
      <c r="FB240" s="38"/>
      <c r="FC240" s="38"/>
      <c r="FD240" s="38"/>
      <c r="FE240" s="38"/>
      <c r="FF240" s="38"/>
      <c r="FG240" s="38"/>
      <c r="FH240" s="38"/>
      <c r="FI240" s="38"/>
      <c r="FJ240" s="38"/>
      <c r="FK240" s="38"/>
      <c r="FL240" s="38"/>
      <c r="FM240" s="38"/>
      <c r="FN240" s="38"/>
      <c r="FO240" s="38"/>
      <c r="FP240" s="38"/>
      <c r="FQ240" s="38"/>
      <c r="FR240" s="38"/>
      <c r="FS240" s="38"/>
      <c r="FT240" s="38"/>
      <c r="FU240" s="38"/>
      <c r="FV240" s="38"/>
      <c r="FW240" s="38"/>
      <c r="FX240" s="38"/>
      <c r="FY240" s="38"/>
      <c r="FZ240" s="38"/>
      <c r="GA240" s="38"/>
      <c r="GB240" s="38"/>
      <c r="GC240" s="38"/>
      <c r="GD240" s="38"/>
      <c r="GE240" s="38"/>
      <c r="GF240" s="38"/>
      <c r="GG240" s="38"/>
      <c r="GH240" s="38"/>
      <c r="GI240" s="38"/>
      <c r="GJ240" s="38"/>
      <c r="GK240" s="38"/>
      <c r="GL240" s="38"/>
      <c r="GM240" s="38"/>
      <c r="GN240" s="38"/>
      <c r="GO240" s="38"/>
      <c r="GP240" s="38"/>
      <c r="GQ240" s="38"/>
      <c r="GR240" s="38"/>
      <c r="GS240" s="38"/>
      <c r="GT240" s="38"/>
      <c r="GU240" s="38"/>
      <c r="GV240" s="38"/>
      <c r="GW240" s="38"/>
      <c r="GX240" s="38"/>
      <c r="GY240" s="38"/>
      <c r="GZ240" s="38"/>
      <c r="HA240" s="38"/>
      <c r="HB240" s="38"/>
      <c r="HC240" s="38"/>
      <c r="HD240" s="38"/>
      <c r="HE240" s="38"/>
      <c r="HF240" s="38"/>
      <c r="HG240" s="38"/>
      <c r="HH240" s="38"/>
      <c r="HI240" s="38"/>
      <c r="HJ240" s="38"/>
      <c r="HK240" s="38"/>
      <c r="HL240" s="38"/>
      <c r="HM240" s="38"/>
      <c r="HN240" s="38"/>
      <c r="HO240" s="38"/>
      <c r="HP240" s="38"/>
      <c r="HQ240" s="38"/>
      <c r="HR240" s="38"/>
      <c r="HS240" s="38"/>
      <c r="HT240" s="38"/>
      <c r="HU240" s="38"/>
      <c r="HV240" s="38"/>
      <c r="HW240" s="38"/>
      <c r="HX240" s="38"/>
      <c r="HY240" s="38"/>
      <c r="HZ240" s="38"/>
      <c r="IA240" s="38"/>
      <c r="IB240" s="38"/>
      <c r="IC240" s="38"/>
      <c r="ID240" s="38"/>
      <c r="IE240" s="38"/>
      <c r="IF240" s="38"/>
      <c r="IG240" s="38"/>
      <c r="IH240" s="38"/>
      <c r="II240" s="38"/>
      <c r="IJ240" s="38"/>
      <c r="IK240" s="38"/>
      <c r="IL240" s="38"/>
      <c r="IM240" s="38"/>
      <c r="IN240" s="38"/>
      <c r="IO240" s="38"/>
      <c r="IP240" s="38"/>
      <c r="IQ240" s="38"/>
      <c r="IR240" s="38"/>
      <c r="IS240" s="38"/>
      <c r="IT240" s="38"/>
      <c r="IU240" s="38"/>
      <c r="IV240" s="38"/>
      <c r="IW240" s="38"/>
      <c r="IX240" s="38"/>
      <c r="IY240" s="38"/>
      <c r="IZ240" s="38"/>
      <c r="JA240" s="38"/>
      <c r="JB240" s="38"/>
      <c r="JC240" s="38"/>
      <c r="JD240" s="38"/>
      <c r="JE240" s="38"/>
      <c r="JF240" s="38"/>
      <c r="JG240" s="38"/>
      <c r="JH240" s="38"/>
      <c r="JI240" s="38"/>
      <c r="JJ240" s="38"/>
      <c r="JK240" s="38"/>
      <c r="JL240" s="38"/>
      <c r="JM240" s="38"/>
      <c r="JN240" s="38"/>
      <c r="JO240" s="38"/>
      <c r="JP240" s="38"/>
      <c r="JQ240" s="38"/>
      <c r="JR240" s="38"/>
      <c r="JS240" s="38"/>
      <c r="JT240" s="38"/>
      <c r="JU240" s="38"/>
      <c r="JV240" s="38"/>
      <c r="JW240" s="38"/>
      <c r="JX240" s="38"/>
      <c r="JY240" s="38"/>
      <c r="JZ240" s="38"/>
      <c r="KA240" s="38"/>
      <c r="KB240" s="38"/>
      <c r="KC240" s="38"/>
      <c r="KD240" s="38"/>
      <c r="KE240" s="38"/>
      <c r="KF240" s="38"/>
      <c r="KG240" s="38"/>
      <c r="KH240" s="38"/>
      <c r="KI240" s="38"/>
      <c r="KJ240" s="38"/>
      <c r="KK240" s="38"/>
      <c r="KL240" s="38"/>
      <c r="KM240" s="38"/>
      <c r="KN240" s="38"/>
      <c r="KO240" s="38"/>
      <c r="KP240" s="38"/>
      <c r="KQ240" s="38"/>
      <c r="KR240" s="38"/>
      <c r="KS240" s="38"/>
      <c r="KT240" s="38"/>
      <c r="KU240" s="38"/>
      <c r="KV240" s="38"/>
      <c r="KW240" s="38"/>
      <c r="KX240" s="38"/>
      <c r="KY240" s="38"/>
      <c r="KZ240" s="38"/>
      <c r="LA240" s="38"/>
      <c r="LB240" s="38"/>
      <c r="LC240" s="38"/>
      <c r="LD240" s="38"/>
      <c r="LE240" s="38"/>
      <c r="LF240" s="38"/>
      <c r="LG240" s="38"/>
      <c r="LH240" s="38"/>
      <c r="LI240" s="38"/>
      <c r="LJ240" s="38"/>
      <c r="LK240" s="38"/>
      <c r="LL240" s="38"/>
      <c r="LM240" s="38"/>
      <c r="LN240" s="38"/>
      <c r="LO240" s="38"/>
      <c r="LP240" s="38"/>
      <c r="LQ240" s="38"/>
      <c r="LR240" s="38"/>
      <c r="LS240" s="38"/>
      <c r="LT240" s="38"/>
      <c r="LU240" s="38"/>
      <c r="LV240" s="38"/>
      <c r="LW240" s="38"/>
      <c r="LX240" s="38"/>
      <c r="LY240" s="38"/>
      <c r="LZ240" s="38"/>
      <c r="MA240" s="38"/>
      <c r="MB240" s="38"/>
      <c r="MC240" s="38"/>
      <c r="MD240" s="38"/>
      <c r="ME240" s="38"/>
      <c r="MF240" s="38"/>
      <c r="MG240" s="38"/>
      <c r="MH240" s="38"/>
      <c r="MI240" s="38"/>
      <c r="MJ240" s="38"/>
      <c r="MK240" s="38"/>
      <c r="ML240" s="38"/>
      <c r="MM240" s="38"/>
      <c r="MN240" s="38"/>
      <c r="MO240" s="38"/>
      <c r="MP240" s="38"/>
      <c r="MQ240" s="38"/>
      <c r="MR240" s="38"/>
      <c r="MS240" s="38"/>
      <c r="MT240" s="38"/>
      <c r="MU240" s="38"/>
      <c r="MV240" s="38"/>
      <c r="MW240" s="38"/>
      <c r="MX240" s="38"/>
      <c r="MY240" s="38"/>
      <c r="MZ240" s="38"/>
      <c r="NA240" s="38"/>
      <c r="NB240" s="38"/>
      <c r="NC240" s="38"/>
      <c r="ND240" s="38"/>
      <c r="NE240" s="38"/>
      <c r="NF240" s="38"/>
      <c r="NG240" s="38"/>
      <c r="NH240" s="38"/>
      <c r="NI240" s="38"/>
      <c r="NJ240" s="38"/>
      <c r="NK240" s="38"/>
      <c r="NL240" s="38"/>
      <c r="NM240" s="38"/>
      <c r="NN240" s="38"/>
      <c r="NO240" s="38"/>
      <c r="NP240" s="38"/>
      <c r="NQ240" s="38"/>
      <c r="NR240" s="38"/>
      <c r="NS240" s="38"/>
      <c r="NT240" s="38"/>
      <c r="NU240" s="38"/>
      <c r="NV240" s="38"/>
      <c r="NW240" s="38"/>
      <c r="NX240" s="38"/>
      <c r="NY240" s="38"/>
      <c r="NZ240" s="38"/>
      <c r="OA240" s="38"/>
      <c r="OB240" s="38"/>
      <c r="OC240" s="38"/>
      <c r="OD240" s="38"/>
      <c r="OE240" s="38"/>
      <c r="OF240" s="38"/>
      <c r="OG240" s="38"/>
      <c r="OH240" s="38"/>
      <c r="OI240" s="38"/>
      <c r="OJ240" s="38"/>
      <c r="OK240" s="38"/>
      <c r="OL240" s="38"/>
      <c r="OM240" s="38"/>
      <c r="ON240" s="38"/>
      <c r="OO240" s="38"/>
      <c r="OP240" s="38"/>
      <c r="OQ240" s="38"/>
      <c r="OR240" s="38"/>
      <c r="OS240" s="38"/>
      <c r="OT240" s="38"/>
      <c r="OU240" s="38"/>
      <c r="OV240" s="38"/>
      <c r="OW240" s="38"/>
      <c r="OX240" s="38"/>
      <c r="OY240" s="38"/>
      <c r="OZ240" s="38"/>
      <c r="PA240" s="38"/>
      <c r="PB240" s="38"/>
      <c r="PC240" s="38"/>
      <c r="PD240" s="38"/>
      <c r="PE240" s="38"/>
      <c r="PF240" s="38"/>
      <c r="PG240" s="38"/>
      <c r="PH240" s="38"/>
      <c r="PI240" s="38"/>
      <c r="PJ240" s="38"/>
      <c r="PK240" s="38"/>
      <c r="PL240" s="38"/>
      <c r="PM240" s="38"/>
      <c r="PN240" s="38"/>
      <c r="PO240" s="38"/>
      <c r="PP240" s="38"/>
      <c r="PQ240" s="38"/>
      <c r="PR240" s="38"/>
      <c r="PS240" s="38"/>
      <c r="PT240" s="38"/>
      <c r="PU240" s="38"/>
      <c r="PV240" s="38"/>
      <c r="PW240" s="38"/>
      <c r="PX240" s="38"/>
      <c r="PY240" s="38"/>
      <c r="PZ240" s="38"/>
      <c r="QA240" s="38"/>
      <c r="QB240" s="38"/>
      <c r="QC240" s="38"/>
      <c r="QD240" s="38"/>
      <c r="QE240" s="38"/>
      <c r="QF240" s="38"/>
      <c r="QG240" s="38"/>
      <c r="QH240" s="38"/>
      <c r="QI240" s="38"/>
      <c r="QJ240" s="38"/>
      <c r="QK240" s="38"/>
      <c r="QL240" s="38"/>
      <c r="QM240" s="38"/>
      <c r="QN240" s="38"/>
      <c r="QO240" s="38"/>
      <c r="QP240" s="38"/>
      <c r="QQ240" s="38"/>
      <c r="QR240" s="38"/>
      <c r="QS240" s="38"/>
      <c r="QT240" s="38"/>
      <c r="QU240" s="38"/>
      <c r="QV240" s="38"/>
      <c r="QW240" s="38"/>
      <c r="QX240" s="38"/>
      <c r="QY240" s="38"/>
      <c r="QZ240" s="38"/>
      <c r="RA240" s="38"/>
      <c r="RB240" s="38"/>
      <c r="RC240" s="38"/>
      <c r="RD240" s="38"/>
      <c r="RE240" s="38"/>
      <c r="RF240" s="38"/>
      <c r="RG240" s="38"/>
      <c r="RH240" s="38"/>
      <c r="RI240" s="38"/>
      <c r="RJ240" s="38"/>
      <c r="RK240" s="38"/>
      <c r="RL240" s="38"/>
      <c r="RM240" s="38"/>
      <c r="RN240" s="38"/>
      <c r="RO240" s="38"/>
      <c r="RP240" s="38"/>
      <c r="RQ240" s="38"/>
      <c r="RR240" s="38"/>
      <c r="RS240" s="38"/>
      <c r="RT240" s="38"/>
      <c r="RU240" s="38"/>
      <c r="RV240" s="38"/>
      <c r="RW240" s="38"/>
      <c r="RX240" s="38"/>
      <c r="RY240" s="38"/>
      <c r="RZ240" s="38"/>
      <c r="SA240" s="38"/>
      <c r="SB240" s="38"/>
      <c r="SC240" s="38"/>
      <c r="SD240" s="38"/>
      <c r="SE240" s="38"/>
      <c r="SF240" s="38"/>
      <c r="SG240" s="38"/>
      <c r="SH240" s="38"/>
      <c r="SI240" s="38"/>
      <c r="SJ240" s="38"/>
      <c r="SK240" s="38"/>
      <c r="SL240" s="38"/>
      <c r="SM240" s="38"/>
      <c r="SN240" s="38"/>
      <c r="SO240" s="38"/>
      <c r="SP240" s="38"/>
      <c r="SQ240" s="38"/>
      <c r="SR240" s="38"/>
      <c r="SS240" s="38"/>
      <c r="ST240" s="38"/>
      <c r="SU240" s="38"/>
      <c r="SV240" s="38"/>
      <c r="SW240" s="38"/>
      <c r="SX240" s="38"/>
      <c r="SY240" s="38"/>
      <c r="SZ240" s="38"/>
      <c r="TA240" s="38"/>
      <c r="TB240" s="38"/>
      <c r="TC240" s="38"/>
      <c r="TD240" s="38"/>
      <c r="TE240" s="38"/>
      <c r="TF240" s="38"/>
      <c r="TG240" s="38"/>
      <c r="TH240" s="38"/>
      <c r="TI240" s="38"/>
    </row>
    <row r="241" spans="1:529" s="40" customFormat="1" ht="35.25" customHeight="1" x14ac:dyDescent="0.25">
      <c r="A241" s="73" t="s">
        <v>227</v>
      </c>
      <c r="B241" s="72"/>
      <c r="C241" s="72"/>
      <c r="D241" s="33" t="s">
        <v>46</v>
      </c>
      <c r="E241" s="65">
        <f>E242</f>
        <v>4307418</v>
      </c>
      <c r="F241" s="65">
        <f t="shared" si="131"/>
        <v>4307418</v>
      </c>
      <c r="G241" s="65">
        <f t="shared" si="131"/>
        <v>3320099</v>
      </c>
      <c r="H241" s="65">
        <f t="shared" si="131"/>
        <v>52700</v>
      </c>
      <c r="I241" s="65">
        <f t="shared" si="131"/>
        <v>0</v>
      </c>
      <c r="J241" s="65">
        <f t="shared" si="131"/>
        <v>0</v>
      </c>
      <c r="K241" s="65">
        <f t="shared" si="132"/>
        <v>0</v>
      </c>
      <c r="L241" s="65">
        <f t="shared" si="133"/>
        <v>0</v>
      </c>
      <c r="M241" s="65">
        <f t="shared" si="134"/>
        <v>0</v>
      </c>
      <c r="N241" s="65">
        <f t="shared" si="135"/>
        <v>0</v>
      </c>
      <c r="O241" s="65">
        <f t="shared" si="136"/>
        <v>0</v>
      </c>
      <c r="P241" s="65">
        <f t="shared" si="136"/>
        <v>4307418</v>
      </c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/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  <c r="GN241" s="39"/>
      <c r="GO241" s="39"/>
      <c r="GP241" s="39"/>
      <c r="GQ241" s="39"/>
      <c r="GR241" s="39"/>
      <c r="GS241" s="39"/>
      <c r="GT241" s="39"/>
      <c r="GU241" s="39"/>
      <c r="GV241" s="39"/>
      <c r="GW241" s="39"/>
      <c r="GX241" s="39"/>
      <c r="GY241" s="39"/>
      <c r="GZ241" s="39"/>
      <c r="HA241" s="39"/>
      <c r="HB241" s="39"/>
      <c r="HC241" s="39"/>
      <c r="HD241" s="39"/>
      <c r="HE241" s="39"/>
      <c r="HF241" s="39"/>
      <c r="HG241" s="39"/>
      <c r="HH241" s="39"/>
      <c r="HI241" s="39"/>
      <c r="HJ241" s="39"/>
      <c r="HK241" s="39"/>
      <c r="HL241" s="39"/>
      <c r="HM241" s="39"/>
      <c r="HN241" s="39"/>
      <c r="HO241" s="39"/>
      <c r="HP241" s="39"/>
      <c r="HQ241" s="39"/>
      <c r="HR241" s="39"/>
      <c r="HS241" s="39"/>
      <c r="HT241" s="39"/>
      <c r="HU241" s="39"/>
      <c r="HV241" s="39"/>
      <c r="HW241" s="39"/>
      <c r="HX241" s="39"/>
      <c r="HY241" s="39"/>
      <c r="HZ241" s="39"/>
      <c r="IA241" s="39"/>
      <c r="IB241" s="39"/>
      <c r="IC241" s="39"/>
      <c r="ID241" s="39"/>
      <c r="IE241" s="39"/>
      <c r="IF241" s="39"/>
      <c r="IG241" s="39"/>
      <c r="IH241" s="39"/>
      <c r="II241" s="39"/>
      <c r="IJ241" s="39"/>
      <c r="IK241" s="39"/>
      <c r="IL241" s="39"/>
      <c r="IM241" s="39"/>
      <c r="IN241" s="39"/>
      <c r="IO241" s="39"/>
      <c r="IP241" s="39"/>
      <c r="IQ241" s="39"/>
      <c r="IR241" s="39"/>
      <c r="IS241" s="39"/>
      <c r="IT241" s="39"/>
      <c r="IU241" s="39"/>
      <c r="IV241" s="39"/>
      <c r="IW241" s="39"/>
      <c r="IX241" s="39"/>
      <c r="IY241" s="39"/>
      <c r="IZ241" s="39"/>
      <c r="JA241" s="39"/>
      <c r="JB241" s="39"/>
      <c r="JC241" s="39"/>
      <c r="JD241" s="39"/>
      <c r="JE241" s="39"/>
      <c r="JF241" s="39"/>
      <c r="JG241" s="39"/>
      <c r="JH241" s="39"/>
      <c r="JI241" s="39"/>
      <c r="JJ241" s="39"/>
      <c r="JK241" s="39"/>
      <c r="JL241" s="39"/>
      <c r="JM241" s="39"/>
      <c r="JN241" s="39"/>
      <c r="JO241" s="39"/>
      <c r="JP241" s="39"/>
      <c r="JQ241" s="39"/>
      <c r="JR241" s="39"/>
      <c r="JS241" s="39"/>
      <c r="JT241" s="39"/>
      <c r="JU241" s="39"/>
      <c r="JV241" s="39"/>
      <c r="JW241" s="39"/>
      <c r="JX241" s="39"/>
      <c r="JY241" s="39"/>
      <c r="JZ241" s="39"/>
      <c r="KA241" s="39"/>
      <c r="KB241" s="39"/>
      <c r="KC241" s="39"/>
      <c r="KD241" s="39"/>
      <c r="KE241" s="39"/>
      <c r="KF241" s="39"/>
      <c r="KG241" s="39"/>
      <c r="KH241" s="39"/>
      <c r="KI241" s="39"/>
      <c r="KJ241" s="39"/>
      <c r="KK241" s="39"/>
      <c r="KL241" s="39"/>
      <c r="KM241" s="39"/>
      <c r="KN241" s="39"/>
      <c r="KO241" s="39"/>
      <c r="KP241" s="39"/>
      <c r="KQ241" s="39"/>
      <c r="KR241" s="39"/>
      <c r="KS241" s="39"/>
      <c r="KT241" s="39"/>
      <c r="KU241" s="39"/>
      <c r="KV241" s="39"/>
      <c r="KW241" s="39"/>
      <c r="KX241" s="39"/>
      <c r="KY241" s="39"/>
      <c r="KZ241" s="39"/>
      <c r="LA241" s="39"/>
      <c r="LB241" s="39"/>
      <c r="LC241" s="39"/>
      <c r="LD241" s="39"/>
      <c r="LE241" s="39"/>
      <c r="LF241" s="39"/>
      <c r="LG241" s="39"/>
      <c r="LH241" s="39"/>
      <c r="LI241" s="39"/>
      <c r="LJ241" s="39"/>
      <c r="LK241" s="39"/>
      <c r="LL241" s="39"/>
      <c r="LM241" s="39"/>
      <c r="LN241" s="39"/>
      <c r="LO241" s="39"/>
      <c r="LP241" s="39"/>
      <c r="LQ241" s="39"/>
      <c r="LR241" s="39"/>
      <c r="LS241" s="39"/>
      <c r="LT241" s="39"/>
      <c r="LU241" s="39"/>
      <c r="LV241" s="39"/>
      <c r="LW241" s="39"/>
      <c r="LX241" s="39"/>
      <c r="LY241" s="39"/>
      <c r="LZ241" s="39"/>
      <c r="MA241" s="39"/>
      <c r="MB241" s="39"/>
      <c r="MC241" s="39"/>
      <c r="MD241" s="39"/>
      <c r="ME241" s="39"/>
      <c r="MF241" s="39"/>
      <c r="MG241" s="39"/>
      <c r="MH241" s="39"/>
      <c r="MI241" s="39"/>
      <c r="MJ241" s="39"/>
      <c r="MK241" s="39"/>
      <c r="ML241" s="39"/>
      <c r="MM241" s="39"/>
      <c r="MN241" s="39"/>
      <c r="MO241" s="39"/>
      <c r="MP241" s="39"/>
      <c r="MQ241" s="39"/>
      <c r="MR241" s="39"/>
      <c r="MS241" s="39"/>
      <c r="MT241" s="39"/>
      <c r="MU241" s="39"/>
      <c r="MV241" s="39"/>
      <c r="MW241" s="39"/>
      <c r="MX241" s="39"/>
      <c r="MY241" s="39"/>
      <c r="MZ241" s="39"/>
      <c r="NA241" s="39"/>
      <c r="NB241" s="39"/>
      <c r="NC241" s="39"/>
      <c r="ND241" s="39"/>
      <c r="NE241" s="39"/>
      <c r="NF241" s="39"/>
      <c r="NG241" s="39"/>
      <c r="NH241" s="39"/>
      <c r="NI241" s="39"/>
      <c r="NJ241" s="39"/>
      <c r="NK241" s="39"/>
      <c r="NL241" s="39"/>
      <c r="NM241" s="39"/>
      <c r="NN241" s="39"/>
      <c r="NO241" s="39"/>
      <c r="NP241" s="39"/>
      <c r="NQ241" s="39"/>
      <c r="NR241" s="39"/>
      <c r="NS241" s="39"/>
      <c r="NT241" s="39"/>
      <c r="NU241" s="39"/>
      <c r="NV241" s="39"/>
      <c r="NW241" s="39"/>
      <c r="NX241" s="39"/>
      <c r="NY241" s="39"/>
      <c r="NZ241" s="39"/>
      <c r="OA241" s="39"/>
      <c r="OB241" s="39"/>
      <c r="OC241" s="39"/>
      <c r="OD241" s="39"/>
      <c r="OE241" s="39"/>
      <c r="OF241" s="39"/>
      <c r="OG241" s="39"/>
      <c r="OH241" s="39"/>
      <c r="OI241" s="39"/>
      <c r="OJ241" s="39"/>
      <c r="OK241" s="39"/>
      <c r="OL241" s="39"/>
      <c r="OM241" s="39"/>
      <c r="ON241" s="39"/>
      <c r="OO241" s="39"/>
      <c r="OP241" s="39"/>
      <c r="OQ241" s="39"/>
      <c r="OR241" s="39"/>
      <c r="OS241" s="39"/>
      <c r="OT241" s="39"/>
      <c r="OU241" s="39"/>
      <c r="OV241" s="39"/>
      <c r="OW241" s="39"/>
      <c r="OX241" s="39"/>
      <c r="OY241" s="39"/>
      <c r="OZ241" s="39"/>
      <c r="PA241" s="39"/>
      <c r="PB241" s="39"/>
      <c r="PC241" s="39"/>
      <c r="PD241" s="39"/>
      <c r="PE241" s="39"/>
      <c r="PF241" s="39"/>
      <c r="PG241" s="39"/>
      <c r="PH241" s="39"/>
      <c r="PI241" s="39"/>
      <c r="PJ241" s="39"/>
      <c r="PK241" s="39"/>
      <c r="PL241" s="39"/>
      <c r="PM241" s="39"/>
      <c r="PN241" s="39"/>
      <c r="PO241" s="39"/>
      <c r="PP241" s="39"/>
      <c r="PQ241" s="39"/>
      <c r="PR241" s="39"/>
      <c r="PS241" s="39"/>
      <c r="PT241" s="39"/>
      <c r="PU241" s="39"/>
      <c r="PV241" s="39"/>
      <c r="PW241" s="39"/>
      <c r="PX241" s="39"/>
      <c r="PY241" s="39"/>
      <c r="PZ241" s="39"/>
      <c r="QA241" s="39"/>
      <c r="QB241" s="39"/>
      <c r="QC241" s="39"/>
      <c r="QD241" s="39"/>
      <c r="QE241" s="39"/>
      <c r="QF241" s="39"/>
      <c r="QG241" s="39"/>
      <c r="QH241" s="39"/>
      <c r="QI241" s="39"/>
      <c r="QJ241" s="39"/>
      <c r="QK241" s="39"/>
      <c r="QL241" s="39"/>
      <c r="QM241" s="39"/>
      <c r="QN241" s="39"/>
      <c r="QO241" s="39"/>
      <c r="QP241" s="39"/>
      <c r="QQ241" s="39"/>
      <c r="QR241" s="39"/>
      <c r="QS241" s="39"/>
      <c r="QT241" s="39"/>
      <c r="QU241" s="39"/>
      <c r="QV241" s="39"/>
      <c r="QW241" s="39"/>
      <c r="QX241" s="39"/>
      <c r="QY241" s="39"/>
      <c r="QZ241" s="39"/>
      <c r="RA241" s="39"/>
      <c r="RB241" s="39"/>
      <c r="RC241" s="39"/>
      <c r="RD241" s="39"/>
      <c r="RE241" s="39"/>
      <c r="RF241" s="39"/>
      <c r="RG241" s="39"/>
      <c r="RH241" s="39"/>
      <c r="RI241" s="39"/>
      <c r="RJ241" s="39"/>
      <c r="RK241" s="39"/>
      <c r="RL241" s="39"/>
      <c r="RM241" s="39"/>
      <c r="RN241" s="39"/>
      <c r="RO241" s="39"/>
      <c r="RP241" s="39"/>
      <c r="RQ241" s="39"/>
      <c r="RR241" s="39"/>
      <c r="RS241" s="39"/>
      <c r="RT241" s="39"/>
      <c r="RU241" s="39"/>
      <c r="RV241" s="39"/>
      <c r="RW241" s="39"/>
      <c r="RX241" s="39"/>
      <c r="RY241" s="39"/>
      <c r="RZ241" s="39"/>
      <c r="SA241" s="39"/>
      <c r="SB241" s="39"/>
      <c r="SC241" s="39"/>
      <c r="SD241" s="39"/>
      <c r="SE241" s="39"/>
      <c r="SF241" s="39"/>
      <c r="SG241" s="39"/>
      <c r="SH241" s="39"/>
      <c r="SI241" s="39"/>
      <c r="SJ241" s="39"/>
      <c r="SK241" s="39"/>
      <c r="SL241" s="39"/>
      <c r="SM241" s="39"/>
      <c r="SN241" s="39"/>
      <c r="SO241" s="39"/>
      <c r="SP241" s="39"/>
      <c r="SQ241" s="39"/>
      <c r="SR241" s="39"/>
      <c r="SS241" s="39"/>
      <c r="ST241" s="39"/>
      <c r="SU241" s="39"/>
      <c r="SV241" s="39"/>
      <c r="SW241" s="39"/>
      <c r="SX241" s="39"/>
      <c r="SY241" s="39"/>
      <c r="SZ241" s="39"/>
      <c r="TA241" s="39"/>
      <c r="TB241" s="39"/>
      <c r="TC241" s="39"/>
      <c r="TD241" s="39"/>
      <c r="TE241" s="39"/>
      <c r="TF241" s="39"/>
      <c r="TG241" s="39"/>
      <c r="TH241" s="39"/>
      <c r="TI241" s="39"/>
    </row>
    <row r="242" spans="1:529" s="23" customFormat="1" ht="43.5" customHeight="1" x14ac:dyDescent="0.25">
      <c r="A242" s="43" t="s">
        <v>228</v>
      </c>
      <c r="B242" s="44" t="str">
        <f>'дод 4'!A20</f>
        <v>0160</v>
      </c>
      <c r="C242" s="44" t="str">
        <f>'дод 4'!B20</f>
        <v>0111</v>
      </c>
      <c r="D242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42" s="66">
        <f>F242+I242</f>
        <v>4307418</v>
      </c>
      <c r="F242" s="66">
        <f>4985700+21800-233000-243482-9500-230000+15900</f>
        <v>4307418</v>
      </c>
      <c r="G242" s="66">
        <f>3907000-191000-199575-7800-188526</f>
        <v>3320099</v>
      </c>
      <c r="H242" s="66">
        <v>52700</v>
      </c>
      <c r="I242" s="66"/>
      <c r="J242" s="66">
        <f>L242+O242</f>
        <v>0</v>
      </c>
      <c r="K242" s="66"/>
      <c r="L242" s="66"/>
      <c r="M242" s="66"/>
      <c r="N242" s="66"/>
      <c r="O242" s="66"/>
      <c r="P242" s="66">
        <f>E242+J242</f>
        <v>4307418</v>
      </c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  <c r="IU242" s="26"/>
      <c r="IV242" s="26"/>
      <c r="IW242" s="26"/>
      <c r="IX242" s="26"/>
      <c r="IY242" s="26"/>
      <c r="IZ242" s="26"/>
      <c r="JA242" s="26"/>
      <c r="JB242" s="26"/>
      <c r="JC242" s="26"/>
      <c r="JD242" s="26"/>
      <c r="JE242" s="26"/>
      <c r="JF242" s="26"/>
      <c r="JG242" s="26"/>
      <c r="JH242" s="26"/>
      <c r="JI242" s="26"/>
      <c r="JJ242" s="26"/>
      <c r="JK242" s="26"/>
      <c r="JL242" s="26"/>
      <c r="JM242" s="26"/>
      <c r="JN242" s="26"/>
      <c r="JO242" s="26"/>
      <c r="JP242" s="26"/>
      <c r="JQ242" s="26"/>
      <c r="JR242" s="26"/>
      <c r="JS242" s="26"/>
      <c r="JT242" s="26"/>
      <c r="JU242" s="26"/>
      <c r="JV242" s="26"/>
      <c r="JW242" s="26"/>
      <c r="JX242" s="26"/>
      <c r="JY242" s="26"/>
      <c r="JZ242" s="26"/>
      <c r="KA242" s="26"/>
      <c r="KB242" s="26"/>
      <c r="KC242" s="26"/>
      <c r="KD242" s="26"/>
      <c r="KE242" s="26"/>
      <c r="KF242" s="26"/>
      <c r="KG242" s="26"/>
      <c r="KH242" s="26"/>
      <c r="KI242" s="26"/>
      <c r="KJ242" s="26"/>
      <c r="KK242" s="26"/>
      <c r="KL242" s="26"/>
      <c r="KM242" s="26"/>
      <c r="KN242" s="26"/>
      <c r="KO242" s="26"/>
      <c r="KP242" s="26"/>
      <c r="KQ242" s="26"/>
      <c r="KR242" s="26"/>
      <c r="KS242" s="26"/>
      <c r="KT242" s="26"/>
      <c r="KU242" s="26"/>
      <c r="KV242" s="26"/>
      <c r="KW242" s="26"/>
      <c r="KX242" s="26"/>
      <c r="KY242" s="26"/>
      <c r="KZ242" s="26"/>
      <c r="LA242" s="26"/>
      <c r="LB242" s="26"/>
      <c r="LC242" s="26"/>
      <c r="LD242" s="26"/>
      <c r="LE242" s="26"/>
      <c r="LF242" s="26"/>
      <c r="LG242" s="26"/>
      <c r="LH242" s="26"/>
      <c r="LI242" s="26"/>
      <c r="LJ242" s="26"/>
      <c r="LK242" s="26"/>
      <c r="LL242" s="26"/>
      <c r="LM242" s="26"/>
      <c r="LN242" s="26"/>
      <c r="LO242" s="26"/>
      <c r="LP242" s="26"/>
      <c r="LQ242" s="26"/>
      <c r="LR242" s="26"/>
      <c r="LS242" s="26"/>
      <c r="LT242" s="26"/>
      <c r="LU242" s="26"/>
      <c r="LV242" s="26"/>
      <c r="LW242" s="26"/>
      <c r="LX242" s="26"/>
      <c r="LY242" s="26"/>
      <c r="LZ242" s="26"/>
      <c r="MA242" s="26"/>
      <c r="MB242" s="26"/>
      <c r="MC242" s="26"/>
      <c r="MD242" s="26"/>
      <c r="ME242" s="26"/>
      <c r="MF242" s="26"/>
      <c r="MG242" s="26"/>
      <c r="MH242" s="26"/>
      <c r="MI242" s="26"/>
      <c r="MJ242" s="26"/>
      <c r="MK242" s="26"/>
      <c r="ML242" s="26"/>
      <c r="MM242" s="26"/>
      <c r="MN242" s="26"/>
      <c r="MO242" s="26"/>
      <c r="MP242" s="26"/>
      <c r="MQ242" s="26"/>
      <c r="MR242" s="26"/>
      <c r="MS242" s="26"/>
      <c r="MT242" s="26"/>
      <c r="MU242" s="26"/>
      <c r="MV242" s="26"/>
      <c r="MW242" s="26"/>
      <c r="MX242" s="26"/>
      <c r="MY242" s="26"/>
      <c r="MZ242" s="26"/>
      <c r="NA242" s="26"/>
      <c r="NB242" s="26"/>
      <c r="NC242" s="26"/>
      <c r="ND242" s="26"/>
      <c r="NE242" s="26"/>
      <c r="NF242" s="26"/>
      <c r="NG242" s="26"/>
      <c r="NH242" s="26"/>
      <c r="NI242" s="26"/>
      <c r="NJ242" s="26"/>
      <c r="NK242" s="26"/>
      <c r="NL242" s="26"/>
      <c r="NM242" s="26"/>
      <c r="NN242" s="26"/>
      <c r="NO242" s="26"/>
      <c r="NP242" s="26"/>
      <c r="NQ242" s="26"/>
      <c r="NR242" s="26"/>
      <c r="NS242" s="26"/>
      <c r="NT242" s="26"/>
      <c r="NU242" s="26"/>
      <c r="NV242" s="26"/>
      <c r="NW242" s="26"/>
      <c r="NX242" s="26"/>
      <c r="NY242" s="26"/>
      <c r="NZ242" s="26"/>
      <c r="OA242" s="26"/>
      <c r="OB242" s="26"/>
      <c r="OC242" s="26"/>
      <c r="OD242" s="26"/>
      <c r="OE242" s="26"/>
      <c r="OF242" s="26"/>
      <c r="OG242" s="26"/>
      <c r="OH242" s="26"/>
      <c r="OI242" s="26"/>
      <c r="OJ242" s="26"/>
      <c r="OK242" s="26"/>
      <c r="OL242" s="26"/>
      <c r="OM242" s="26"/>
      <c r="ON242" s="26"/>
      <c r="OO242" s="26"/>
      <c r="OP242" s="26"/>
      <c r="OQ242" s="26"/>
      <c r="OR242" s="26"/>
      <c r="OS242" s="26"/>
      <c r="OT242" s="26"/>
      <c r="OU242" s="26"/>
      <c r="OV242" s="26"/>
      <c r="OW242" s="26"/>
      <c r="OX242" s="26"/>
      <c r="OY242" s="26"/>
      <c r="OZ242" s="26"/>
      <c r="PA242" s="26"/>
      <c r="PB242" s="26"/>
      <c r="PC242" s="26"/>
      <c r="PD242" s="26"/>
      <c r="PE242" s="26"/>
      <c r="PF242" s="26"/>
      <c r="PG242" s="26"/>
      <c r="PH242" s="26"/>
      <c r="PI242" s="26"/>
      <c r="PJ242" s="26"/>
      <c r="PK242" s="26"/>
      <c r="PL242" s="26"/>
      <c r="PM242" s="26"/>
      <c r="PN242" s="26"/>
      <c r="PO242" s="26"/>
      <c r="PP242" s="26"/>
      <c r="PQ242" s="26"/>
      <c r="PR242" s="26"/>
      <c r="PS242" s="26"/>
      <c r="PT242" s="26"/>
      <c r="PU242" s="26"/>
      <c r="PV242" s="26"/>
      <c r="PW242" s="26"/>
      <c r="PX242" s="26"/>
      <c r="PY242" s="26"/>
      <c r="PZ242" s="26"/>
      <c r="QA242" s="26"/>
      <c r="QB242" s="26"/>
      <c r="QC242" s="26"/>
      <c r="QD242" s="26"/>
      <c r="QE242" s="26"/>
      <c r="QF242" s="26"/>
      <c r="QG242" s="26"/>
      <c r="QH242" s="26"/>
      <c r="QI242" s="26"/>
      <c r="QJ242" s="26"/>
      <c r="QK242" s="26"/>
      <c r="QL242" s="26"/>
      <c r="QM242" s="26"/>
      <c r="QN242" s="26"/>
      <c r="QO242" s="26"/>
      <c r="QP242" s="26"/>
      <c r="QQ242" s="26"/>
      <c r="QR242" s="26"/>
      <c r="QS242" s="26"/>
      <c r="QT242" s="26"/>
      <c r="QU242" s="26"/>
      <c r="QV242" s="26"/>
      <c r="QW242" s="26"/>
      <c r="QX242" s="26"/>
      <c r="QY242" s="26"/>
      <c r="QZ242" s="26"/>
      <c r="RA242" s="26"/>
      <c r="RB242" s="26"/>
      <c r="RC242" s="26"/>
      <c r="RD242" s="26"/>
      <c r="RE242" s="26"/>
      <c r="RF242" s="26"/>
      <c r="RG242" s="26"/>
      <c r="RH242" s="26"/>
      <c r="RI242" s="26"/>
      <c r="RJ242" s="26"/>
      <c r="RK242" s="26"/>
      <c r="RL242" s="26"/>
      <c r="RM242" s="26"/>
      <c r="RN242" s="26"/>
      <c r="RO242" s="26"/>
      <c r="RP242" s="26"/>
      <c r="RQ242" s="26"/>
      <c r="RR242" s="26"/>
      <c r="RS242" s="26"/>
      <c r="RT242" s="26"/>
      <c r="RU242" s="26"/>
      <c r="RV242" s="26"/>
      <c r="RW242" s="26"/>
      <c r="RX242" s="26"/>
      <c r="RY242" s="26"/>
      <c r="RZ242" s="26"/>
      <c r="SA242" s="26"/>
      <c r="SB242" s="26"/>
      <c r="SC242" s="26"/>
      <c r="SD242" s="26"/>
      <c r="SE242" s="26"/>
      <c r="SF242" s="26"/>
      <c r="SG242" s="26"/>
      <c r="SH242" s="26"/>
      <c r="SI242" s="26"/>
      <c r="SJ242" s="26"/>
      <c r="SK242" s="26"/>
      <c r="SL242" s="26"/>
      <c r="SM242" s="26"/>
      <c r="SN242" s="26"/>
      <c r="SO242" s="26"/>
      <c r="SP242" s="26"/>
      <c r="SQ242" s="26"/>
      <c r="SR242" s="26"/>
      <c r="SS242" s="26"/>
      <c r="ST242" s="26"/>
      <c r="SU242" s="26"/>
      <c r="SV242" s="26"/>
      <c r="SW242" s="26"/>
      <c r="SX242" s="26"/>
      <c r="SY242" s="26"/>
      <c r="SZ242" s="26"/>
      <c r="TA242" s="26"/>
      <c r="TB242" s="26"/>
      <c r="TC242" s="26"/>
      <c r="TD242" s="26"/>
      <c r="TE242" s="26"/>
      <c r="TF242" s="26"/>
      <c r="TG242" s="26"/>
      <c r="TH242" s="26"/>
      <c r="TI242" s="26"/>
    </row>
    <row r="243" spans="1:529" s="31" customFormat="1" ht="37.5" customHeight="1" x14ac:dyDescent="0.2">
      <c r="A243" s="178" t="s">
        <v>230</v>
      </c>
      <c r="B243" s="71"/>
      <c r="C243" s="71"/>
      <c r="D243" s="30" t="s">
        <v>43</v>
      </c>
      <c r="E243" s="63">
        <f>E244</f>
        <v>20356500</v>
      </c>
      <c r="F243" s="63">
        <f t="shared" ref="F243:J243" si="137">F244</f>
        <v>19738500</v>
      </c>
      <c r="G243" s="63">
        <f t="shared" si="137"/>
        <v>13897700</v>
      </c>
      <c r="H243" s="63">
        <f t="shared" si="137"/>
        <v>314600</v>
      </c>
      <c r="I243" s="63">
        <f t="shared" si="137"/>
        <v>618000</v>
      </c>
      <c r="J243" s="63">
        <f t="shared" si="137"/>
        <v>145000</v>
      </c>
      <c r="K243" s="63">
        <f t="shared" ref="K243" si="138">K244</f>
        <v>145000</v>
      </c>
      <c r="L243" s="63">
        <f t="shared" ref="L243" si="139">L244</f>
        <v>0</v>
      </c>
      <c r="M243" s="63">
        <f t="shared" ref="M243" si="140">M244</f>
        <v>0</v>
      </c>
      <c r="N243" s="63">
        <f t="shared" ref="N243" si="141">N244</f>
        <v>0</v>
      </c>
      <c r="O243" s="63">
        <f t="shared" ref="O243" si="142">O244</f>
        <v>145000</v>
      </c>
      <c r="P243" s="63">
        <f>P244</f>
        <v>20501500</v>
      </c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ET243" s="38"/>
      <c r="EU243" s="38"/>
      <c r="EV243" s="38"/>
      <c r="EW243" s="38"/>
      <c r="EX243" s="38"/>
      <c r="EY243" s="38"/>
      <c r="EZ243" s="38"/>
      <c r="FA243" s="38"/>
      <c r="FB243" s="38"/>
      <c r="FC243" s="38"/>
      <c r="FD243" s="38"/>
      <c r="FE243" s="38"/>
      <c r="FF243" s="38"/>
      <c r="FG243" s="38"/>
      <c r="FH243" s="38"/>
      <c r="FI243" s="38"/>
      <c r="FJ243" s="38"/>
      <c r="FK243" s="38"/>
      <c r="FL243" s="38"/>
      <c r="FM243" s="38"/>
      <c r="FN243" s="38"/>
      <c r="FO243" s="38"/>
      <c r="FP243" s="38"/>
      <c r="FQ243" s="38"/>
      <c r="FR243" s="38"/>
      <c r="FS243" s="38"/>
      <c r="FT243" s="38"/>
      <c r="FU243" s="38"/>
      <c r="FV243" s="38"/>
      <c r="FW243" s="38"/>
      <c r="FX243" s="38"/>
      <c r="FY243" s="38"/>
      <c r="FZ243" s="38"/>
      <c r="GA243" s="38"/>
      <c r="GB243" s="38"/>
      <c r="GC243" s="38"/>
      <c r="GD243" s="38"/>
      <c r="GE243" s="38"/>
      <c r="GF243" s="38"/>
      <c r="GG243" s="38"/>
      <c r="GH243" s="38"/>
      <c r="GI243" s="38"/>
      <c r="GJ243" s="38"/>
      <c r="GK243" s="38"/>
      <c r="GL243" s="38"/>
      <c r="GM243" s="38"/>
      <c r="GN243" s="38"/>
      <c r="GO243" s="38"/>
      <c r="GP243" s="38"/>
      <c r="GQ243" s="38"/>
      <c r="GR243" s="38"/>
      <c r="GS243" s="38"/>
      <c r="GT243" s="38"/>
      <c r="GU243" s="38"/>
      <c r="GV243" s="38"/>
      <c r="GW243" s="38"/>
      <c r="GX243" s="38"/>
      <c r="GY243" s="38"/>
      <c r="GZ243" s="38"/>
      <c r="HA243" s="38"/>
      <c r="HB243" s="38"/>
      <c r="HC243" s="38"/>
      <c r="HD243" s="38"/>
      <c r="HE243" s="38"/>
      <c r="HF243" s="38"/>
      <c r="HG243" s="38"/>
      <c r="HH243" s="38"/>
      <c r="HI243" s="38"/>
      <c r="HJ243" s="38"/>
      <c r="HK243" s="38"/>
      <c r="HL243" s="38"/>
      <c r="HM243" s="38"/>
      <c r="HN243" s="38"/>
      <c r="HO243" s="38"/>
      <c r="HP243" s="38"/>
      <c r="HQ243" s="38"/>
      <c r="HR243" s="38"/>
      <c r="HS243" s="38"/>
      <c r="HT243" s="38"/>
      <c r="HU243" s="38"/>
      <c r="HV243" s="38"/>
      <c r="HW243" s="38"/>
      <c r="HX243" s="38"/>
      <c r="HY243" s="38"/>
      <c r="HZ243" s="38"/>
      <c r="IA243" s="38"/>
      <c r="IB243" s="38"/>
      <c r="IC243" s="38"/>
      <c r="ID243" s="38"/>
      <c r="IE243" s="38"/>
      <c r="IF243" s="38"/>
      <c r="IG243" s="38"/>
      <c r="IH243" s="38"/>
      <c r="II243" s="38"/>
      <c r="IJ243" s="38"/>
      <c r="IK243" s="38"/>
      <c r="IL243" s="38"/>
      <c r="IM243" s="38"/>
      <c r="IN243" s="38"/>
      <c r="IO243" s="38"/>
      <c r="IP243" s="38"/>
      <c r="IQ243" s="38"/>
      <c r="IR243" s="38"/>
      <c r="IS243" s="38"/>
      <c r="IT243" s="38"/>
      <c r="IU243" s="38"/>
      <c r="IV243" s="38"/>
      <c r="IW243" s="38"/>
      <c r="IX243" s="38"/>
      <c r="IY243" s="38"/>
      <c r="IZ243" s="38"/>
      <c r="JA243" s="38"/>
      <c r="JB243" s="38"/>
      <c r="JC243" s="38"/>
      <c r="JD243" s="38"/>
      <c r="JE243" s="38"/>
      <c r="JF243" s="38"/>
      <c r="JG243" s="38"/>
      <c r="JH243" s="38"/>
      <c r="JI243" s="38"/>
      <c r="JJ243" s="38"/>
      <c r="JK243" s="38"/>
      <c r="JL243" s="38"/>
      <c r="JM243" s="38"/>
      <c r="JN243" s="38"/>
      <c r="JO243" s="38"/>
      <c r="JP243" s="38"/>
      <c r="JQ243" s="38"/>
      <c r="JR243" s="38"/>
      <c r="JS243" s="38"/>
      <c r="JT243" s="38"/>
      <c r="JU243" s="38"/>
      <c r="JV243" s="38"/>
      <c r="JW243" s="38"/>
      <c r="JX243" s="38"/>
      <c r="JY243" s="38"/>
      <c r="JZ243" s="38"/>
      <c r="KA243" s="38"/>
      <c r="KB243" s="38"/>
      <c r="KC243" s="38"/>
      <c r="KD243" s="38"/>
      <c r="KE243" s="38"/>
      <c r="KF243" s="38"/>
      <c r="KG243" s="38"/>
      <c r="KH243" s="38"/>
      <c r="KI243" s="38"/>
      <c r="KJ243" s="38"/>
      <c r="KK243" s="38"/>
      <c r="KL243" s="38"/>
      <c r="KM243" s="38"/>
      <c r="KN243" s="38"/>
      <c r="KO243" s="38"/>
      <c r="KP243" s="38"/>
      <c r="KQ243" s="38"/>
      <c r="KR243" s="38"/>
      <c r="KS243" s="38"/>
      <c r="KT243" s="38"/>
      <c r="KU243" s="38"/>
      <c r="KV243" s="38"/>
      <c r="KW243" s="38"/>
      <c r="KX243" s="38"/>
      <c r="KY243" s="38"/>
      <c r="KZ243" s="38"/>
      <c r="LA243" s="38"/>
      <c r="LB243" s="38"/>
      <c r="LC243" s="38"/>
      <c r="LD243" s="38"/>
      <c r="LE243" s="38"/>
      <c r="LF243" s="38"/>
      <c r="LG243" s="38"/>
      <c r="LH243" s="38"/>
      <c r="LI243" s="38"/>
      <c r="LJ243" s="38"/>
      <c r="LK243" s="38"/>
      <c r="LL243" s="38"/>
      <c r="LM243" s="38"/>
      <c r="LN243" s="38"/>
      <c r="LO243" s="38"/>
      <c r="LP243" s="38"/>
      <c r="LQ243" s="38"/>
      <c r="LR243" s="38"/>
      <c r="LS243" s="38"/>
      <c r="LT243" s="38"/>
      <c r="LU243" s="38"/>
      <c r="LV243" s="38"/>
      <c r="LW243" s="38"/>
      <c r="LX243" s="38"/>
      <c r="LY243" s="38"/>
      <c r="LZ243" s="38"/>
      <c r="MA243" s="38"/>
      <c r="MB243" s="38"/>
      <c r="MC243" s="38"/>
      <c r="MD243" s="38"/>
      <c r="ME243" s="38"/>
      <c r="MF243" s="38"/>
      <c r="MG243" s="38"/>
      <c r="MH243" s="38"/>
      <c r="MI243" s="38"/>
      <c r="MJ243" s="38"/>
      <c r="MK243" s="38"/>
      <c r="ML243" s="38"/>
      <c r="MM243" s="38"/>
      <c r="MN243" s="38"/>
      <c r="MO243" s="38"/>
      <c r="MP243" s="38"/>
      <c r="MQ243" s="38"/>
      <c r="MR243" s="38"/>
      <c r="MS243" s="38"/>
      <c r="MT243" s="38"/>
      <c r="MU243" s="38"/>
      <c r="MV243" s="38"/>
      <c r="MW243" s="38"/>
      <c r="MX243" s="38"/>
      <c r="MY243" s="38"/>
      <c r="MZ243" s="38"/>
      <c r="NA243" s="38"/>
      <c r="NB243" s="38"/>
      <c r="NC243" s="38"/>
      <c r="ND243" s="38"/>
      <c r="NE243" s="38"/>
      <c r="NF243" s="38"/>
      <c r="NG243" s="38"/>
      <c r="NH243" s="38"/>
      <c r="NI243" s="38"/>
      <c r="NJ243" s="38"/>
      <c r="NK243" s="38"/>
      <c r="NL243" s="38"/>
      <c r="NM243" s="38"/>
      <c r="NN243" s="38"/>
      <c r="NO243" s="38"/>
      <c r="NP243" s="38"/>
      <c r="NQ243" s="38"/>
      <c r="NR243" s="38"/>
      <c r="NS243" s="38"/>
      <c r="NT243" s="38"/>
      <c r="NU243" s="38"/>
      <c r="NV243" s="38"/>
      <c r="NW243" s="38"/>
      <c r="NX243" s="38"/>
      <c r="NY243" s="38"/>
      <c r="NZ243" s="38"/>
      <c r="OA243" s="38"/>
      <c r="OB243" s="38"/>
      <c r="OC243" s="38"/>
      <c r="OD243" s="38"/>
      <c r="OE243" s="38"/>
      <c r="OF243" s="38"/>
      <c r="OG243" s="38"/>
      <c r="OH243" s="38"/>
      <c r="OI243" s="38"/>
      <c r="OJ243" s="38"/>
      <c r="OK243" s="38"/>
      <c r="OL243" s="38"/>
      <c r="OM243" s="38"/>
      <c r="ON243" s="38"/>
      <c r="OO243" s="38"/>
      <c r="OP243" s="38"/>
      <c r="OQ243" s="38"/>
      <c r="OR243" s="38"/>
      <c r="OS243" s="38"/>
      <c r="OT243" s="38"/>
      <c r="OU243" s="38"/>
      <c r="OV243" s="38"/>
      <c r="OW243" s="38"/>
      <c r="OX243" s="38"/>
      <c r="OY243" s="38"/>
      <c r="OZ243" s="38"/>
      <c r="PA243" s="38"/>
      <c r="PB243" s="38"/>
      <c r="PC243" s="38"/>
      <c r="PD243" s="38"/>
      <c r="PE243" s="38"/>
      <c r="PF243" s="38"/>
      <c r="PG243" s="38"/>
      <c r="PH243" s="38"/>
      <c r="PI243" s="38"/>
      <c r="PJ243" s="38"/>
      <c r="PK243" s="38"/>
      <c r="PL243" s="38"/>
      <c r="PM243" s="38"/>
      <c r="PN243" s="38"/>
      <c r="PO243" s="38"/>
      <c r="PP243" s="38"/>
      <c r="PQ243" s="38"/>
      <c r="PR243" s="38"/>
      <c r="PS243" s="38"/>
      <c r="PT243" s="38"/>
      <c r="PU243" s="38"/>
      <c r="PV243" s="38"/>
      <c r="PW243" s="38"/>
      <c r="PX243" s="38"/>
      <c r="PY243" s="38"/>
      <c r="PZ243" s="38"/>
      <c r="QA243" s="38"/>
      <c r="QB243" s="38"/>
      <c r="QC243" s="38"/>
      <c r="QD243" s="38"/>
      <c r="QE243" s="38"/>
      <c r="QF243" s="38"/>
      <c r="QG243" s="38"/>
      <c r="QH243" s="38"/>
      <c r="QI243" s="38"/>
      <c r="QJ243" s="38"/>
      <c r="QK243" s="38"/>
      <c r="QL243" s="38"/>
      <c r="QM243" s="38"/>
      <c r="QN243" s="38"/>
      <c r="QO243" s="38"/>
      <c r="QP243" s="38"/>
      <c r="QQ243" s="38"/>
      <c r="QR243" s="38"/>
      <c r="QS243" s="38"/>
      <c r="QT243" s="38"/>
      <c r="QU243" s="38"/>
      <c r="QV243" s="38"/>
      <c r="QW243" s="38"/>
      <c r="QX243" s="38"/>
      <c r="QY243" s="38"/>
      <c r="QZ243" s="38"/>
      <c r="RA243" s="38"/>
      <c r="RB243" s="38"/>
      <c r="RC243" s="38"/>
      <c r="RD243" s="38"/>
      <c r="RE243" s="38"/>
      <c r="RF243" s="38"/>
      <c r="RG243" s="38"/>
      <c r="RH243" s="38"/>
      <c r="RI243" s="38"/>
      <c r="RJ243" s="38"/>
      <c r="RK243" s="38"/>
      <c r="RL243" s="38"/>
      <c r="RM243" s="38"/>
      <c r="RN243" s="38"/>
      <c r="RO243" s="38"/>
      <c r="RP243" s="38"/>
      <c r="RQ243" s="38"/>
      <c r="RR243" s="38"/>
      <c r="RS243" s="38"/>
      <c r="RT243" s="38"/>
      <c r="RU243" s="38"/>
      <c r="RV243" s="38"/>
      <c r="RW243" s="38"/>
      <c r="RX243" s="38"/>
      <c r="RY243" s="38"/>
      <c r="RZ243" s="38"/>
      <c r="SA243" s="38"/>
      <c r="SB243" s="38"/>
      <c r="SC243" s="38"/>
      <c r="SD243" s="38"/>
      <c r="SE243" s="38"/>
      <c r="SF243" s="38"/>
      <c r="SG243" s="38"/>
      <c r="SH243" s="38"/>
      <c r="SI243" s="38"/>
      <c r="SJ243" s="38"/>
      <c r="SK243" s="38"/>
      <c r="SL243" s="38"/>
      <c r="SM243" s="38"/>
      <c r="SN243" s="38"/>
      <c r="SO243" s="38"/>
      <c r="SP243" s="38"/>
      <c r="SQ243" s="38"/>
      <c r="SR243" s="38"/>
      <c r="SS243" s="38"/>
      <c r="ST243" s="38"/>
      <c r="SU243" s="38"/>
      <c r="SV243" s="38"/>
      <c r="SW243" s="38"/>
      <c r="SX243" s="38"/>
      <c r="SY243" s="38"/>
      <c r="SZ243" s="38"/>
      <c r="TA243" s="38"/>
      <c r="TB243" s="38"/>
      <c r="TC243" s="38"/>
      <c r="TD243" s="38"/>
      <c r="TE243" s="38"/>
      <c r="TF243" s="38"/>
      <c r="TG243" s="38"/>
      <c r="TH243" s="38"/>
      <c r="TI243" s="38"/>
    </row>
    <row r="244" spans="1:529" s="40" customFormat="1" ht="37.5" customHeight="1" x14ac:dyDescent="0.25">
      <c r="A244" s="73" t="s">
        <v>231</v>
      </c>
      <c r="B244" s="72"/>
      <c r="C244" s="72"/>
      <c r="D244" s="33" t="s">
        <v>43</v>
      </c>
      <c r="E244" s="65">
        <f>E245+E246++E247+E248+E249+E250</f>
        <v>20356500</v>
      </c>
      <c r="F244" s="65">
        <f t="shared" ref="F244:P244" si="143">F245+F246++F247+F248+F249+F250</f>
        <v>19738500</v>
      </c>
      <c r="G244" s="65">
        <f t="shared" si="143"/>
        <v>13897700</v>
      </c>
      <c r="H244" s="65">
        <f t="shared" si="143"/>
        <v>314600</v>
      </c>
      <c r="I244" s="65">
        <f t="shared" si="143"/>
        <v>618000</v>
      </c>
      <c r="J244" s="65">
        <f t="shared" si="143"/>
        <v>145000</v>
      </c>
      <c r="K244" s="65">
        <f>K245+K246++K247+K248+K249+K250</f>
        <v>145000</v>
      </c>
      <c r="L244" s="65">
        <f t="shared" si="143"/>
        <v>0</v>
      </c>
      <c r="M244" s="65">
        <f t="shared" si="143"/>
        <v>0</v>
      </c>
      <c r="N244" s="65">
        <f t="shared" si="143"/>
        <v>0</v>
      </c>
      <c r="O244" s="65">
        <f t="shared" si="143"/>
        <v>145000</v>
      </c>
      <c r="P244" s="65">
        <f t="shared" si="143"/>
        <v>20501500</v>
      </c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  <c r="GN244" s="39"/>
      <c r="GO244" s="39"/>
      <c r="GP244" s="39"/>
      <c r="GQ244" s="39"/>
      <c r="GR244" s="39"/>
      <c r="GS244" s="39"/>
      <c r="GT244" s="39"/>
      <c r="GU244" s="39"/>
      <c r="GV244" s="39"/>
      <c r="GW244" s="39"/>
      <c r="GX244" s="39"/>
      <c r="GY244" s="39"/>
      <c r="GZ244" s="39"/>
      <c r="HA244" s="39"/>
      <c r="HB244" s="39"/>
      <c r="HC244" s="39"/>
      <c r="HD244" s="39"/>
      <c r="HE244" s="39"/>
      <c r="HF244" s="39"/>
      <c r="HG244" s="39"/>
      <c r="HH244" s="39"/>
      <c r="HI244" s="39"/>
      <c r="HJ244" s="39"/>
      <c r="HK244" s="39"/>
      <c r="HL244" s="39"/>
      <c r="HM244" s="39"/>
      <c r="HN244" s="39"/>
      <c r="HO244" s="39"/>
      <c r="HP244" s="39"/>
      <c r="HQ244" s="39"/>
      <c r="HR244" s="39"/>
      <c r="HS244" s="39"/>
      <c r="HT244" s="39"/>
      <c r="HU244" s="39"/>
      <c r="HV244" s="39"/>
      <c r="HW244" s="39"/>
      <c r="HX244" s="39"/>
      <c r="HY244" s="39"/>
      <c r="HZ244" s="39"/>
      <c r="IA244" s="39"/>
      <c r="IB244" s="39"/>
      <c r="IC244" s="39"/>
      <c r="ID244" s="39"/>
      <c r="IE244" s="39"/>
      <c r="IF244" s="39"/>
      <c r="IG244" s="39"/>
      <c r="IH244" s="39"/>
      <c r="II244" s="39"/>
      <c r="IJ244" s="39"/>
      <c r="IK244" s="39"/>
      <c r="IL244" s="39"/>
      <c r="IM244" s="39"/>
      <c r="IN244" s="39"/>
      <c r="IO244" s="39"/>
      <c r="IP244" s="39"/>
      <c r="IQ244" s="39"/>
      <c r="IR244" s="39"/>
      <c r="IS244" s="39"/>
      <c r="IT244" s="39"/>
      <c r="IU244" s="39"/>
      <c r="IV244" s="39"/>
      <c r="IW244" s="39"/>
      <c r="IX244" s="39"/>
      <c r="IY244" s="39"/>
      <c r="IZ244" s="39"/>
      <c r="JA244" s="39"/>
      <c r="JB244" s="39"/>
      <c r="JC244" s="39"/>
      <c r="JD244" s="39"/>
      <c r="JE244" s="39"/>
      <c r="JF244" s="39"/>
      <c r="JG244" s="39"/>
      <c r="JH244" s="39"/>
      <c r="JI244" s="39"/>
      <c r="JJ244" s="39"/>
      <c r="JK244" s="39"/>
      <c r="JL244" s="39"/>
      <c r="JM244" s="39"/>
      <c r="JN244" s="39"/>
      <c r="JO244" s="39"/>
      <c r="JP244" s="39"/>
      <c r="JQ244" s="39"/>
      <c r="JR244" s="39"/>
      <c r="JS244" s="39"/>
      <c r="JT244" s="39"/>
      <c r="JU244" s="39"/>
      <c r="JV244" s="39"/>
      <c r="JW244" s="39"/>
      <c r="JX244" s="39"/>
      <c r="JY244" s="39"/>
      <c r="JZ244" s="39"/>
      <c r="KA244" s="39"/>
      <c r="KB244" s="39"/>
      <c r="KC244" s="39"/>
      <c r="KD244" s="39"/>
      <c r="KE244" s="39"/>
      <c r="KF244" s="39"/>
      <c r="KG244" s="39"/>
      <c r="KH244" s="39"/>
      <c r="KI244" s="39"/>
      <c r="KJ244" s="39"/>
      <c r="KK244" s="39"/>
      <c r="KL244" s="39"/>
      <c r="KM244" s="39"/>
      <c r="KN244" s="39"/>
      <c r="KO244" s="39"/>
      <c r="KP244" s="39"/>
      <c r="KQ244" s="39"/>
      <c r="KR244" s="39"/>
      <c r="KS244" s="39"/>
      <c r="KT244" s="39"/>
      <c r="KU244" s="39"/>
      <c r="KV244" s="39"/>
      <c r="KW244" s="39"/>
      <c r="KX244" s="39"/>
      <c r="KY244" s="39"/>
      <c r="KZ244" s="39"/>
      <c r="LA244" s="39"/>
      <c r="LB244" s="39"/>
      <c r="LC244" s="39"/>
      <c r="LD244" s="39"/>
      <c r="LE244" s="39"/>
      <c r="LF244" s="39"/>
      <c r="LG244" s="39"/>
      <c r="LH244" s="39"/>
      <c r="LI244" s="39"/>
      <c r="LJ244" s="39"/>
      <c r="LK244" s="39"/>
      <c r="LL244" s="39"/>
      <c r="LM244" s="39"/>
      <c r="LN244" s="39"/>
      <c r="LO244" s="39"/>
      <c r="LP244" s="39"/>
      <c r="LQ244" s="39"/>
      <c r="LR244" s="39"/>
      <c r="LS244" s="39"/>
      <c r="LT244" s="39"/>
      <c r="LU244" s="39"/>
      <c r="LV244" s="39"/>
      <c r="LW244" s="39"/>
      <c r="LX244" s="39"/>
      <c r="LY244" s="39"/>
      <c r="LZ244" s="39"/>
      <c r="MA244" s="39"/>
      <c r="MB244" s="39"/>
      <c r="MC244" s="39"/>
      <c r="MD244" s="39"/>
      <c r="ME244" s="39"/>
      <c r="MF244" s="39"/>
      <c r="MG244" s="39"/>
      <c r="MH244" s="39"/>
      <c r="MI244" s="39"/>
      <c r="MJ244" s="39"/>
      <c r="MK244" s="39"/>
      <c r="ML244" s="39"/>
      <c r="MM244" s="39"/>
      <c r="MN244" s="39"/>
      <c r="MO244" s="39"/>
      <c r="MP244" s="39"/>
      <c r="MQ244" s="39"/>
      <c r="MR244" s="39"/>
      <c r="MS244" s="39"/>
      <c r="MT244" s="39"/>
      <c r="MU244" s="39"/>
      <c r="MV244" s="39"/>
      <c r="MW244" s="39"/>
      <c r="MX244" s="39"/>
      <c r="MY244" s="39"/>
      <c r="MZ244" s="39"/>
      <c r="NA244" s="39"/>
      <c r="NB244" s="39"/>
      <c r="NC244" s="39"/>
      <c r="ND244" s="39"/>
      <c r="NE244" s="39"/>
      <c r="NF244" s="39"/>
      <c r="NG244" s="39"/>
      <c r="NH244" s="39"/>
      <c r="NI244" s="39"/>
      <c r="NJ244" s="39"/>
      <c r="NK244" s="39"/>
      <c r="NL244" s="39"/>
      <c r="NM244" s="39"/>
      <c r="NN244" s="39"/>
      <c r="NO244" s="39"/>
      <c r="NP244" s="39"/>
      <c r="NQ244" s="39"/>
      <c r="NR244" s="39"/>
      <c r="NS244" s="39"/>
      <c r="NT244" s="39"/>
      <c r="NU244" s="39"/>
      <c r="NV244" s="39"/>
      <c r="NW244" s="39"/>
      <c r="NX244" s="39"/>
      <c r="NY244" s="39"/>
      <c r="NZ244" s="39"/>
      <c r="OA244" s="39"/>
      <c r="OB244" s="39"/>
      <c r="OC244" s="39"/>
      <c r="OD244" s="39"/>
      <c r="OE244" s="39"/>
      <c r="OF244" s="39"/>
      <c r="OG244" s="39"/>
      <c r="OH244" s="39"/>
      <c r="OI244" s="39"/>
      <c r="OJ244" s="39"/>
      <c r="OK244" s="39"/>
      <c r="OL244" s="39"/>
      <c r="OM244" s="39"/>
      <c r="ON244" s="39"/>
      <c r="OO244" s="39"/>
      <c r="OP244" s="39"/>
      <c r="OQ244" s="39"/>
      <c r="OR244" s="39"/>
      <c r="OS244" s="39"/>
      <c r="OT244" s="39"/>
      <c r="OU244" s="39"/>
      <c r="OV244" s="39"/>
      <c r="OW244" s="39"/>
      <c r="OX244" s="39"/>
      <c r="OY244" s="39"/>
      <c r="OZ244" s="39"/>
      <c r="PA244" s="39"/>
      <c r="PB244" s="39"/>
      <c r="PC244" s="39"/>
      <c r="PD244" s="39"/>
      <c r="PE244" s="39"/>
      <c r="PF244" s="39"/>
      <c r="PG244" s="39"/>
      <c r="PH244" s="39"/>
      <c r="PI244" s="39"/>
      <c r="PJ244" s="39"/>
      <c r="PK244" s="39"/>
      <c r="PL244" s="39"/>
      <c r="PM244" s="39"/>
      <c r="PN244" s="39"/>
      <c r="PO244" s="39"/>
      <c r="PP244" s="39"/>
      <c r="PQ244" s="39"/>
      <c r="PR244" s="39"/>
      <c r="PS244" s="39"/>
      <c r="PT244" s="39"/>
      <c r="PU244" s="39"/>
      <c r="PV244" s="39"/>
      <c r="PW244" s="39"/>
      <c r="PX244" s="39"/>
      <c r="PY244" s="39"/>
      <c r="PZ244" s="39"/>
      <c r="QA244" s="39"/>
      <c r="QB244" s="39"/>
      <c r="QC244" s="39"/>
      <c r="QD244" s="39"/>
      <c r="QE244" s="39"/>
      <c r="QF244" s="39"/>
      <c r="QG244" s="39"/>
      <c r="QH244" s="39"/>
      <c r="QI244" s="39"/>
      <c r="QJ244" s="39"/>
      <c r="QK244" s="39"/>
      <c r="QL244" s="39"/>
      <c r="QM244" s="39"/>
      <c r="QN244" s="39"/>
      <c r="QO244" s="39"/>
      <c r="QP244" s="39"/>
      <c r="QQ244" s="39"/>
      <c r="QR244" s="39"/>
      <c r="QS244" s="39"/>
      <c r="QT244" s="39"/>
      <c r="QU244" s="39"/>
      <c r="QV244" s="39"/>
      <c r="QW244" s="39"/>
      <c r="QX244" s="39"/>
      <c r="QY244" s="39"/>
      <c r="QZ244" s="39"/>
      <c r="RA244" s="39"/>
      <c r="RB244" s="39"/>
      <c r="RC244" s="39"/>
      <c r="RD244" s="39"/>
      <c r="RE244" s="39"/>
      <c r="RF244" s="39"/>
      <c r="RG244" s="39"/>
      <c r="RH244" s="39"/>
      <c r="RI244" s="39"/>
      <c r="RJ244" s="39"/>
      <c r="RK244" s="39"/>
      <c r="RL244" s="39"/>
      <c r="RM244" s="39"/>
      <c r="RN244" s="39"/>
      <c r="RO244" s="39"/>
      <c r="RP244" s="39"/>
      <c r="RQ244" s="39"/>
      <c r="RR244" s="39"/>
      <c r="RS244" s="39"/>
      <c r="RT244" s="39"/>
      <c r="RU244" s="39"/>
      <c r="RV244" s="39"/>
      <c r="RW244" s="39"/>
      <c r="RX244" s="39"/>
      <c r="RY244" s="39"/>
      <c r="RZ244" s="39"/>
      <c r="SA244" s="39"/>
      <c r="SB244" s="39"/>
      <c r="SC244" s="39"/>
      <c r="SD244" s="39"/>
      <c r="SE244" s="39"/>
      <c r="SF244" s="39"/>
      <c r="SG244" s="39"/>
      <c r="SH244" s="39"/>
      <c r="SI244" s="39"/>
      <c r="SJ244" s="39"/>
      <c r="SK244" s="39"/>
      <c r="SL244" s="39"/>
      <c r="SM244" s="39"/>
      <c r="SN244" s="39"/>
      <c r="SO244" s="39"/>
      <c r="SP244" s="39"/>
      <c r="SQ244" s="39"/>
      <c r="SR244" s="39"/>
      <c r="SS244" s="39"/>
      <c r="ST244" s="39"/>
      <c r="SU244" s="39"/>
      <c r="SV244" s="39"/>
      <c r="SW244" s="39"/>
      <c r="SX244" s="39"/>
      <c r="SY244" s="39"/>
      <c r="SZ244" s="39"/>
      <c r="TA244" s="39"/>
      <c r="TB244" s="39"/>
      <c r="TC244" s="39"/>
      <c r="TD244" s="39"/>
      <c r="TE244" s="39"/>
      <c r="TF244" s="39"/>
      <c r="TG244" s="39"/>
      <c r="TH244" s="39"/>
      <c r="TI244" s="39"/>
    </row>
    <row r="245" spans="1:529" s="23" customFormat="1" ht="47.25" customHeight="1" x14ac:dyDescent="0.25">
      <c r="A245" s="43" t="s">
        <v>232</v>
      </c>
      <c r="B245" s="44" t="str">
        <f>'дод 4'!A20</f>
        <v>0160</v>
      </c>
      <c r="C245" s="44" t="str">
        <f>'дод 4'!B20</f>
        <v>0111</v>
      </c>
      <c r="D245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45" s="66">
        <f t="shared" ref="E245:E250" si="144">F245+I245</f>
        <v>17991500</v>
      </c>
      <c r="F245" s="66">
        <f>18803900+108500-929400-41000+49500</f>
        <v>17991500</v>
      </c>
      <c r="G245" s="66">
        <f>14693100-761800-33600</f>
        <v>13897700</v>
      </c>
      <c r="H245" s="66">
        <v>314600</v>
      </c>
      <c r="I245" s="66"/>
      <c r="J245" s="66">
        <f>L245+O245</f>
        <v>25000</v>
      </c>
      <c r="K245" s="66">
        <v>25000</v>
      </c>
      <c r="L245" s="66"/>
      <c r="M245" s="66"/>
      <c r="N245" s="66"/>
      <c r="O245" s="66">
        <v>25000</v>
      </c>
      <c r="P245" s="66">
        <f t="shared" ref="P245:P250" si="145">E245+J245</f>
        <v>18016500</v>
      </c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  <c r="IT245" s="26"/>
      <c r="IU245" s="26"/>
      <c r="IV245" s="26"/>
      <c r="IW245" s="26"/>
      <c r="IX245" s="26"/>
      <c r="IY245" s="26"/>
      <c r="IZ245" s="26"/>
      <c r="JA245" s="26"/>
      <c r="JB245" s="26"/>
      <c r="JC245" s="26"/>
      <c r="JD245" s="26"/>
      <c r="JE245" s="26"/>
      <c r="JF245" s="26"/>
      <c r="JG245" s="26"/>
      <c r="JH245" s="26"/>
      <c r="JI245" s="26"/>
      <c r="JJ245" s="26"/>
      <c r="JK245" s="26"/>
      <c r="JL245" s="26"/>
      <c r="JM245" s="26"/>
      <c r="JN245" s="26"/>
      <c r="JO245" s="26"/>
      <c r="JP245" s="26"/>
      <c r="JQ245" s="26"/>
      <c r="JR245" s="26"/>
      <c r="JS245" s="26"/>
      <c r="JT245" s="26"/>
      <c r="JU245" s="26"/>
      <c r="JV245" s="26"/>
      <c r="JW245" s="26"/>
      <c r="JX245" s="26"/>
      <c r="JY245" s="26"/>
      <c r="JZ245" s="26"/>
      <c r="KA245" s="26"/>
      <c r="KB245" s="26"/>
      <c r="KC245" s="26"/>
      <c r="KD245" s="26"/>
      <c r="KE245" s="26"/>
      <c r="KF245" s="26"/>
      <c r="KG245" s="26"/>
      <c r="KH245" s="26"/>
      <c r="KI245" s="26"/>
      <c r="KJ245" s="26"/>
      <c r="KK245" s="26"/>
      <c r="KL245" s="26"/>
      <c r="KM245" s="26"/>
      <c r="KN245" s="26"/>
      <c r="KO245" s="26"/>
      <c r="KP245" s="26"/>
      <c r="KQ245" s="26"/>
      <c r="KR245" s="26"/>
      <c r="KS245" s="26"/>
      <c r="KT245" s="26"/>
      <c r="KU245" s="26"/>
      <c r="KV245" s="26"/>
      <c r="KW245" s="26"/>
      <c r="KX245" s="26"/>
      <c r="KY245" s="26"/>
      <c r="KZ245" s="26"/>
      <c r="LA245" s="26"/>
      <c r="LB245" s="26"/>
      <c r="LC245" s="26"/>
      <c r="LD245" s="26"/>
      <c r="LE245" s="26"/>
      <c r="LF245" s="26"/>
      <c r="LG245" s="26"/>
      <c r="LH245" s="26"/>
      <c r="LI245" s="26"/>
      <c r="LJ245" s="26"/>
      <c r="LK245" s="26"/>
      <c r="LL245" s="26"/>
      <c r="LM245" s="26"/>
      <c r="LN245" s="26"/>
      <c r="LO245" s="26"/>
      <c r="LP245" s="26"/>
      <c r="LQ245" s="26"/>
      <c r="LR245" s="26"/>
      <c r="LS245" s="26"/>
      <c r="LT245" s="26"/>
      <c r="LU245" s="26"/>
      <c r="LV245" s="26"/>
      <c r="LW245" s="26"/>
      <c r="LX245" s="26"/>
      <c r="LY245" s="26"/>
      <c r="LZ245" s="26"/>
      <c r="MA245" s="26"/>
      <c r="MB245" s="26"/>
      <c r="MC245" s="26"/>
      <c r="MD245" s="26"/>
      <c r="ME245" s="26"/>
      <c r="MF245" s="26"/>
      <c r="MG245" s="26"/>
      <c r="MH245" s="26"/>
      <c r="MI245" s="26"/>
      <c r="MJ245" s="26"/>
      <c r="MK245" s="26"/>
      <c r="ML245" s="26"/>
      <c r="MM245" s="26"/>
      <c r="MN245" s="26"/>
      <c r="MO245" s="26"/>
      <c r="MP245" s="26"/>
      <c r="MQ245" s="26"/>
      <c r="MR245" s="26"/>
      <c r="MS245" s="26"/>
      <c r="MT245" s="26"/>
      <c r="MU245" s="26"/>
      <c r="MV245" s="26"/>
      <c r="MW245" s="26"/>
      <c r="MX245" s="26"/>
      <c r="MY245" s="26"/>
      <c r="MZ245" s="26"/>
      <c r="NA245" s="26"/>
      <c r="NB245" s="26"/>
      <c r="NC245" s="26"/>
      <c r="ND245" s="26"/>
      <c r="NE245" s="26"/>
      <c r="NF245" s="26"/>
      <c r="NG245" s="26"/>
      <c r="NH245" s="26"/>
      <c r="NI245" s="26"/>
      <c r="NJ245" s="26"/>
      <c r="NK245" s="26"/>
      <c r="NL245" s="26"/>
      <c r="NM245" s="26"/>
      <c r="NN245" s="26"/>
      <c r="NO245" s="26"/>
      <c r="NP245" s="26"/>
      <c r="NQ245" s="26"/>
      <c r="NR245" s="26"/>
      <c r="NS245" s="26"/>
      <c r="NT245" s="26"/>
      <c r="NU245" s="26"/>
      <c r="NV245" s="26"/>
      <c r="NW245" s="26"/>
      <c r="NX245" s="26"/>
      <c r="NY245" s="26"/>
      <c r="NZ245" s="26"/>
      <c r="OA245" s="26"/>
      <c r="OB245" s="26"/>
      <c r="OC245" s="26"/>
      <c r="OD245" s="26"/>
      <c r="OE245" s="26"/>
      <c r="OF245" s="26"/>
      <c r="OG245" s="26"/>
      <c r="OH245" s="26"/>
      <c r="OI245" s="26"/>
      <c r="OJ245" s="26"/>
      <c r="OK245" s="26"/>
      <c r="OL245" s="26"/>
      <c r="OM245" s="26"/>
      <c r="ON245" s="26"/>
      <c r="OO245" s="26"/>
      <c r="OP245" s="26"/>
      <c r="OQ245" s="26"/>
      <c r="OR245" s="26"/>
      <c r="OS245" s="26"/>
      <c r="OT245" s="26"/>
      <c r="OU245" s="26"/>
      <c r="OV245" s="26"/>
      <c r="OW245" s="26"/>
      <c r="OX245" s="26"/>
      <c r="OY245" s="26"/>
      <c r="OZ245" s="26"/>
      <c r="PA245" s="26"/>
      <c r="PB245" s="26"/>
      <c r="PC245" s="26"/>
      <c r="PD245" s="26"/>
      <c r="PE245" s="26"/>
      <c r="PF245" s="26"/>
      <c r="PG245" s="26"/>
      <c r="PH245" s="26"/>
      <c r="PI245" s="26"/>
      <c r="PJ245" s="26"/>
      <c r="PK245" s="26"/>
      <c r="PL245" s="26"/>
      <c r="PM245" s="26"/>
      <c r="PN245" s="26"/>
      <c r="PO245" s="26"/>
      <c r="PP245" s="26"/>
      <c r="PQ245" s="26"/>
      <c r="PR245" s="26"/>
      <c r="PS245" s="26"/>
      <c r="PT245" s="26"/>
      <c r="PU245" s="26"/>
      <c r="PV245" s="26"/>
      <c r="PW245" s="26"/>
      <c r="PX245" s="26"/>
      <c r="PY245" s="26"/>
      <c r="PZ245" s="26"/>
      <c r="QA245" s="26"/>
      <c r="QB245" s="26"/>
      <c r="QC245" s="26"/>
      <c r="QD245" s="26"/>
      <c r="QE245" s="26"/>
      <c r="QF245" s="26"/>
      <c r="QG245" s="26"/>
      <c r="QH245" s="26"/>
      <c r="QI245" s="26"/>
      <c r="QJ245" s="26"/>
      <c r="QK245" s="26"/>
      <c r="QL245" s="26"/>
      <c r="QM245" s="26"/>
      <c r="QN245" s="26"/>
      <c r="QO245" s="26"/>
      <c r="QP245" s="26"/>
      <c r="QQ245" s="26"/>
      <c r="QR245" s="26"/>
      <c r="QS245" s="26"/>
      <c r="QT245" s="26"/>
      <c r="QU245" s="26"/>
      <c r="QV245" s="26"/>
      <c r="QW245" s="26"/>
      <c r="QX245" s="26"/>
      <c r="QY245" s="26"/>
      <c r="QZ245" s="26"/>
      <c r="RA245" s="26"/>
      <c r="RB245" s="26"/>
      <c r="RC245" s="26"/>
      <c r="RD245" s="26"/>
      <c r="RE245" s="26"/>
      <c r="RF245" s="26"/>
      <c r="RG245" s="26"/>
      <c r="RH245" s="26"/>
      <c r="RI245" s="26"/>
      <c r="RJ245" s="26"/>
      <c r="RK245" s="26"/>
      <c r="RL245" s="26"/>
      <c r="RM245" s="26"/>
      <c r="RN245" s="26"/>
      <c r="RO245" s="26"/>
      <c r="RP245" s="26"/>
      <c r="RQ245" s="26"/>
      <c r="RR245" s="26"/>
      <c r="RS245" s="26"/>
      <c r="RT245" s="26"/>
      <c r="RU245" s="26"/>
      <c r="RV245" s="26"/>
      <c r="RW245" s="26"/>
      <c r="RX245" s="26"/>
      <c r="RY245" s="26"/>
      <c r="RZ245" s="26"/>
      <c r="SA245" s="26"/>
      <c r="SB245" s="26"/>
      <c r="SC245" s="26"/>
      <c r="SD245" s="26"/>
      <c r="SE245" s="26"/>
      <c r="SF245" s="26"/>
      <c r="SG245" s="26"/>
      <c r="SH245" s="26"/>
      <c r="SI245" s="26"/>
      <c r="SJ245" s="26"/>
      <c r="SK245" s="26"/>
      <c r="SL245" s="26"/>
      <c r="SM245" s="26"/>
      <c r="SN245" s="26"/>
      <c r="SO245" s="26"/>
      <c r="SP245" s="26"/>
      <c r="SQ245" s="26"/>
      <c r="SR245" s="26"/>
      <c r="SS245" s="26"/>
      <c r="ST245" s="26"/>
      <c r="SU245" s="26"/>
      <c r="SV245" s="26"/>
      <c r="SW245" s="26"/>
      <c r="SX245" s="26"/>
      <c r="SY245" s="26"/>
      <c r="SZ245" s="26"/>
      <c r="TA245" s="26"/>
      <c r="TB245" s="26"/>
      <c r="TC245" s="26"/>
      <c r="TD245" s="26"/>
      <c r="TE245" s="26"/>
      <c r="TF245" s="26"/>
      <c r="TG245" s="26"/>
      <c r="TH245" s="26"/>
      <c r="TI245" s="26"/>
    </row>
    <row r="246" spans="1:529" s="28" customFormat="1" ht="29.25" customHeight="1" x14ac:dyDescent="0.25">
      <c r="A246" s="43" t="s">
        <v>233</v>
      </c>
      <c r="B246" s="44" t="str">
        <f>'дод 4'!A137</f>
        <v>7130</v>
      </c>
      <c r="C246" s="44" t="str">
        <f>'дод 4'!B137</f>
        <v>0421</v>
      </c>
      <c r="D246" s="24" t="str">
        <f>'дод 4'!C137</f>
        <v>Здійснення заходів із землеустрою</v>
      </c>
      <c r="E246" s="66">
        <f t="shared" si="144"/>
        <v>655000</v>
      </c>
      <c r="F246" s="66">
        <f>700000-45000</f>
        <v>655000</v>
      </c>
      <c r="G246" s="66"/>
      <c r="H246" s="66"/>
      <c r="I246" s="66"/>
      <c r="J246" s="66">
        <f t="shared" ref="J246:J250" si="146">L246+O246</f>
        <v>0</v>
      </c>
      <c r="K246" s="66"/>
      <c r="L246" s="66"/>
      <c r="M246" s="66"/>
      <c r="N246" s="66"/>
      <c r="O246" s="66"/>
      <c r="P246" s="66">
        <f t="shared" si="145"/>
        <v>655000</v>
      </c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  <c r="HL246" s="37"/>
      <c r="HM246" s="37"/>
      <c r="HN246" s="37"/>
      <c r="HO246" s="37"/>
      <c r="HP246" s="37"/>
      <c r="HQ246" s="37"/>
      <c r="HR246" s="37"/>
      <c r="HS246" s="37"/>
      <c r="HT246" s="37"/>
      <c r="HU246" s="37"/>
      <c r="HV246" s="37"/>
      <c r="HW246" s="37"/>
      <c r="HX246" s="37"/>
      <c r="HY246" s="37"/>
      <c r="HZ246" s="37"/>
      <c r="IA246" s="37"/>
      <c r="IB246" s="37"/>
      <c r="IC246" s="37"/>
      <c r="ID246" s="37"/>
      <c r="IE246" s="37"/>
      <c r="IF246" s="37"/>
      <c r="IG246" s="37"/>
      <c r="IH246" s="37"/>
      <c r="II246" s="37"/>
      <c r="IJ246" s="37"/>
      <c r="IK246" s="37"/>
      <c r="IL246" s="37"/>
      <c r="IM246" s="37"/>
      <c r="IN246" s="37"/>
      <c r="IO246" s="37"/>
      <c r="IP246" s="37"/>
      <c r="IQ246" s="37"/>
      <c r="IR246" s="37"/>
      <c r="IS246" s="37"/>
      <c r="IT246" s="37"/>
      <c r="IU246" s="37"/>
      <c r="IV246" s="37"/>
      <c r="IW246" s="37"/>
      <c r="IX246" s="37"/>
      <c r="IY246" s="37"/>
      <c r="IZ246" s="37"/>
      <c r="JA246" s="37"/>
      <c r="JB246" s="37"/>
      <c r="JC246" s="37"/>
      <c r="JD246" s="37"/>
      <c r="JE246" s="37"/>
      <c r="JF246" s="37"/>
      <c r="JG246" s="37"/>
      <c r="JH246" s="37"/>
      <c r="JI246" s="37"/>
      <c r="JJ246" s="37"/>
      <c r="JK246" s="37"/>
      <c r="JL246" s="37"/>
      <c r="JM246" s="37"/>
      <c r="JN246" s="37"/>
      <c r="JO246" s="37"/>
      <c r="JP246" s="37"/>
      <c r="JQ246" s="37"/>
      <c r="JR246" s="37"/>
      <c r="JS246" s="37"/>
      <c r="JT246" s="37"/>
      <c r="JU246" s="37"/>
      <c r="JV246" s="37"/>
      <c r="JW246" s="37"/>
      <c r="JX246" s="37"/>
      <c r="JY246" s="37"/>
      <c r="JZ246" s="37"/>
      <c r="KA246" s="37"/>
      <c r="KB246" s="37"/>
      <c r="KC246" s="37"/>
      <c r="KD246" s="37"/>
      <c r="KE246" s="37"/>
      <c r="KF246" s="37"/>
      <c r="KG246" s="37"/>
      <c r="KH246" s="37"/>
      <c r="KI246" s="37"/>
      <c r="KJ246" s="37"/>
      <c r="KK246" s="37"/>
      <c r="KL246" s="37"/>
      <c r="KM246" s="37"/>
      <c r="KN246" s="37"/>
      <c r="KO246" s="37"/>
      <c r="KP246" s="37"/>
      <c r="KQ246" s="37"/>
      <c r="KR246" s="37"/>
      <c r="KS246" s="37"/>
      <c r="KT246" s="37"/>
      <c r="KU246" s="37"/>
      <c r="KV246" s="37"/>
      <c r="KW246" s="37"/>
      <c r="KX246" s="37"/>
      <c r="KY246" s="37"/>
      <c r="KZ246" s="37"/>
      <c r="LA246" s="37"/>
      <c r="LB246" s="37"/>
      <c r="LC246" s="37"/>
      <c r="LD246" s="37"/>
      <c r="LE246" s="37"/>
      <c r="LF246" s="37"/>
      <c r="LG246" s="37"/>
      <c r="LH246" s="37"/>
      <c r="LI246" s="37"/>
      <c r="LJ246" s="37"/>
      <c r="LK246" s="37"/>
      <c r="LL246" s="37"/>
      <c r="LM246" s="37"/>
      <c r="LN246" s="37"/>
      <c r="LO246" s="37"/>
      <c r="LP246" s="37"/>
      <c r="LQ246" s="37"/>
      <c r="LR246" s="37"/>
      <c r="LS246" s="37"/>
      <c r="LT246" s="37"/>
      <c r="LU246" s="37"/>
      <c r="LV246" s="37"/>
      <c r="LW246" s="37"/>
      <c r="LX246" s="37"/>
      <c r="LY246" s="37"/>
      <c r="LZ246" s="37"/>
      <c r="MA246" s="37"/>
      <c r="MB246" s="37"/>
      <c r="MC246" s="37"/>
      <c r="MD246" s="37"/>
      <c r="ME246" s="37"/>
      <c r="MF246" s="37"/>
      <c r="MG246" s="37"/>
      <c r="MH246" s="37"/>
      <c r="MI246" s="37"/>
      <c r="MJ246" s="37"/>
      <c r="MK246" s="37"/>
      <c r="ML246" s="37"/>
      <c r="MM246" s="37"/>
      <c r="MN246" s="37"/>
      <c r="MO246" s="37"/>
      <c r="MP246" s="37"/>
      <c r="MQ246" s="37"/>
      <c r="MR246" s="37"/>
      <c r="MS246" s="37"/>
      <c r="MT246" s="37"/>
      <c r="MU246" s="37"/>
      <c r="MV246" s="37"/>
      <c r="MW246" s="37"/>
      <c r="MX246" s="37"/>
      <c r="MY246" s="37"/>
      <c r="MZ246" s="37"/>
      <c r="NA246" s="37"/>
      <c r="NB246" s="37"/>
      <c r="NC246" s="37"/>
      <c r="ND246" s="37"/>
      <c r="NE246" s="37"/>
      <c r="NF246" s="37"/>
      <c r="NG246" s="37"/>
      <c r="NH246" s="37"/>
      <c r="NI246" s="37"/>
      <c r="NJ246" s="37"/>
      <c r="NK246" s="37"/>
      <c r="NL246" s="37"/>
      <c r="NM246" s="37"/>
      <c r="NN246" s="37"/>
      <c r="NO246" s="37"/>
      <c r="NP246" s="37"/>
      <c r="NQ246" s="37"/>
      <c r="NR246" s="37"/>
      <c r="NS246" s="37"/>
      <c r="NT246" s="37"/>
      <c r="NU246" s="37"/>
      <c r="NV246" s="37"/>
      <c r="NW246" s="37"/>
      <c r="NX246" s="37"/>
      <c r="NY246" s="37"/>
      <c r="NZ246" s="37"/>
      <c r="OA246" s="37"/>
      <c r="OB246" s="37"/>
      <c r="OC246" s="37"/>
      <c r="OD246" s="37"/>
      <c r="OE246" s="37"/>
      <c r="OF246" s="37"/>
      <c r="OG246" s="37"/>
      <c r="OH246" s="37"/>
      <c r="OI246" s="37"/>
      <c r="OJ246" s="37"/>
      <c r="OK246" s="37"/>
      <c r="OL246" s="37"/>
      <c r="OM246" s="37"/>
      <c r="ON246" s="37"/>
      <c r="OO246" s="37"/>
      <c r="OP246" s="37"/>
      <c r="OQ246" s="37"/>
      <c r="OR246" s="37"/>
      <c r="OS246" s="37"/>
      <c r="OT246" s="37"/>
      <c r="OU246" s="37"/>
      <c r="OV246" s="37"/>
      <c r="OW246" s="37"/>
      <c r="OX246" s="37"/>
      <c r="OY246" s="37"/>
      <c r="OZ246" s="37"/>
      <c r="PA246" s="37"/>
      <c r="PB246" s="37"/>
      <c r="PC246" s="37"/>
      <c r="PD246" s="37"/>
      <c r="PE246" s="37"/>
      <c r="PF246" s="37"/>
      <c r="PG246" s="37"/>
      <c r="PH246" s="37"/>
      <c r="PI246" s="37"/>
      <c r="PJ246" s="37"/>
      <c r="PK246" s="37"/>
      <c r="PL246" s="37"/>
      <c r="PM246" s="37"/>
      <c r="PN246" s="37"/>
      <c r="PO246" s="37"/>
      <c r="PP246" s="37"/>
      <c r="PQ246" s="37"/>
      <c r="PR246" s="37"/>
      <c r="PS246" s="37"/>
      <c r="PT246" s="37"/>
      <c r="PU246" s="37"/>
      <c r="PV246" s="37"/>
      <c r="PW246" s="37"/>
      <c r="PX246" s="37"/>
      <c r="PY246" s="37"/>
      <c r="PZ246" s="37"/>
      <c r="QA246" s="37"/>
      <c r="QB246" s="37"/>
      <c r="QC246" s="37"/>
      <c r="QD246" s="37"/>
      <c r="QE246" s="37"/>
      <c r="QF246" s="37"/>
      <c r="QG246" s="37"/>
      <c r="QH246" s="37"/>
      <c r="QI246" s="37"/>
      <c r="QJ246" s="37"/>
      <c r="QK246" s="37"/>
      <c r="QL246" s="37"/>
      <c r="QM246" s="37"/>
      <c r="QN246" s="37"/>
      <c r="QO246" s="37"/>
      <c r="QP246" s="37"/>
      <c r="QQ246" s="37"/>
      <c r="QR246" s="37"/>
      <c r="QS246" s="37"/>
      <c r="QT246" s="37"/>
      <c r="QU246" s="37"/>
      <c r="QV246" s="37"/>
      <c r="QW246" s="37"/>
      <c r="QX246" s="37"/>
      <c r="QY246" s="37"/>
      <c r="QZ246" s="37"/>
      <c r="RA246" s="37"/>
      <c r="RB246" s="37"/>
      <c r="RC246" s="37"/>
      <c r="RD246" s="37"/>
      <c r="RE246" s="37"/>
      <c r="RF246" s="37"/>
      <c r="RG246" s="37"/>
      <c r="RH246" s="37"/>
      <c r="RI246" s="37"/>
      <c r="RJ246" s="37"/>
      <c r="RK246" s="37"/>
      <c r="RL246" s="37"/>
      <c r="RM246" s="37"/>
      <c r="RN246" s="37"/>
      <c r="RO246" s="37"/>
      <c r="RP246" s="37"/>
      <c r="RQ246" s="37"/>
      <c r="RR246" s="37"/>
      <c r="RS246" s="37"/>
      <c r="RT246" s="37"/>
      <c r="RU246" s="37"/>
      <c r="RV246" s="37"/>
      <c r="RW246" s="37"/>
      <c r="RX246" s="37"/>
      <c r="RY246" s="37"/>
      <c r="RZ246" s="37"/>
      <c r="SA246" s="37"/>
      <c r="SB246" s="37"/>
      <c r="SC246" s="37"/>
      <c r="SD246" s="37"/>
      <c r="SE246" s="37"/>
      <c r="SF246" s="37"/>
      <c r="SG246" s="37"/>
      <c r="SH246" s="37"/>
      <c r="SI246" s="37"/>
      <c r="SJ246" s="37"/>
      <c r="SK246" s="37"/>
      <c r="SL246" s="37"/>
      <c r="SM246" s="37"/>
      <c r="SN246" s="37"/>
      <c r="SO246" s="37"/>
      <c r="SP246" s="37"/>
      <c r="SQ246" s="37"/>
      <c r="SR246" s="37"/>
      <c r="SS246" s="37"/>
      <c r="ST246" s="37"/>
      <c r="SU246" s="37"/>
      <c r="SV246" s="37"/>
      <c r="SW246" s="37"/>
      <c r="SX246" s="37"/>
      <c r="SY246" s="37"/>
      <c r="SZ246" s="37"/>
      <c r="TA246" s="37"/>
      <c r="TB246" s="37"/>
      <c r="TC246" s="37"/>
      <c r="TD246" s="37"/>
      <c r="TE246" s="37"/>
      <c r="TF246" s="37"/>
      <c r="TG246" s="37"/>
      <c r="TH246" s="37"/>
      <c r="TI246" s="37"/>
    </row>
    <row r="247" spans="1:529" s="23" customFormat="1" ht="27" customHeight="1" x14ac:dyDescent="0.25">
      <c r="A247" s="52" t="s">
        <v>234</v>
      </c>
      <c r="B247" s="45" t="str">
        <f>'дод 4'!A162</f>
        <v>7610</v>
      </c>
      <c r="C247" s="45" t="str">
        <f>'дод 4'!B162</f>
        <v>0411</v>
      </c>
      <c r="D247" s="22" t="str">
        <f>'дод 4'!C162</f>
        <v>Сприяння розвитку малого та середнього підприємництва</v>
      </c>
      <c r="E247" s="66">
        <f t="shared" si="144"/>
        <v>1020000</v>
      </c>
      <c r="F247" s="66">
        <f>220000+182000</f>
        <v>402000</v>
      </c>
      <c r="G247" s="66"/>
      <c r="H247" s="66"/>
      <c r="I247" s="66">
        <f>1000000-200000-182000</f>
        <v>618000</v>
      </c>
      <c r="J247" s="66">
        <f t="shared" si="146"/>
        <v>0</v>
      </c>
      <c r="K247" s="66"/>
      <c r="L247" s="66"/>
      <c r="M247" s="66"/>
      <c r="N247" s="66"/>
      <c r="O247" s="66"/>
      <c r="P247" s="66">
        <f t="shared" si="145"/>
        <v>1020000</v>
      </c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  <c r="IT247" s="26"/>
      <c r="IU247" s="26"/>
      <c r="IV247" s="26"/>
      <c r="IW247" s="26"/>
      <c r="IX247" s="26"/>
      <c r="IY247" s="26"/>
      <c r="IZ247" s="26"/>
      <c r="JA247" s="26"/>
      <c r="JB247" s="26"/>
      <c r="JC247" s="26"/>
      <c r="JD247" s="26"/>
      <c r="JE247" s="26"/>
      <c r="JF247" s="26"/>
      <c r="JG247" s="26"/>
      <c r="JH247" s="26"/>
      <c r="JI247" s="26"/>
      <c r="JJ247" s="26"/>
      <c r="JK247" s="26"/>
      <c r="JL247" s="26"/>
      <c r="JM247" s="26"/>
      <c r="JN247" s="26"/>
      <c r="JO247" s="26"/>
      <c r="JP247" s="26"/>
      <c r="JQ247" s="26"/>
      <c r="JR247" s="26"/>
      <c r="JS247" s="26"/>
      <c r="JT247" s="26"/>
      <c r="JU247" s="26"/>
      <c r="JV247" s="26"/>
      <c r="JW247" s="26"/>
      <c r="JX247" s="26"/>
      <c r="JY247" s="26"/>
      <c r="JZ247" s="26"/>
      <c r="KA247" s="26"/>
      <c r="KB247" s="26"/>
      <c r="KC247" s="26"/>
      <c r="KD247" s="26"/>
      <c r="KE247" s="26"/>
      <c r="KF247" s="26"/>
      <c r="KG247" s="26"/>
      <c r="KH247" s="26"/>
      <c r="KI247" s="26"/>
      <c r="KJ247" s="26"/>
      <c r="KK247" s="26"/>
      <c r="KL247" s="26"/>
      <c r="KM247" s="26"/>
      <c r="KN247" s="26"/>
      <c r="KO247" s="26"/>
      <c r="KP247" s="26"/>
      <c r="KQ247" s="26"/>
      <c r="KR247" s="26"/>
      <c r="KS247" s="26"/>
      <c r="KT247" s="26"/>
      <c r="KU247" s="26"/>
      <c r="KV247" s="26"/>
      <c r="KW247" s="26"/>
      <c r="KX247" s="26"/>
      <c r="KY247" s="26"/>
      <c r="KZ247" s="26"/>
      <c r="LA247" s="26"/>
      <c r="LB247" s="26"/>
      <c r="LC247" s="26"/>
      <c r="LD247" s="26"/>
      <c r="LE247" s="26"/>
      <c r="LF247" s="26"/>
      <c r="LG247" s="26"/>
      <c r="LH247" s="26"/>
      <c r="LI247" s="26"/>
      <c r="LJ247" s="26"/>
      <c r="LK247" s="26"/>
      <c r="LL247" s="26"/>
      <c r="LM247" s="26"/>
      <c r="LN247" s="26"/>
      <c r="LO247" s="26"/>
      <c r="LP247" s="26"/>
      <c r="LQ247" s="26"/>
      <c r="LR247" s="26"/>
      <c r="LS247" s="26"/>
      <c r="LT247" s="26"/>
      <c r="LU247" s="26"/>
      <c r="LV247" s="26"/>
      <c r="LW247" s="26"/>
      <c r="LX247" s="26"/>
      <c r="LY247" s="26"/>
      <c r="LZ247" s="26"/>
      <c r="MA247" s="26"/>
      <c r="MB247" s="26"/>
      <c r="MC247" s="26"/>
      <c r="MD247" s="26"/>
      <c r="ME247" s="26"/>
      <c r="MF247" s="26"/>
      <c r="MG247" s="26"/>
      <c r="MH247" s="26"/>
      <c r="MI247" s="26"/>
      <c r="MJ247" s="26"/>
      <c r="MK247" s="26"/>
      <c r="ML247" s="26"/>
      <c r="MM247" s="26"/>
      <c r="MN247" s="26"/>
      <c r="MO247" s="26"/>
      <c r="MP247" s="26"/>
      <c r="MQ247" s="26"/>
      <c r="MR247" s="26"/>
      <c r="MS247" s="26"/>
      <c r="MT247" s="26"/>
      <c r="MU247" s="26"/>
      <c r="MV247" s="26"/>
      <c r="MW247" s="26"/>
      <c r="MX247" s="26"/>
      <c r="MY247" s="26"/>
      <c r="MZ247" s="26"/>
      <c r="NA247" s="26"/>
      <c r="NB247" s="26"/>
      <c r="NC247" s="26"/>
      <c r="ND247" s="26"/>
      <c r="NE247" s="26"/>
      <c r="NF247" s="26"/>
      <c r="NG247" s="26"/>
      <c r="NH247" s="26"/>
      <c r="NI247" s="26"/>
      <c r="NJ247" s="26"/>
      <c r="NK247" s="26"/>
      <c r="NL247" s="26"/>
      <c r="NM247" s="26"/>
      <c r="NN247" s="26"/>
      <c r="NO247" s="26"/>
      <c r="NP247" s="26"/>
      <c r="NQ247" s="26"/>
      <c r="NR247" s="26"/>
      <c r="NS247" s="26"/>
      <c r="NT247" s="26"/>
      <c r="NU247" s="26"/>
      <c r="NV247" s="26"/>
      <c r="NW247" s="26"/>
      <c r="NX247" s="26"/>
      <c r="NY247" s="26"/>
      <c r="NZ247" s="26"/>
      <c r="OA247" s="26"/>
      <c r="OB247" s="26"/>
      <c r="OC247" s="26"/>
      <c r="OD247" s="26"/>
      <c r="OE247" s="26"/>
      <c r="OF247" s="26"/>
      <c r="OG247" s="26"/>
      <c r="OH247" s="26"/>
      <c r="OI247" s="26"/>
      <c r="OJ247" s="26"/>
      <c r="OK247" s="26"/>
      <c r="OL247" s="26"/>
      <c r="OM247" s="26"/>
      <c r="ON247" s="26"/>
      <c r="OO247" s="26"/>
      <c r="OP247" s="26"/>
      <c r="OQ247" s="26"/>
      <c r="OR247" s="26"/>
      <c r="OS247" s="26"/>
      <c r="OT247" s="26"/>
      <c r="OU247" s="26"/>
      <c r="OV247" s="26"/>
      <c r="OW247" s="26"/>
      <c r="OX247" s="26"/>
      <c r="OY247" s="26"/>
      <c r="OZ247" s="26"/>
      <c r="PA247" s="26"/>
      <c r="PB247" s="26"/>
      <c r="PC247" s="26"/>
      <c r="PD247" s="26"/>
      <c r="PE247" s="26"/>
      <c r="PF247" s="26"/>
      <c r="PG247" s="26"/>
      <c r="PH247" s="26"/>
      <c r="PI247" s="26"/>
      <c r="PJ247" s="26"/>
      <c r="PK247" s="26"/>
      <c r="PL247" s="26"/>
      <c r="PM247" s="26"/>
      <c r="PN247" s="26"/>
      <c r="PO247" s="26"/>
      <c r="PP247" s="26"/>
      <c r="PQ247" s="26"/>
      <c r="PR247" s="26"/>
      <c r="PS247" s="26"/>
      <c r="PT247" s="26"/>
      <c r="PU247" s="26"/>
      <c r="PV247" s="26"/>
      <c r="PW247" s="26"/>
      <c r="PX247" s="26"/>
      <c r="PY247" s="26"/>
      <c r="PZ247" s="26"/>
      <c r="QA247" s="26"/>
      <c r="QB247" s="26"/>
      <c r="QC247" s="26"/>
      <c r="QD247" s="26"/>
      <c r="QE247" s="26"/>
      <c r="QF247" s="26"/>
      <c r="QG247" s="26"/>
      <c r="QH247" s="26"/>
      <c r="QI247" s="26"/>
      <c r="QJ247" s="26"/>
      <c r="QK247" s="26"/>
      <c r="QL247" s="26"/>
      <c r="QM247" s="26"/>
      <c r="QN247" s="26"/>
      <c r="QO247" s="26"/>
      <c r="QP247" s="26"/>
      <c r="QQ247" s="26"/>
      <c r="QR247" s="26"/>
      <c r="QS247" s="26"/>
      <c r="QT247" s="26"/>
      <c r="QU247" s="26"/>
      <c r="QV247" s="26"/>
      <c r="QW247" s="26"/>
      <c r="QX247" s="26"/>
      <c r="QY247" s="26"/>
      <c r="QZ247" s="26"/>
      <c r="RA247" s="26"/>
      <c r="RB247" s="26"/>
      <c r="RC247" s="26"/>
      <c r="RD247" s="26"/>
      <c r="RE247" s="26"/>
      <c r="RF247" s="26"/>
      <c r="RG247" s="26"/>
      <c r="RH247" s="26"/>
      <c r="RI247" s="26"/>
      <c r="RJ247" s="26"/>
      <c r="RK247" s="26"/>
      <c r="RL247" s="26"/>
      <c r="RM247" s="26"/>
      <c r="RN247" s="26"/>
      <c r="RO247" s="26"/>
      <c r="RP247" s="26"/>
      <c r="RQ247" s="26"/>
      <c r="RR247" s="26"/>
      <c r="RS247" s="26"/>
      <c r="RT247" s="26"/>
      <c r="RU247" s="26"/>
      <c r="RV247" s="26"/>
      <c r="RW247" s="26"/>
      <c r="RX247" s="26"/>
      <c r="RY247" s="26"/>
      <c r="RZ247" s="26"/>
      <c r="SA247" s="26"/>
      <c r="SB247" s="26"/>
      <c r="SC247" s="26"/>
      <c r="SD247" s="26"/>
      <c r="SE247" s="26"/>
      <c r="SF247" s="26"/>
      <c r="SG247" s="26"/>
      <c r="SH247" s="26"/>
      <c r="SI247" s="26"/>
      <c r="SJ247" s="26"/>
      <c r="SK247" s="26"/>
      <c r="SL247" s="26"/>
      <c r="SM247" s="26"/>
      <c r="SN247" s="26"/>
      <c r="SO247" s="26"/>
      <c r="SP247" s="26"/>
      <c r="SQ247" s="26"/>
      <c r="SR247" s="26"/>
      <c r="SS247" s="26"/>
      <c r="ST247" s="26"/>
      <c r="SU247" s="26"/>
      <c r="SV247" s="26"/>
      <c r="SW247" s="26"/>
      <c r="SX247" s="26"/>
      <c r="SY247" s="26"/>
      <c r="SZ247" s="26"/>
      <c r="TA247" s="26"/>
      <c r="TB247" s="26"/>
      <c r="TC247" s="26"/>
      <c r="TD247" s="26"/>
      <c r="TE247" s="26"/>
      <c r="TF247" s="26"/>
      <c r="TG247" s="26"/>
      <c r="TH247" s="26"/>
      <c r="TI247" s="26"/>
    </row>
    <row r="248" spans="1:529" s="23" customFormat="1" ht="37.5" customHeight="1" x14ac:dyDescent="0.25">
      <c r="A248" s="52" t="s">
        <v>288</v>
      </c>
      <c r="B248" s="45" t="str">
        <f>'дод 4'!A165</f>
        <v>7650</v>
      </c>
      <c r="C248" s="45" t="str">
        <f>'дод 4'!B165</f>
        <v>0490</v>
      </c>
      <c r="D248" s="22" t="str">
        <f>'дод 4'!C165</f>
        <v>Проведення експертної грошової оцінки земельної ділянки чи права на неї</v>
      </c>
      <c r="E248" s="66">
        <f t="shared" si="144"/>
        <v>0</v>
      </c>
      <c r="F248" s="66"/>
      <c r="G248" s="66"/>
      <c r="H248" s="66"/>
      <c r="I248" s="66"/>
      <c r="J248" s="66">
        <f t="shared" si="146"/>
        <v>30000</v>
      </c>
      <c r="K248" s="66">
        <v>30000</v>
      </c>
      <c r="L248" s="66"/>
      <c r="M248" s="66"/>
      <c r="N248" s="66"/>
      <c r="O248" s="66">
        <v>30000</v>
      </c>
      <c r="P248" s="66">
        <f t="shared" si="145"/>
        <v>30000</v>
      </c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  <c r="IS248" s="26"/>
      <c r="IT248" s="26"/>
      <c r="IU248" s="26"/>
      <c r="IV248" s="26"/>
      <c r="IW248" s="26"/>
      <c r="IX248" s="26"/>
      <c r="IY248" s="26"/>
      <c r="IZ248" s="26"/>
      <c r="JA248" s="26"/>
      <c r="JB248" s="26"/>
      <c r="JC248" s="26"/>
      <c r="JD248" s="26"/>
      <c r="JE248" s="26"/>
      <c r="JF248" s="26"/>
      <c r="JG248" s="26"/>
      <c r="JH248" s="26"/>
      <c r="JI248" s="26"/>
      <c r="JJ248" s="26"/>
      <c r="JK248" s="26"/>
      <c r="JL248" s="26"/>
      <c r="JM248" s="26"/>
      <c r="JN248" s="26"/>
      <c r="JO248" s="26"/>
      <c r="JP248" s="26"/>
      <c r="JQ248" s="26"/>
      <c r="JR248" s="26"/>
      <c r="JS248" s="26"/>
      <c r="JT248" s="26"/>
      <c r="JU248" s="26"/>
      <c r="JV248" s="26"/>
      <c r="JW248" s="26"/>
      <c r="JX248" s="26"/>
      <c r="JY248" s="26"/>
      <c r="JZ248" s="26"/>
      <c r="KA248" s="26"/>
      <c r="KB248" s="26"/>
      <c r="KC248" s="26"/>
      <c r="KD248" s="26"/>
      <c r="KE248" s="26"/>
      <c r="KF248" s="26"/>
      <c r="KG248" s="26"/>
      <c r="KH248" s="26"/>
      <c r="KI248" s="26"/>
      <c r="KJ248" s="26"/>
      <c r="KK248" s="26"/>
      <c r="KL248" s="26"/>
      <c r="KM248" s="26"/>
      <c r="KN248" s="26"/>
      <c r="KO248" s="26"/>
      <c r="KP248" s="26"/>
      <c r="KQ248" s="26"/>
      <c r="KR248" s="26"/>
      <c r="KS248" s="26"/>
      <c r="KT248" s="26"/>
      <c r="KU248" s="26"/>
      <c r="KV248" s="26"/>
      <c r="KW248" s="26"/>
      <c r="KX248" s="26"/>
      <c r="KY248" s="26"/>
      <c r="KZ248" s="26"/>
      <c r="LA248" s="26"/>
      <c r="LB248" s="26"/>
      <c r="LC248" s="26"/>
      <c r="LD248" s="26"/>
      <c r="LE248" s="26"/>
      <c r="LF248" s="26"/>
      <c r="LG248" s="26"/>
      <c r="LH248" s="26"/>
      <c r="LI248" s="26"/>
      <c r="LJ248" s="26"/>
      <c r="LK248" s="26"/>
      <c r="LL248" s="26"/>
      <c r="LM248" s="26"/>
      <c r="LN248" s="26"/>
      <c r="LO248" s="26"/>
      <c r="LP248" s="26"/>
      <c r="LQ248" s="26"/>
      <c r="LR248" s="26"/>
      <c r="LS248" s="26"/>
      <c r="LT248" s="26"/>
      <c r="LU248" s="26"/>
      <c r="LV248" s="26"/>
      <c r="LW248" s="26"/>
      <c r="LX248" s="26"/>
      <c r="LY248" s="26"/>
      <c r="LZ248" s="26"/>
      <c r="MA248" s="26"/>
      <c r="MB248" s="26"/>
      <c r="MC248" s="26"/>
      <c r="MD248" s="26"/>
      <c r="ME248" s="26"/>
      <c r="MF248" s="26"/>
      <c r="MG248" s="26"/>
      <c r="MH248" s="26"/>
      <c r="MI248" s="26"/>
      <c r="MJ248" s="26"/>
      <c r="MK248" s="26"/>
      <c r="ML248" s="26"/>
      <c r="MM248" s="26"/>
      <c r="MN248" s="26"/>
      <c r="MO248" s="26"/>
      <c r="MP248" s="26"/>
      <c r="MQ248" s="26"/>
      <c r="MR248" s="26"/>
      <c r="MS248" s="26"/>
      <c r="MT248" s="26"/>
      <c r="MU248" s="26"/>
      <c r="MV248" s="26"/>
      <c r="MW248" s="26"/>
      <c r="MX248" s="26"/>
      <c r="MY248" s="26"/>
      <c r="MZ248" s="26"/>
      <c r="NA248" s="26"/>
      <c r="NB248" s="26"/>
      <c r="NC248" s="26"/>
      <c r="ND248" s="26"/>
      <c r="NE248" s="26"/>
      <c r="NF248" s="26"/>
      <c r="NG248" s="26"/>
      <c r="NH248" s="26"/>
      <c r="NI248" s="26"/>
      <c r="NJ248" s="26"/>
      <c r="NK248" s="26"/>
      <c r="NL248" s="26"/>
      <c r="NM248" s="26"/>
      <c r="NN248" s="26"/>
      <c r="NO248" s="26"/>
      <c r="NP248" s="26"/>
      <c r="NQ248" s="26"/>
      <c r="NR248" s="26"/>
      <c r="NS248" s="26"/>
      <c r="NT248" s="26"/>
      <c r="NU248" s="26"/>
      <c r="NV248" s="26"/>
      <c r="NW248" s="26"/>
      <c r="NX248" s="26"/>
      <c r="NY248" s="26"/>
      <c r="NZ248" s="26"/>
      <c r="OA248" s="26"/>
      <c r="OB248" s="26"/>
      <c r="OC248" s="26"/>
      <c r="OD248" s="26"/>
      <c r="OE248" s="26"/>
      <c r="OF248" s="26"/>
      <c r="OG248" s="26"/>
      <c r="OH248" s="26"/>
      <c r="OI248" s="26"/>
      <c r="OJ248" s="26"/>
      <c r="OK248" s="26"/>
      <c r="OL248" s="26"/>
      <c r="OM248" s="26"/>
      <c r="ON248" s="26"/>
      <c r="OO248" s="26"/>
      <c r="OP248" s="26"/>
      <c r="OQ248" s="26"/>
      <c r="OR248" s="26"/>
      <c r="OS248" s="26"/>
      <c r="OT248" s="26"/>
      <c r="OU248" s="26"/>
      <c r="OV248" s="26"/>
      <c r="OW248" s="26"/>
      <c r="OX248" s="26"/>
      <c r="OY248" s="26"/>
      <c r="OZ248" s="26"/>
      <c r="PA248" s="26"/>
      <c r="PB248" s="26"/>
      <c r="PC248" s="26"/>
      <c r="PD248" s="26"/>
      <c r="PE248" s="26"/>
      <c r="PF248" s="26"/>
      <c r="PG248" s="26"/>
      <c r="PH248" s="26"/>
      <c r="PI248" s="26"/>
      <c r="PJ248" s="26"/>
      <c r="PK248" s="26"/>
      <c r="PL248" s="26"/>
      <c r="PM248" s="26"/>
      <c r="PN248" s="26"/>
      <c r="PO248" s="26"/>
      <c r="PP248" s="26"/>
      <c r="PQ248" s="26"/>
      <c r="PR248" s="26"/>
      <c r="PS248" s="26"/>
      <c r="PT248" s="26"/>
      <c r="PU248" s="26"/>
      <c r="PV248" s="26"/>
      <c r="PW248" s="26"/>
      <c r="PX248" s="26"/>
      <c r="PY248" s="26"/>
      <c r="PZ248" s="26"/>
      <c r="QA248" s="26"/>
      <c r="QB248" s="26"/>
      <c r="QC248" s="26"/>
      <c r="QD248" s="26"/>
      <c r="QE248" s="26"/>
      <c r="QF248" s="26"/>
      <c r="QG248" s="26"/>
      <c r="QH248" s="26"/>
      <c r="QI248" s="26"/>
      <c r="QJ248" s="26"/>
      <c r="QK248" s="26"/>
      <c r="QL248" s="26"/>
      <c r="QM248" s="26"/>
      <c r="QN248" s="26"/>
      <c r="QO248" s="26"/>
      <c r="QP248" s="26"/>
      <c r="QQ248" s="26"/>
      <c r="QR248" s="26"/>
      <c r="QS248" s="26"/>
      <c r="QT248" s="26"/>
      <c r="QU248" s="26"/>
      <c r="QV248" s="26"/>
      <c r="QW248" s="26"/>
      <c r="QX248" s="26"/>
      <c r="QY248" s="26"/>
      <c r="QZ248" s="26"/>
      <c r="RA248" s="26"/>
      <c r="RB248" s="26"/>
      <c r="RC248" s="26"/>
      <c r="RD248" s="26"/>
      <c r="RE248" s="26"/>
      <c r="RF248" s="26"/>
      <c r="RG248" s="26"/>
      <c r="RH248" s="26"/>
      <c r="RI248" s="26"/>
      <c r="RJ248" s="26"/>
      <c r="RK248" s="26"/>
      <c r="RL248" s="26"/>
      <c r="RM248" s="26"/>
      <c r="RN248" s="26"/>
      <c r="RO248" s="26"/>
      <c r="RP248" s="26"/>
      <c r="RQ248" s="26"/>
      <c r="RR248" s="26"/>
      <c r="RS248" s="26"/>
      <c r="RT248" s="26"/>
      <c r="RU248" s="26"/>
      <c r="RV248" s="26"/>
      <c r="RW248" s="26"/>
      <c r="RX248" s="26"/>
      <c r="RY248" s="26"/>
      <c r="RZ248" s="26"/>
      <c r="SA248" s="26"/>
      <c r="SB248" s="26"/>
      <c r="SC248" s="26"/>
      <c r="SD248" s="26"/>
      <c r="SE248" s="26"/>
      <c r="SF248" s="26"/>
      <c r="SG248" s="26"/>
      <c r="SH248" s="26"/>
      <c r="SI248" s="26"/>
      <c r="SJ248" s="26"/>
      <c r="SK248" s="26"/>
      <c r="SL248" s="26"/>
      <c r="SM248" s="26"/>
      <c r="SN248" s="26"/>
      <c r="SO248" s="26"/>
      <c r="SP248" s="26"/>
      <c r="SQ248" s="26"/>
      <c r="SR248" s="26"/>
      <c r="SS248" s="26"/>
      <c r="ST248" s="26"/>
      <c r="SU248" s="26"/>
      <c r="SV248" s="26"/>
      <c r="SW248" s="26"/>
      <c r="SX248" s="26"/>
      <c r="SY248" s="26"/>
      <c r="SZ248" s="26"/>
      <c r="TA248" s="26"/>
      <c r="TB248" s="26"/>
      <c r="TC248" s="26"/>
      <c r="TD248" s="26"/>
      <c r="TE248" s="26"/>
      <c r="TF248" s="26"/>
      <c r="TG248" s="26"/>
      <c r="TH248" s="26"/>
      <c r="TI248" s="26"/>
    </row>
    <row r="249" spans="1:529" s="23" customFormat="1" ht="51.75" customHeight="1" x14ac:dyDescent="0.25">
      <c r="A249" s="52" t="s">
        <v>290</v>
      </c>
      <c r="B249" s="45" t="str">
        <f>'дод 4'!A166</f>
        <v>7660</v>
      </c>
      <c r="C249" s="45" t="str">
        <f>'дод 4'!B166</f>
        <v>0490</v>
      </c>
      <c r="D249" s="22" t="str">
        <f>'дод 4'!C166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49" s="66">
        <f t="shared" si="144"/>
        <v>0</v>
      </c>
      <c r="F249" s="66"/>
      <c r="G249" s="66"/>
      <c r="H249" s="66"/>
      <c r="I249" s="66"/>
      <c r="J249" s="66">
        <f t="shared" si="146"/>
        <v>90000</v>
      </c>
      <c r="K249" s="66">
        <f>45000+45000</f>
        <v>90000</v>
      </c>
      <c r="L249" s="66"/>
      <c r="M249" s="66"/>
      <c r="N249" s="66"/>
      <c r="O249" s="66">
        <f>45000+45000</f>
        <v>90000</v>
      </c>
      <c r="P249" s="66">
        <f t="shared" si="145"/>
        <v>90000</v>
      </c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  <c r="IT249" s="26"/>
      <c r="IU249" s="26"/>
      <c r="IV249" s="26"/>
      <c r="IW249" s="26"/>
      <c r="IX249" s="26"/>
      <c r="IY249" s="26"/>
      <c r="IZ249" s="26"/>
      <c r="JA249" s="26"/>
      <c r="JB249" s="26"/>
      <c r="JC249" s="26"/>
      <c r="JD249" s="26"/>
      <c r="JE249" s="26"/>
      <c r="JF249" s="26"/>
      <c r="JG249" s="26"/>
      <c r="JH249" s="26"/>
      <c r="JI249" s="26"/>
      <c r="JJ249" s="26"/>
      <c r="JK249" s="26"/>
      <c r="JL249" s="26"/>
      <c r="JM249" s="26"/>
      <c r="JN249" s="26"/>
      <c r="JO249" s="26"/>
      <c r="JP249" s="26"/>
      <c r="JQ249" s="26"/>
      <c r="JR249" s="26"/>
      <c r="JS249" s="26"/>
      <c r="JT249" s="26"/>
      <c r="JU249" s="26"/>
      <c r="JV249" s="26"/>
      <c r="JW249" s="26"/>
      <c r="JX249" s="26"/>
      <c r="JY249" s="26"/>
      <c r="JZ249" s="26"/>
      <c r="KA249" s="26"/>
      <c r="KB249" s="26"/>
      <c r="KC249" s="26"/>
      <c r="KD249" s="26"/>
      <c r="KE249" s="26"/>
      <c r="KF249" s="26"/>
      <c r="KG249" s="26"/>
      <c r="KH249" s="26"/>
      <c r="KI249" s="26"/>
      <c r="KJ249" s="26"/>
      <c r="KK249" s="26"/>
      <c r="KL249" s="26"/>
      <c r="KM249" s="26"/>
      <c r="KN249" s="26"/>
      <c r="KO249" s="26"/>
      <c r="KP249" s="26"/>
      <c r="KQ249" s="26"/>
      <c r="KR249" s="26"/>
      <c r="KS249" s="26"/>
      <c r="KT249" s="26"/>
      <c r="KU249" s="26"/>
      <c r="KV249" s="26"/>
      <c r="KW249" s="26"/>
      <c r="KX249" s="26"/>
      <c r="KY249" s="26"/>
      <c r="KZ249" s="26"/>
      <c r="LA249" s="26"/>
      <c r="LB249" s="26"/>
      <c r="LC249" s="26"/>
      <c r="LD249" s="26"/>
      <c r="LE249" s="26"/>
      <c r="LF249" s="26"/>
      <c r="LG249" s="26"/>
      <c r="LH249" s="26"/>
      <c r="LI249" s="26"/>
      <c r="LJ249" s="26"/>
      <c r="LK249" s="26"/>
      <c r="LL249" s="26"/>
      <c r="LM249" s="26"/>
      <c r="LN249" s="26"/>
      <c r="LO249" s="26"/>
      <c r="LP249" s="26"/>
      <c r="LQ249" s="26"/>
      <c r="LR249" s="26"/>
      <c r="LS249" s="26"/>
      <c r="LT249" s="26"/>
      <c r="LU249" s="26"/>
      <c r="LV249" s="26"/>
      <c r="LW249" s="26"/>
      <c r="LX249" s="26"/>
      <c r="LY249" s="26"/>
      <c r="LZ249" s="26"/>
      <c r="MA249" s="26"/>
      <c r="MB249" s="26"/>
      <c r="MC249" s="26"/>
      <c r="MD249" s="26"/>
      <c r="ME249" s="26"/>
      <c r="MF249" s="26"/>
      <c r="MG249" s="26"/>
      <c r="MH249" s="26"/>
      <c r="MI249" s="26"/>
      <c r="MJ249" s="26"/>
      <c r="MK249" s="26"/>
      <c r="ML249" s="26"/>
      <c r="MM249" s="26"/>
      <c r="MN249" s="26"/>
      <c r="MO249" s="26"/>
      <c r="MP249" s="26"/>
      <c r="MQ249" s="26"/>
      <c r="MR249" s="26"/>
      <c r="MS249" s="26"/>
      <c r="MT249" s="26"/>
      <c r="MU249" s="26"/>
      <c r="MV249" s="26"/>
      <c r="MW249" s="26"/>
      <c r="MX249" s="26"/>
      <c r="MY249" s="26"/>
      <c r="MZ249" s="26"/>
      <c r="NA249" s="26"/>
      <c r="NB249" s="26"/>
      <c r="NC249" s="26"/>
      <c r="ND249" s="26"/>
      <c r="NE249" s="26"/>
      <c r="NF249" s="26"/>
      <c r="NG249" s="26"/>
      <c r="NH249" s="26"/>
      <c r="NI249" s="26"/>
      <c r="NJ249" s="26"/>
      <c r="NK249" s="26"/>
      <c r="NL249" s="26"/>
      <c r="NM249" s="26"/>
      <c r="NN249" s="26"/>
      <c r="NO249" s="26"/>
      <c r="NP249" s="26"/>
      <c r="NQ249" s="26"/>
      <c r="NR249" s="26"/>
      <c r="NS249" s="26"/>
      <c r="NT249" s="26"/>
      <c r="NU249" s="26"/>
      <c r="NV249" s="26"/>
      <c r="NW249" s="26"/>
      <c r="NX249" s="26"/>
      <c r="NY249" s="26"/>
      <c r="NZ249" s="26"/>
      <c r="OA249" s="26"/>
      <c r="OB249" s="26"/>
      <c r="OC249" s="26"/>
      <c r="OD249" s="26"/>
      <c r="OE249" s="26"/>
      <c r="OF249" s="26"/>
      <c r="OG249" s="26"/>
      <c r="OH249" s="26"/>
      <c r="OI249" s="26"/>
      <c r="OJ249" s="26"/>
      <c r="OK249" s="26"/>
      <c r="OL249" s="26"/>
      <c r="OM249" s="26"/>
      <c r="ON249" s="26"/>
      <c r="OO249" s="26"/>
      <c r="OP249" s="26"/>
      <c r="OQ249" s="26"/>
      <c r="OR249" s="26"/>
      <c r="OS249" s="26"/>
      <c r="OT249" s="26"/>
      <c r="OU249" s="26"/>
      <c r="OV249" s="26"/>
      <c r="OW249" s="26"/>
      <c r="OX249" s="26"/>
      <c r="OY249" s="26"/>
      <c r="OZ249" s="26"/>
      <c r="PA249" s="26"/>
      <c r="PB249" s="26"/>
      <c r="PC249" s="26"/>
      <c r="PD249" s="26"/>
      <c r="PE249" s="26"/>
      <c r="PF249" s="26"/>
      <c r="PG249" s="26"/>
      <c r="PH249" s="26"/>
      <c r="PI249" s="26"/>
      <c r="PJ249" s="26"/>
      <c r="PK249" s="26"/>
      <c r="PL249" s="26"/>
      <c r="PM249" s="26"/>
      <c r="PN249" s="26"/>
      <c r="PO249" s="26"/>
      <c r="PP249" s="26"/>
      <c r="PQ249" s="26"/>
      <c r="PR249" s="26"/>
      <c r="PS249" s="26"/>
      <c r="PT249" s="26"/>
      <c r="PU249" s="26"/>
      <c r="PV249" s="26"/>
      <c r="PW249" s="26"/>
      <c r="PX249" s="26"/>
      <c r="PY249" s="26"/>
      <c r="PZ249" s="26"/>
      <c r="QA249" s="26"/>
      <c r="QB249" s="26"/>
      <c r="QC249" s="26"/>
      <c r="QD249" s="26"/>
      <c r="QE249" s="26"/>
      <c r="QF249" s="26"/>
      <c r="QG249" s="26"/>
      <c r="QH249" s="26"/>
      <c r="QI249" s="26"/>
      <c r="QJ249" s="26"/>
      <c r="QK249" s="26"/>
      <c r="QL249" s="26"/>
      <c r="QM249" s="26"/>
      <c r="QN249" s="26"/>
      <c r="QO249" s="26"/>
      <c r="QP249" s="26"/>
      <c r="QQ249" s="26"/>
      <c r="QR249" s="26"/>
      <c r="QS249" s="26"/>
      <c r="QT249" s="26"/>
      <c r="QU249" s="26"/>
      <c r="QV249" s="26"/>
      <c r="QW249" s="26"/>
      <c r="QX249" s="26"/>
      <c r="QY249" s="26"/>
      <c r="QZ249" s="26"/>
      <c r="RA249" s="26"/>
      <c r="RB249" s="26"/>
      <c r="RC249" s="26"/>
      <c r="RD249" s="26"/>
      <c r="RE249" s="26"/>
      <c r="RF249" s="26"/>
      <c r="RG249" s="26"/>
      <c r="RH249" s="26"/>
      <c r="RI249" s="26"/>
      <c r="RJ249" s="26"/>
      <c r="RK249" s="26"/>
      <c r="RL249" s="26"/>
      <c r="RM249" s="26"/>
      <c r="RN249" s="26"/>
      <c r="RO249" s="26"/>
      <c r="RP249" s="26"/>
      <c r="RQ249" s="26"/>
      <c r="RR249" s="26"/>
      <c r="RS249" s="26"/>
      <c r="RT249" s="26"/>
      <c r="RU249" s="26"/>
      <c r="RV249" s="26"/>
      <c r="RW249" s="26"/>
      <c r="RX249" s="26"/>
      <c r="RY249" s="26"/>
      <c r="RZ249" s="26"/>
      <c r="SA249" s="26"/>
      <c r="SB249" s="26"/>
      <c r="SC249" s="26"/>
      <c r="SD249" s="26"/>
      <c r="SE249" s="26"/>
      <c r="SF249" s="26"/>
      <c r="SG249" s="26"/>
      <c r="SH249" s="26"/>
      <c r="SI249" s="26"/>
      <c r="SJ249" s="26"/>
      <c r="SK249" s="26"/>
      <c r="SL249" s="26"/>
      <c r="SM249" s="26"/>
      <c r="SN249" s="26"/>
      <c r="SO249" s="26"/>
      <c r="SP249" s="26"/>
      <c r="SQ249" s="26"/>
      <c r="SR249" s="26"/>
      <c r="SS249" s="26"/>
      <c r="ST249" s="26"/>
      <c r="SU249" s="26"/>
      <c r="SV249" s="26"/>
      <c r="SW249" s="26"/>
      <c r="SX249" s="26"/>
      <c r="SY249" s="26"/>
      <c r="SZ249" s="26"/>
      <c r="TA249" s="26"/>
      <c r="TB249" s="26"/>
      <c r="TC249" s="26"/>
      <c r="TD249" s="26"/>
      <c r="TE249" s="26"/>
      <c r="TF249" s="26"/>
      <c r="TG249" s="26"/>
      <c r="TH249" s="26"/>
      <c r="TI249" s="26"/>
    </row>
    <row r="250" spans="1:529" s="23" customFormat="1" ht="23.25" customHeight="1" x14ac:dyDescent="0.25">
      <c r="A250" s="52" t="s">
        <v>286</v>
      </c>
      <c r="B250" s="45" t="str">
        <f>'дод 4'!A170</f>
        <v>7693</v>
      </c>
      <c r="C250" s="45" t="str">
        <f>'дод 4'!B170</f>
        <v>0490</v>
      </c>
      <c r="D250" s="22" t="str">
        <f>'дод 4'!C170</f>
        <v>Інші заходи, пов'язані з економічною діяльністю</v>
      </c>
      <c r="E250" s="66">
        <f t="shared" si="144"/>
        <v>690000</v>
      </c>
      <c r="F250" s="66">
        <f>490000+200000</f>
        <v>690000</v>
      </c>
      <c r="G250" s="66"/>
      <c r="H250" s="66"/>
      <c r="I250" s="66"/>
      <c r="J250" s="66">
        <f t="shared" si="146"/>
        <v>0</v>
      </c>
      <c r="K250" s="66"/>
      <c r="L250" s="66"/>
      <c r="M250" s="66"/>
      <c r="N250" s="66"/>
      <c r="O250" s="66"/>
      <c r="P250" s="66">
        <f t="shared" si="145"/>
        <v>690000</v>
      </c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  <c r="IV250" s="26"/>
      <c r="IW250" s="26"/>
      <c r="IX250" s="26"/>
      <c r="IY250" s="26"/>
      <c r="IZ250" s="26"/>
      <c r="JA250" s="26"/>
      <c r="JB250" s="26"/>
      <c r="JC250" s="26"/>
      <c r="JD250" s="26"/>
      <c r="JE250" s="26"/>
      <c r="JF250" s="26"/>
      <c r="JG250" s="26"/>
      <c r="JH250" s="26"/>
      <c r="JI250" s="26"/>
      <c r="JJ250" s="26"/>
      <c r="JK250" s="26"/>
      <c r="JL250" s="26"/>
      <c r="JM250" s="26"/>
      <c r="JN250" s="26"/>
      <c r="JO250" s="26"/>
      <c r="JP250" s="26"/>
      <c r="JQ250" s="26"/>
      <c r="JR250" s="26"/>
      <c r="JS250" s="26"/>
      <c r="JT250" s="26"/>
      <c r="JU250" s="26"/>
      <c r="JV250" s="26"/>
      <c r="JW250" s="26"/>
      <c r="JX250" s="26"/>
      <c r="JY250" s="26"/>
      <c r="JZ250" s="26"/>
      <c r="KA250" s="26"/>
      <c r="KB250" s="26"/>
      <c r="KC250" s="26"/>
      <c r="KD250" s="26"/>
      <c r="KE250" s="26"/>
      <c r="KF250" s="26"/>
      <c r="KG250" s="26"/>
      <c r="KH250" s="26"/>
      <c r="KI250" s="26"/>
      <c r="KJ250" s="26"/>
      <c r="KK250" s="26"/>
      <c r="KL250" s="26"/>
      <c r="KM250" s="26"/>
      <c r="KN250" s="26"/>
      <c r="KO250" s="26"/>
      <c r="KP250" s="26"/>
      <c r="KQ250" s="26"/>
      <c r="KR250" s="26"/>
      <c r="KS250" s="26"/>
      <c r="KT250" s="26"/>
      <c r="KU250" s="26"/>
      <c r="KV250" s="26"/>
      <c r="KW250" s="26"/>
      <c r="KX250" s="26"/>
      <c r="KY250" s="26"/>
      <c r="KZ250" s="26"/>
      <c r="LA250" s="26"/>
      <c r="LB250" s="26"/>
      <c r="LC250" s="26"/>
      <c r="LD250" s="26"/>
      <c r="LE250" s="26"/>
      <c r="LF250" s="26"/>
      <c r="LG250" s="26"/>
      <c r="LH250" s="26"/>
      <c r="LI250" s="26"/>
      <c r="LJ250" s="26"/>
      <c r="LK250" s="26"/>
      <c r="LL250" s="26"/>
      <c r="LM250" s="26"/>
      <c r="LN250" s="26"/>
      <c r="LO250" s="26"/>
      <c r="LP250" s="26"/>
      <c r="LQ250" s="26"/>
      <c r="LR250" s="26"/>
      <c r="LS250" s="26"/>
      <c r="LT250" s="26"/>
      <c r="LU250" s="26"/>
      <c r="LV250" s="26"/>
      <c r="LW250" s="26"/>
      <c r="LX250" s="26"/>
      <c r="LY250" s="26"/>
      <c r="LZ250" s="26"/>
      <c r="MA250" s="26"/>
      <c r="MB250" s="26"/>
      <c r="MC250" s="26"/>
      <c r="MD250" s="26"/>
      <c r="ME250" s="26"/>
      <c r="MF250" s="26"/>
      <c r="MG250" s="26"/>
      <c r="MH250" s="26"/>
      <c r="MI250" s="26"/>
      <c r="MJ250" s="26"/>
      <c r="MK250" s="26"/>
      <c r="ML250" s="26"/>
      <c r="MM250" s="26"/>
      <c r="MN250" s="26"/>
      <c r="MO250" s="26"/>
      <c r="MP250" s="26"/>
      <c r="MQ250" s="26"/>
      <c r="MR250" s="26"/>
      <c r="MS250" s="26"/>
      <c r="MT250" s="26"/>
      <c r="MU250" s="26"/>
      <c r="MV250" s="26"/>
      <c r="MW250" s="26"/>
      <c r="MX250" s="26"/>
      <c r="MY250" s="26"/>
      <c r="MZ250" s="26"/>
      <c r="NA250" s="26"/>
      <c r="NB250" s="26"/>
      <c r="NC250" s="26"/>
      <c r="ND250" s="26"/>
      <c r="NE250" s="26"/>
      <c r="NF250" s="26"/>
      <c r="NG250" s="26"/>
      <c r="NH250" s="26"/>
      <c r="NI250" s="26"/>
      <c r="NJ250" s="26"/>
      <c r="NK250" s="26"/>
      <c r="NL250" s="26"/>
      <c r="NM250" s="26"/>
      <c r="NN250" s="26"/>
      <c r="NO250" s="26"/>
      <c r="NP250" s="26"/>
      <c r="NQ250" s="26"/>
      <c r="NR250" s="26"/>
      <c r="NS250" s="26"/>
      <c r="NT250" s="26"/>
      <c r="NU250" s="26"/>
      <c r="NV250" s="26"/>
      <c r="NW250" s="26"/>
      <c r="NX250" s="26"/>
      <c r="NY250" s="26"/>
      <c r="NZ250" s="26"/>
      <c r="OA250" s="26"/>
      <c r="OB250" s="26"/>
      <c r="OC250" s="26"/>
      <c r="OD250" s="26"/>
      <c r="OE250" s="26"/>
      <c r="OF250" s="26"/>
      <c r="OG250" s="26"/>
      <c r="OH250" s="26"/>
      <c r="OI250" s="26"/>
      <c r="OJ250" s="26"/>
      <c r="OK250" s="26"/>
      <c r="OL250" s="26"/>
      <c r="OM250" s="26"/>
      <c r="ON250" s="26"/>
      <c r="OO250" s="26"/>
      <c r="OP250" s="26"/>
      <c r="OQ250" s="26"/>
      <c r="OR250" s="26"/>
      <c r="OS250" s="26"/>
      <c r="OT250" s="26"/>
      <c r="OU250" s="26"/>
      <c r="OV250" s="26"/>
      <c r="OW250" s="26"/>
      <c r="OX250" s="26"/>
      <c r="OY250" s="26"/>
      <c r="OZ250" s="26"/>
      <c r="PA250" s="26"/>
      <c r="PB250" s="26"/>
      <c r="PC250" s="26"/>
      <c r="PD250" s="26"/>
      <c r="PE250" s="26"/>
      <c r="PF250" s="26"/>
      <c r="PG250" s="26"/>
      <c r="PH250" s="26"/>
      <c r="PI250" s="26"/>
      <c r="PJ250" s="26"/>
      <c r="PK250" s="26"/>
      <c r="PL250" s="26"/>
      <c r="PM250" s="26"/>
      <c r="PN250" s="26"/>
      <c r="PO250" s="26"/>
      <c r="PP250" s="26"/>
      <c r="PQ250" s="26"/>
      <c r="PR250" s="26"/>
      <c r="PS250" s="26"/>
      <c r="PT250" s="26"/>
      <c r="PU250" s="26"/>
      <c r="PV250" s="26"/>
      <c r="PW250" s="26"/>
      <c r="PX250" s="26"/>
      <c r="PY250" s="26"/>
      <c r="PZ250" s="26"/>
      <c r="QA250" s="26"/>
      <c r="QB250" s="26"/>
      <c r="QC250" s="26"/>
      <c r="QD250" s="26"/>
      <c r="QE250" s="26"/>
      <c r="QF250" s="26"/>
      <c r="QG250" s="26"/>
      <c r="QH250" s="26"/>
      <c r="QI250" s="26"/>
      <c r="QJ250" s="26"/>
      <c r="QK250" s="26"/>
      <c r="QL250" s="26"/>
      <c r="QM250" s="26"/>
      <c r="QN250" s="26"/>
      <c r="QO250" s="26"/>
      <c r="QP250" s="26"/>
      <c r="QQ250" s="26"/>
      <c r="QR250" s="26"/>
      <c r="QS250" s="26"/>
      <c r="QT250" s="26"/>
      <c r="QU250" s="26"/>
      <c r="QV250" s="26"/>
      <c r="QW250" s="26"/>
      <c r="QX250" s="26"/>
      <c r="QY250" s="26"/>
      <c r="QZ250" s="26"/>
      <c r="RA250" s="26"/>
      <c r="RB250" s="26"/>
      <c r="RC250" s="26"/>
      <c r="RD250" s="26"/>
      <c r="RE250" s="26"/>
      <c r="RF250" s="26"/>
      <c r="RG250" s="26"/>
      <c r="RH250" s="26"/>
      <c r="RI250" s="26"/>
      <c r="RJ250" s="26"/>
      <c r="RK250" s="26"/>
      <c r="RL250" s="26"/>
      <c r="RM250" s="26"/>
      <c r="RN250" s="26"/>
      <c r="RO250" s="26"/>
      <c r="RP250" s="26"/>
      <c r="RQ250" s="26"/>
      <c r="RR250" s="26"/>
      <c r="RS250" s="26"/>
      <c r="RT250" s="26"/>
      <c r="RU250" s="26"/>
      <c r="RV250" s="26"/>
      <c r="RW250" s="26"/>
      <c r="RX250" s="26"/>
      <c r="RY250" s="26"/>
      <c r="RZ250" s="26"/>
      <c r="SA250" s="26"/>
      <c r="SB250" s="26"/>
      <c r="SC250" s="26"/>
      <c r="SD250" s="26"/>
      <c r="SE250" s="26"/>
      <c r="SF250" s="26"/>
      <c r="SG250" s="26"/>
      <c r="SH250" s="26"/>
      <c r="SI250" s="26"/>
      <c r="SJ250" s="26"/>
      <c r="SK250" s="26"/>
      <c r="SL250" s="26"/>
      <c r="SM250" s="26"/>
      <c r="SN250" s="26"/>
      <c r="SO250" s="26"/>
      <c r="SP250" s="26"/>
      <c r="SQ250" s="26"/>
      <c r="SR250" s="26"/>
      <c r="SS250" s="26"/>
      <c r="ST250" s="26"/>
      <c r="SU250" s="26"/>
      <c r="SV250" s="26"/>
      <c r="SW250" s="26"/>
      <c r="SX250" s="26"/>
      <c r="SY250" s="26"/>
      <c r="SZ250" s="26"/>
      <c r="TA250" s="26"/>
      <c r="TB250" s="26"/>
      <c r="TC250" s="26"/>
      <c r="TD250" s="26"/>
      <c r="TE250" s="26"/>
      <c r="TF250" s="26"/>
      <c r="TG250" s="26"/>
      <c r="TH250" s="26"/>
      <c r="TI250" s="26"/>
    </row>
    <row r="251" spans="1:529" s="23" customFormat="1" ht="29.25" customHeight="1" x14ac:dyDescent="0.2">
      <c r="A251" s="80" t="s">
        <v>519</v>
      </c>
      <c r="B251" s="69"/>
      <c r="C251" s="69"/>
      <c r="D251" s="30" t="s">
        <v>520</v>
      </c>
      <c r="E251" s="63">
        <f>E252</f>
        <v>3358</v>
      </c>
      <c r="F251" s="63">
        <f t="shared" ref="F251:P251" si="147">F252</f>
        <v>3358</v>
      </c>
      <c r="G251" s="63">
        <f t="shared" si="147"/>
        <v>0</v>
      </c>
      <c r="H251" s="63">
        <f t="shared" si="147"/>
        <v>0</v>
      </c>
      <c r="I251" s="63">
        <f t="shared" si="147"/>
        <v>0</v>
      </c>
      <c r="J251" s="63">
        <f t="shared" si="147"/>
        <v>0</v>
      </c>
      <c r="K251" s="63">
        <f t="shared" si="147"/>
        <v>0</v>
      </c>
      <c r="L251" s="63">
        <f t="shared" si="147"/>
        <v>0</v>
      </c>
      <c r="M251" s="63">
        <f t="shared" si="147"/>
        <v>0</v>
      </c>
      <c r="N251" s="63">
        <f t="shared" si="147"/>
        <v>0</v>
      </c>
      <c r="O251" s="63">
        <f t="shared" si="147"/>
        <v>0</v>
      </c>
      <c r="P251" s="63">
        <f t="shared" si="147"/>
        <v>3358</v>
      </c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  <c r="IT251" s="26"/>
      <c r="IU251" s="26"/>
      <c r="IV251" s="26"/>
      <c r="IW251" s="26"/>
      <c r="IX251" s="26"/>
      <c r="IY251" s="26"/>
      <c r="IZ251" s="26"/>
      <c r="JA251" s="26"/>
      <c r="JB251" s="26"/>
      <c r="JC251" s="26"/>
      <c r="JD251" s="26"/>
      <c r="JE251" s="26"/>
      <c r="JF251" s="26"/>
      <c r="JG251" s="26"/>
      <c r="JH251" s="26"/>
      <c r="JI251" s="26"/>
      <c r="JJ251" s="26"/>
      <c r="JK251" s="26"/>
      <c r="JL251" s="26"/>
      <c r="JM251" s="26"/>
      <c r="JN251" s="26"/>
      <c r="JO251" s="26"/>
      <c r="JP251" s="26"/>
      <c r="JQ251" s="26"/>
      <c r="JR251" s="26"/>
      <c r="JS251" s="26"/>
      <c r="JT251" s="26"/>
      <c r="JU251" s="26"/>
      <c r="JV251" s="26"/>
      <c r="JW251" s="26"/>
      <c r="JX251" s="26"/>
      <c r="JY251" s="26"/>
      <c r="JZ251" s="26"/>
      <c r="KA251" s="26"/>
      <c r="KB251" s="26"/>
      <c r="KC251" s="26"/>
      <c r="KD251" s="26"/>
      <c r="KE251" s="26"/>
      <c r="KF251" s="26"/>
      <c r="KG251" s="26"/>
      <c r="KH251" s="26"/>
      <c r="KI251" s="26"/>
      <c r="KJ251" s="26"/>
      <c r="KK251" s="26"/>
      <c r="KL251" s="26"/>
      <c r="KM251" s="26"/>
      <c r="KN251" s="26"/>
      <c r="KO251" s="26"/>
      <c r="KP251" s="26"/>
      <c r="KQ251" s="26"/>
      <c r="KR251" s="26"/>
      <c r="KS251" s="26"/>
      <c r="KT251" s="26"/>
      <c r="KU251" s="26"/>
      <c r="KV251" s="26"/>
      <c r="KW251" s="26"/>
      <c r="KX251" s="26"/>
      <c r="KY251" s="26"/>
      <c r="KZ251" s="26"/>
      <c r="LA251" s="26"/>
      <c r="LB251" s="26"/>
      <c r="LC251" s="26"/>
      <c r="LD251" s="26"/>
      <c r="LE251" s="26"/>
      <c r="LF251" s="26"/>
      <c r="LG251" s="26"/>
      <c r="LH251" s="26"/>
      <c r="LI251" s="26"/>
      <c r="LJ251" s="26"/>
      <c r="LK251" s="26"/>
      <c r="LL251" s="26"/>
      <c r="LM251" s="26"/>
      <c r="LN251" s="26"/>
      <c r="LO251" s="26"/>
      <c r="LP251" s="26"/>
      <c r="LQ251" s="26"/>
      <c r="LR251" s="26"/>
      <c r="LS251" s="26"/>
      <c r="LT251" s="26"/>
      <c r="LU251" s="26"/>
      <c r="LV251" s="26"/>
      <c r="LW251" s="26"/>
      <c r="LX251" s="26"/>
      <c r="LY251" s="26"/>
      <c r="LZ251" s="26"/>
      <c r="MA251" s="26"/>
      <c r="MB251" s="26"/>
      <c r="MC251" s="26"/>
      <c r="MD251" s="26"/>
      <c r="ME251" s="26"/>
      <c r="MF251" s="26"/>
      <c r="MG251" s="26"/>
      <c r="MH251" s="26"/>
      <c r="MI251" s="26"/>
      <c r="MJ251" s="26"/>
      <c r="MK251" s="26"/>
      <c r="ML251" s="26"/>
      <c r="MM251" s="26"/>
      <c r="MN251" s="26"/>
      <c r="MO251" s="26"/>
      <c r="MP251" s="26"/>
      <c r="MQ251" s="26"/>
      <c r="MR251" s="26"/>
      <c r="MS251" s="26"/>
      <c r="MT251" s="26"/>
      <c r="MU251" s="26"/>
      <c r="MV251" s="26"/>
      <c r="MW251" s="26"/>
      <c r="MX251" s="26"/>
      <c r="MY251" s="26"/>
      <c r="MZ251" s="26"/>
      <c r="NA251" s="26"/>
      <c r="NB251" s="26"/>
      <c r="NC251" s="26"/>
      <c r="ND251" s="26"/>
      <c r="NE251" s="26"/>
      <c r="NF251" s="26"/>
      <c r="NG251" s="26"/>
      <c r="NH251" s="26"/>
      <c r="NI251" s="26"/>
      <c r="NJ251" s="26"/>
      <c r="NK251" s="26"/>
      <c r="NL251" s="26"/>
      <c r="NM251" s="26"/>
      <c r="NN251" s="26"/>
      <c r="NO251" s="26"/>
      <c r="NP251" s="26"/>
      <c r="NQ251" s="26"/>
      <c r="NR251" s="26"/>
      <c r="NS251" s="26"/>
      <c r="NT251" s="26"/>
      <c r="NU251" s="26"/>
      <c r="NV251" s="26"/>
      <c r="NW251" s="26"/>
      <c r="NX251" s="26"/>
      <c r="NY251" s="26"/>
      <c r="NZ251" s="26"/>
      <c r="OA251" s="26"/>
      <c r="OB251" s="26"/>
      <c r="OC251" s="26"/>
      <c r="OD251" s="26"/>
      <c r="OE251" s="26"/>
      <c r="OF251" s="26"/>
      <c r="OG251" s="26"/>
      <c r="OH251" s="26"/>
      <c r="OI251" s="26"/>
      <c r="OJ251" s="26"/>
      <c r="OK251" s="26"/>
      <c r="OL251" s="26"/>
      <c r="OM251" s="26"/>
      <c r="ON251" s="26"/>
      <c r="OO251" s="26"/>
      <c r="OP251" s="26"/>
      <c r="OQ251" s="26"/>
      <c r="OR251" s="26"/>
      <c r="OS251" s="26"/>
      <c r="OT251" s="26"/>
      <c r="OU251" s="26"/>
      <c r="OV251" s="26"/>
      <c r="OW251" s="26"/>
      <c r="OX251" s="26"/>
      <c r="OY251" s="26"/>
      <c r="OZ251" s="26"/>
      <c r="PA251" s="26"/>
      <c r="PB251" s="26"/>
      <c r="PC251" s="26"/>
      <c r="PD251" s="26"/>
      <c r="PE251" s="26"/>
      <c r="PF251" s="26"/>
      <c r="PG251" s="26"/>
      <c r="PH251" s="26"/>
      <c r="PI251" s="26"/>
      <c r="PJ251" s="26"/>
      <c r="PK251" s="26"/>
      <c r="PL251" s="26"/>
      <c r="PM251" s="26"/>
      <c r="PN251" s="26"/>
      <c r="PO251" s="26"/>
      <c r="PP251" s="26"/>
      <c r="PQ251" s="26"/>
      <c r="PR251" s="26"/>
      <c r="PS251" s="26"/>
      <c r="PT251" s="26"/>
      <c r="PU251" s="26"/>
      <c r="PV251" s="26"/>
      <c r="PW251" s="26"/>
      <c r="PX251" s="26"/>
      <c r="PY251" s="26"/>
      <c r="PZ251" s="26"/>
      <c r="QA251" s="26"/>
      <c r="QB251" s="26"/>
      <c r="QC251" s="26"/>
      <c r="QD251" s="26"/>
      <c r="QE251" s="26"/>
      <c r="QF251" s="26"/>
      <c r="QG251" s="26"/>
      <c r="QH251" s="26"/>
      <c r="QI251" s="26"/>
      <c r="QJ251" s="26"/>
      <c r="QK251" s="26"/>
      <c r="QL251" s="26"/>
      <c r="QM251" s="26"/>
      <c r="QN251" s="26"/>
      <c r="QO251" s="26"/>
      <c r="QP251" s="26"/>
      <c r="QQ251" s="26"/>
      <c r="QR251" s="26"/>
      <c r="QS251" s="26"/>
      <c r="QT251" s="26"/>
      <c r="QU251" s="26"/>
      <c r="QV251" s="26"/>
      <c r="QW251" s="26"/>
      <c r="QX251" s="26"/>
      <c r="QY251" s="26"/>
      <c r="QZ251" s="26"/>
      <c r="RA251" s="26"/>
      <c r="RB251" s="26"/>
      <c r="RC251" s="26"/>
      <c r="RD251" s="26"/>
      <c r="RE251" s="26"/>
      <c r="RF251" s="26"/>
      <c r="RG251" s="26"/>
      <c r="RH251" s="26"/>
      <c r="RI251" s="26"/>
      <c r="RJ251" s="26"/>
      <c r="RK251" s="26"/>
      <c r="RL251" s="26"/>
      <c r="RM251" s="26"/>
      <c r="RN251" s="26"/>
      <c r="RO251" s="26"/>
      <c r="RP251" s="26"/>
      <c r="RQ251" s="26"/>
      <c r="RR251" s="26"/>
      <c r="RS251" s="26"/>
      <c r="RT251" s="26"/>
      <c r="RU251" s="26"/>
      <c r="RV251" s="26"/>
      <c r="RW251" s="26"/>
      <c r="RX251" s="26"/>
      <c r="RY251" s="26"/>
      <c r="RZ251" s="26"/>
      <c r="SA251" s="26"/>
      <c r="SB251" s="26"/>
      <c r="SC251" s="26"/>
      <c r="SD251" s="26"/>
      <c r="SE251" s="26"/>
      <c r="SF251" s="26"/>
      <c r="SG251" s="26"/>
      <c r="SH251" s="26"/>
      <c r="SI251" s="26"/>
      <c r="SJ251" s="26"/>
      <c r="SK251" s="26"/>
      <c r="SL251" s="26"/>
      <c r="SM251" s="26"/>
      <c r="SN251" s="26"/>
      <c r="SO251" s="26"/>
      <c r="SP251" s="26"/>
      <c r="SQ251" s="26"/>
      <c r="SR251" s="26"/>
      <c r="SS251" s="26"/>
      <c r="ST251" s="26"/>
      <c r="SU251" s="26"/>
      <c r="SV251" s="26"/>
      <c r="SW251" s="26"/>
      <c r="SX251" s="26"/>
      <c r="SY251" s="26"/>
      <c r="SZ251" s="26"/>
      <c r="TA251" s="26"/>
      <c r="TB251" s="26"/>
      <c r="TC251" s="26"/>
      <c r="TD251" s="26"/>
      <c r="TE251" s="26"/>
      <c r="TF251" s="26"/>
      <c r="TG251" s="26"/>
      <c r="TH251" s="26"/>
      <c r="TI251" s="26"/>
    </row>
    <row r="252" spans="1:529" s="40" customFormat="1" ht="33.75" customHeight="1" x14ac:dyDescent="0.25">
      <c r="A252" s="81" t="s">
        <v>518</v>
      </c>
      <c r="B252" s="70"/>
      <c r="C252" s="70"/>
      <c r="D252" s="33" t="s">
        <v>520</v>
      </c>
      <c r="E252" s="65">
        <f>E253</f>
        <v>3358</v>
      </c>
      <c r="F252" s="65">
        <f t="shared" ref="F252:P252" si="148">F253</f>
        <v>3358</v>
      </c>
      <c r="G252" s="65">
        <f t="shared" si="148"/>
        <v>0</v>
      </c>
      <c r="H252" s="65">
        <f t="shared" si="148"/>
        <v>0</v>
      </c>
      <c r="I252" s="65">
        <f t="shared" si="148"/>
        <v>0</v>
      </c>
      <c r="J252" s="65">
        <f t="shared" si="148"/>
        <v>0</v>
      </c>
      <c r="K252" s="65">
        <f t="shared" si="148"/>
        <v>0</v>
      </c>
      <c r="L252" s="65">
        <f t="shared" si="148"/>
        <v>0</v>
      </c>
      <c r="M252" s="65">
        <f t="shared" si="148"/>
        <v>0</v>
      </c>
      <c r="N252" s="65">
        <f t="shared" si="148"/>
        <v>0</v>
      </c>
      <c r="O252" s="65">
        <f t="shared" si="148"/>
        <v>0</v>
      </c>
      <c r="P252" s="65">
        <f t="shared" si="148"/>
        <v>3358</v>
      </c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  <c r="EM252" s="39"/>
      <c r="EN252" s="39"/>
      <c r="EO252" s="39"/>
      <c r="EP252" s="39"/>
      <c r="EQ252" s="39"/>
      <c r="ER252" s="39"/>
      <c r="ES252" s="39"/>
      <c r="ET252" s="39"/>
      <c r="EU252" s="39"/>
      <c r="EV252" s="39"/>
      <c r="EW252" s="39"/>
      <c r="EX252" s="39"/>
      <c r="EY252" s="39"/>
      <c r="EZ252" s="39"/>
      <c r="FA252" s="39"/>
      <c r="FB252" s="39"/>
      <c r="FC252" s="39"/>
      <c r="FD252" s="39"/>
      <c r="FE252" s="39"/>
      <c r="FF252" s="39"/>
      <c r="FG252" s="39"/>
      <c r="FH252" s="39"/>
      <c r="FI252" s="39"/>
      <c r="FJ252" s="39"/>
      <c r="FK252" s="39"/>
      <c r="FL252" s="39"/>
      <c r="FM252" s="39"/>
      <c r="FN252" s="39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  <c r="GN252" s="39"/>
      <c r="GO252" s="39"/>
      <c r="GP252" s="39"/>
      <c r="GQ252" s="39"/>
      <c r="GR252" s="39"/>
      <c r="GS252" s="39"/>
      <c r="GT252" s="39"/>
      <c r="GU252" s="39"/>
      <c r="GV252" s="39"/>
      <c r="GW252" s="39"/>
      <c r="GX252" s="39"/>
      <c r="GY252" s="39"/>
      <c r="GZ252" s="39"/>
      <c r="HA252" s="39"/>
      <c r="HB252" s="39"/>
      <c r="HC252" s="39"/>
      <c r="HD252" s="39"/>
      <c r="HE252" s="39"/>
      <c r="HF252" s="39"/>
      <c r="HG252" s="39"/>
      <c r="HH252" s="39"/>
      <c r="HI252" s="39"/>
      <c r="HJ252" s="39"/>
      <c r="HK252" s="39"/>
      <c r="HL252" s="39"/>
      <c r="HM252" s="39"/>
      <c r="HN252" s="39"/>
      <c r="HO252" s="39"/>
      <c r="HP252" s="39"/>
      <c r="HQ252" s="39"/>
      <c r="HR252" s="39"/>
      <c r="HS252" s="39"/>
      <c r="HT252" s="39"/>
      <c r="HU252" s="39"/>
      <c r="HV252" s="39"/>
      <c r="HW252" s="39"/>
      <c r="HX252" s="39"/>
      <c r="HY252" s="39"/>
      <c r="HZ252" s="39"/>
      <c r="IA252" s="39"/>
      <c r="IB252" s="39"/>
      <c r="IC252" s="39"/>
      <c r="ID252" s="39"/>
      <c r="IE252" s="39"/>
      <c r="IF252" s="39"/>
      <c r="IG252" s="39"/>
      <c r="IH252" s="39"/>
      <c r="II252" s="39"/>
      <c r="IJ252" s="39"/>
      <c r="IK252" s="39"/>
      <c r="IL252" s="39"/>
      <c r="IM252" s="39"/>
      <c r="IN252" s="39"/>
      <c r="IO252" s="39"/>
      <c r="IP252" s="39"/>
      <c r="IQ252" s="39"/>
      <c r="IR252" s="39"/>
      <c r="IS252" s="39"/>
      <c r="IT252" s="39"/>
      <c r="IU252" s="39"/>
      <c r="IV252" s="39"/>
      <c r="IW252" s="39"/>
      <c r="IX252" s="39"/>
      <c r="IY252" s="39"/>
      <c r="IZ252" s="39"/>
      <c r="JA252" s="39"/>
      <c r="JB252" s="39"/>
      <c r="JC252" s="39"/>
      <c r="JD252" s="39"/>
      <c r="JE252" s="39"/>
      <c r="JF252" s="39"/>
      <c r="JG252" s="39"/>
      <c r="JH252" s="39"/>
      <c r="JI252" s="39"/>
      <c r="JJ252" s="39"/>
      <c r="JK252" s="39"/>
      <c r="JL252" s="39"/>
      <c r="JM252" s="39"/>
      <c r="JN252" s="39"/>
      <c r="JO252" s="39"/>
      <c r="JP252" s="39"/>
      <c r="JQ252" s="39"/>
      <c r="JR252" s="39"/>
      <c r="JS252" s="39"/>
      <c r="JT252" s="39"/>
      <c r="JU252" s="39"/>
      <c r="JV252" s="39"/>
      <c r="JW252" s="39"/>
      <c r="JX252" s="39"/>
      <c r="JY252" s="39"/>
      <c r="JZ252" s="39"/>
      <c r="KA252" s="39"/>
      <c r="KB252" s="39"/>
      <c r="KC252" s="39"/>
      <c r="KD252" s="39"/>
      <c r="KE252" s="39"/>
      <c r="KF252" s="39"/>
      <c r="KG252" s="39"/>
      <c r="KH252" s="39"/>
      <c r="KI252" s="39"/>
      <c r="KJ252" s="39"/>
      <c r="KK252" s="39"/>
      <c r="KL252" s="39"/>
      <c r="KM252" s="39"/>
      <c r="KN252" s="39"/>
      <c r="KO252" s="39"/>
      <c r="KP252" s="39"/>
      <c r="KQ252" s="39"/>
      <c r="KR252" s="39"/>
      <c r="KS252" s="39"/>
      <c r="KT252" s="39"/>
      <c r="KU252" s="39"/>
      <c r="KV252" s="39"/>
      <c r="KW252" s="39"/>
      <c r="KX252" s="39"/>
      <c r="KY252" s="39"/>
      <c r="KZ252" s="39"/>
      <c r="LA252" s="39"/>
      <c r="LB252" s="39"/>
      <c r="LC252" s="39"/>
      <c r="LD252" s="39"/>
      <c r="LE252" s="39"/>
      <c r="LF252" s="39"/>
      <c r="LG252" s="39"/>
      <c r="LH252" s="39"/>
      <c r="LI252" s="39"/>
      <c r="LJ252" s="39"/>
      <c r="LK252" s="39"/>
      <c r="LL252" s="39"/>
      <c r="LM252" s="39"/>
      <c r="LN252" s="39"/>
      <c r="LO252" s="39"/>
      <c r="LP252" s="39"/>
      <c r="LQ252" s="39"/>
      <c r="LR252" s="39"/>
      <c r="LS252" s="39"/>
      <c r="LT252" s="39"/>
      <c r="LU252" s="39"/>
      <c r="LV252" s="39"/>
      <c r="LW252" s="39"/>
      <c r="LX252" s="39"/>
      <c r="LY252" s="39"/>
      <c r="LZ252" s="39"/>
      <c r="MA252" s="39"/>
      <c r="MB252" s="39"/>
      <c r="MC252" s="39"/>
      <c r="MD252" s="39"/>
      <c r="ME252" s="39"/>
      <c r="MF252" s="39"/>
      <c r="MG252" s="39"/>
      <c r="MH252" s="39"/>
      <c r="MI252" s="39"/>
      <c r="MJ252" s="39"/>
      <c r="MK252" s="39"/>
      <c r="ML252" s="39"/>
      <c r="MM252" s="39"/>
      <c r="MN252" s="39"/>
      <c r="MO252" s="39"/>
      <c r="MP252" s="39"/>
      <c r="MQ252" s="39"/>
      <c r="MR252" s="39"/>
      <c r="MS252" s="39"/>
      <c r="MT252" s="39"/>
      <c r="MU252" s="39"/>
      <c r="MV252" s="39"/>
      <c r="MW252" s="39"/>
      <c r="MX252" s="39"/>
      <c r="MY252" s="39"/>
      <c r="MZ252" s="39"/>
      <c r="NA252" s="39"/>
      <c r="NB252" s="39"/>
      <c r="NC252" s="39"/>
      <c r="ND252" s="39"/>
      <c r="NE252" s="39"/>
      <c r="NF252" s="39"/>
      <c r="NG252" s="39"/>
      <c r="NH252" s="39"/>
      <c r="NI252" s="39"/>
      <c r="NJ252" s="39"/>
      <c r="NK252" s="39"/>
      <c r="NL252" s="39"/>
      <c r="NM252" s="39"/>
      <c r="NN252" s="39"/>
      <c r="NO252" s="39"/>
      <c r="NP252" s="39"/>
      <c r="NQ252" s="39"/>
      <c r="NR252" s="39"/>
      <c r="NS252" s="39"/>
      <c r="NT252" s="39"/>
      <c r="NU252" s="39"/>
      <c r="NV252" s="39"/>
      <c r="NW252" s="39"/>
      <c r="NX252" s="39"/>
      <c r="NY252" s="39"/>
      <c r="NZ252" s="39"/>
      <c r="OA252" s="39"/>
      <c r="OB252" s="39"/>
      <c r="OC252" s="39"/>
      <c r="OD252" s="39"/>
      <c r="OE252" s="39"/>
      <c r="OF252" s="39"/>
      <c r="OG252" s="39"/>
      <c r="OH252" s="39"/>
      <c r="OI252" s="39"/>
      <c r="OJ252" s="39"/>
      <c r="OK252" s="39"/>
      <c r="OL252" s="39"/>
      <c r="OM252" s="39"/>
      <c r="ON252" s="39"/>
      <c r="OO252" s="39"/>
      <c r="OP252" s="39"/>
      <c r="OQ252" s="39"/>
      <c r="OR252" s="39"/>
      <c r="OS252" s="39"/>
      <c r="OT252" s="39"/>
      <c r="OU252" s="39"/>
      <c r="OV252" s="39"/>
      <c r="OW252" s="39"/>
      <c r="OX252" s="39"/>
      <c r="OY252" s="39"/>
      <c r="OZ252" s="39"/>
      <c r="PA252" s="39"/>
      <c r="PB252" s="39"/>
      <c r="PC252" s="39"/>
      <c r="PD252" s="39"/>
      <c r="PE252" s="39"/>
      <c r="PF252" s="39"/>
      <c r="PG252" s="39"/>
      <c r="PH252" s="39"/>
      <c r="PI252" s="39"/>
      <c r="PJ252" s="39"/>
      <c r="PK252" s="39"/>
      <c r="PL252" s="39"/>
      <c r="PM252" s="39"/>
      <c r="PN252" s="39"/>
      <c r="PO252" s="39"/>
      <c r="PP252" s="39"/>
      <c r="PQ252" s="39"/>
      <c r="PR252" s="39"/>
      <c r="PS252" s="39"/>
      <c r="PT252" s="39"/>
      <c r="PU252" s="39"/>
      <c r="PV252" s="39"/>
      <c r="PW252" s="39"/>
      <c r="PX252" s="39"/>
      <c r="PY252" s="39"/>
      <c r="PZ252" s="39"/>
      <c r="QA252" s="39"/>
      <c r="QB252" s="39"/>
      <c r="QC252" s="39"/>
      <c r="QD252" s="39"/>
      <c r="QE252" s="39"/>
      <c r="QF252" s="39"/>
      <c r="QG252" s="39"/>
      <c r="QH252" s="39"/>
      <c r="QI252" s="39"/>
      <c r="QJ252" s="39"/>
      <c r="QK252" s="39"/>
      <c r="QL252" s="39"/>
      <c r="QM252" s="39"/>
      <c r="QN252" s="39"/>
      <c r="QO252" s="39"/>
      <c r="QP252" s="39"/>
      <c r="QQ252" s="39"/>
      <c r="QR252" s="39"/>
      <c r="QS252" s="39"/>
      <c r="QT252" s="39"/>
      <c r="QU252" s="39"/>
      <c r="QV252" s="39"/>
      <c r="QW252" s="39"/>
      <c r="QX252" s="39"/>
      <c r="QY252" s="39"/>
      <c r="QZ252" s="39"/>
      <c r="RA252" s="39"/>
      <c r="RB252" s="39"/>
      <c r="RC252" s="39"/>
      <c r="RD252" s="39"/>
      <c r="RE252" s="39"/>
      <c r="RF252" s="39"/>
      <c r="RG252" s="39"/>
      <c r="RH252" s="39"/>
      <c r="RI252" s="39"/>
      <c r="RJ252" s="39"/>
      <c r="RK252" s="39"/>
      <c r="RL252" s="39"/>
      <c r="RM252" s="39"/>
      <c r="RN252" s="39"/>
      <c r="RO252" s="39"/>
      <c r="RP252" s="39"/>
      <c r="RQ252" s="39"/>
      <c r="RR252" s="39"/>
      <c r="RS252" s="39"/>
      <c r="RT252" s="39"/>
      <c r="RU252" s="39"/>
      <c r="RV252" s="39"/>
      <c r="RW252" s="39"/>
      <c r="RX252" s="39"/>
      <c r="RY252" s="39"/>
      <c r="RZ252" s="39"/>
      <c r="SA252" s="39"/>
      <c r="SB252" s="39"/>
      <c r="SC252" s="39"/>
      <c r="SD252" s="39"/>
      <c r="SE252" s="39"/>
      <c r="SF252" s="39"/>
      <c r="SG252" s="39"/>
      <c r="SH252" s="39"/>
      <c r="SI252" s="39"/>
      <c r="SJ252" s="39"/>
      <c r="SK252" s="39"/>
      <c r="SL252" s="39"/>
      <c r="SM252" s="39"/>
      <c r="SN252" s="39"/>
      <c r="SO252" s="39"/>
      <c r="SP252" s="39"/>
      <c r="SQ252" s="39"/>
      <c r="SR252" s="39"/>
      <c r="SS252" s="39"/>
      <c r="ST252" s="39"/>
      <c r="SU252" s="39"/>
      <c r="SV252" s="39"/>
      <c r="SW252" s="39"/>
      <c r="SX252" s="39"/>
      <c r="SY252" s="39"/>
      <c r="SZ252" s="39"/>
      <c r="TA252" s="39"/>
      <c r="TB252" s="39"/>
      <c r="TC252" s="39"/>
      <c r="TD252" s="39"/>
      <c r="TE252" s="39"/>
      <c r="TF252" s="39"/>
      <c r="TG252" s="39"/>
      <c r="TH252" s="39"/>
      <c r="TI252" s="39"/>
    </row>
    <row r="253" spans="1:529" s="23" customFormat="1" ht="45" x14ac:dyDescent="0.25">
      <c r="A253" s="52" t="s">
        <v>517</v>
      </c>
      <c r="B253" s="52" t="s">
        <v>127</v>
      </c>
      <c r="C253" s="52" t="s">
        <v>50</v>
      </c>
      <c r="D253" s="22" t="s">
        <v>128</v>
      </c>
      <c r="E253" s="66">
        <f t="shared" ref="E253" si="149">F253+I253</f>
        <v>3358</v>
      </c>
      <c r="F253" s="66">
        <v>3358</v>
      </c>
      <c r="G253" s="66"/>
      <c r="H253" s="66"/>
      <c r="I253" s="66"/>
      <c r="J253" s="66">
        <f>L253+O253</f>
        <v>0</v>
      </c>
      <c r="K253" s="66"/>
      <c r="L253" s="66"/>
      <c r="M253" s="66"/>
      <c r="N253" s="66"/>
      <c r="O253" s="66"/>
      <c r="P253" s="66">
        <f t="shared" ref="P253" si="150">E253+J253</f>
        <v>3358</v>
      </c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  <c r="IT253" s="26"/>
      <c r="IU253" s="26"/>
      <c r="IV253" s="26"/>
      <c r="IW253" s="26"/>
      <c r="IX253" s="26"/>
      <c r="IY253" s="26"/>
      <c r="IZ253" s="26"/>
      <c r="JA253" s="26"/>
      <c r="JB253" s="26"/>
      <c r="JC253" s="26"/>
      <c r="JD253" s="26"/>
      <c r="JE253" s="26"/>
      <c r="JF253" s="26"/>
      <c r="JG253" s="26"/>
      <c r="JH253" s="26"/>
      <c r="JI253" s="26"/>
      <c r="JJ253" s="26"/>
      <c r="JK253" s="26"/>
      <c r="JL253" s="26"/>
      <c r="JM253" s="26"/>
      <c r="JN253" s="26"/>
      <c r="JO253" s="26"/>
      <c r="JP253" s="26"/>
      <c r="JQ253" s="26"/>
      <c r="JR253" s="26"/>
      <c r="JS253" s="26"/>
      <c r="JT253" s="26"/>
      <c r="JU253" s="26"/>
      <c r="JV253" s="26"/>
      <c r="JW253" s="26"/>
      <c r="JX253" s="26"/>
      <c r="JY253" s="26"/>
      <c r="JZ253" s="26"/>
      <c r="KA253" s="26"/>
      <c r="KB253" s="26"/>
      <c r="KC253" s="26"/>
      <c r="KD253" s="26"/>
      <c r="KE253" s="26"/>
      <c r="KF253" s="26"/>
      <c r="KG253" s="26"/>
      <c r="KH253" s="26"/>
      <c r="KI253" s="26"/>
      <c r="KJ253" s="26"/>
      <c r="KK253" s="26"/>
      <c r="KL253" s="26"/>
      <c r="KM253" s="26"/>
      <c r="KN253" s="26"/>
      <c r="KO253" s="26"/>
      <c r="KP253" s="26"/>
      <c r="KQ253" s="26"/>
      <c r="KR253" s="26"/>
      <c r="KS253" s="26"/>
      <c r="KT253" s="26"/>
      <c r="KU253" s="26"/>
      <c r="KV253" s="26"/>
      <c r="KW253" s="26"/>
      <c r="KX253" s="26"/>
      <c r="KY253" s="26"/>
      <c r="KZ253" s="26"/>
      <c r="LA253" s="26"/>
      <c r="LB253" s="26"/>
      <c r="LC253" s="26"/>
      <c r="LD253" s="26"/>
      <c r="LE253" s="26"/>
      <c r="LF253" s="26"/>
      <c r="LG253" s="26"/>
      <c r="LH253" s="26"/>
      <c r="LI253" s="26"/>
      <c r="LJ253" s="26"/>
      <c r="LK253" s="26"/>
      <c r="LL253" s="26"/>
      <c r="LM253" s="26"/>
      <c r="LN253" s="26"/>
      <c r="LO253" s="26"/>
      <c r="LP253" s="26"/>
      <c r="LQ253" s="26"/>
      <c r="LR253" s="26"/>
      <c r="LS253" s="26"/>
      <c r="LT253" s="26"/>
      <c r="LU253" s="26"/>
      <c r="LV253" s="26"/>
      <c r="LW253" s="26"/>
      <c r="LX253" s="26"/>
      <c r="LY253" s="26"/>
      <c r="LZ253" s="26"/>
      <c r="MA253" s="26"/>
      <c r="MB253" s="26"/>
      <c r="MC253" s="26"/>
      <c r="MD253" s="26"/>
      <c r="ME253" s="26"/>
      <c r="MF253" s="26"/>
      <c r="MG253" s="26"/>
      <c r="MH253" s="26"/>
      <c r="MI253" s="26"/>
      <c r="MJ253" s="26"/>
      <c r="MK253" s="26"/>
      <c r="ML253" s="26"/>
      <c r="MM253" s="26"/>
      <c r="MN253" s="26"/>
      <c r="MO253" s="26"/>
      <c r="MP253" s="26"/>
      <c r="MQ253" s="26"/>
      <c r="MR253" s="26"/>
      <c r="MS253" s="26"/>
      <c r="MT253" s="26"/>
      <c r="MU253" s="26"/>
      <c r="MV253" s="26"/>
      <c r="MW253" s="26"/>
      <c r="MX253" s="26"/>
      <c r="MY253" s="26"/>
      <c r="MZ253" s="26"/>
      <c r="NA253" s="26"/>
      <c r="NB253" s="26"/>
      <c r="NC253" s="26"/>
      <c r="ND253" s="26"/>
      <c r="NE253" s="26"/>
      <c r="NF253" s="26"/>
      <c r="NG253" s="26"/>
      <c r="NH253" s="26"/>
      <c r="NI253" s="26"/>
      <c r="NJ253" s="26"/>
      <c r="NK253" s="26"/>
      <c r="NL253" s="26"/>
      <c r="NM253" s="26"/>
      <c r="NN253" s="26"/>
      <c r="NO253" s="26"/>
      <c r="NP253" s="26"/>
      <c r="NQ253" s="26"/>
      <c r="NR253" s="26"/>
      <c r="NS253" s="26"/>
      <c r="NT253" s="26"/>
      <c r="NU253" s="26"/>
      <c r="NV253" s="26"/>
      <c r="NW253" s="26"/>
      <c r="NX253" s="26"/>
      <c r="NY253" s="26"/>
      <c r="NZ253" s="26"/>
      <c r="OA253" s="26"/>
      <c r="OB253" s="26"/>
      <c r="OC253" s="26"/>
      <c r="OD253" s="26"/>
      <c r="OE253" s="26"/>
      <c r="OF253" s="26"/>
      <c r="OG253" s="26"/>
      <c r="OH253" s="26"/>
      <c r="OI253" s="26"/>
      <c r="OJ253" s="26"/>
      <c r="OK253" s="26"/>
      <c r="OL253" s="26"/>
      <c r="OM253" s="26"/>
      <c r="ON253" s="26"/>
      <c r="OO253" s="26"/>
      <c r="OP253" s="26"/>
      <c r="OQ253" s="26"/>
      <c r="OR253" s="26"/>
      <c r="OS253" s="26"/>
      <c r="OT253" s="26"/>
      <c r="OU253" s="26"/>
      <c r="OV253" s="26"/>
      <c r="OW253" s="26"/>
      <c r="OX253" s="26"/>
      <c r="OY253" s="26"/>
      <c r="OZ253" s="26"/>
      <c r="PA253" s="26"/>
      <c r="PB253" s="26"/>
      <c r="PC253" s="26"/>
      <c r="PD253" s="26"/>
      <c r="PE253" s="26"/>
      <c r="PF253" s="26"/>
      <c r="PG253" s="26"/>
      <c r="PH253" s="26"/>
      <c r="PI253" s="26"/>
      <c r="PJ253" s="26"/>
      <c r="PK253" s="26"/>
      <c r="PL253" s="26"/>
      <c r="PM253" s="26"/>
      <c r="PN253" s="26"/>
      <c r="PO253" s="26"/>
      <c r="PP253" s="26"/>
      <c r="PQ253" s="26"/>
      <c r="PR253" s="26"/>
      <c r="PS253" s="26"/>
      <c r="PT253" s="26"/>
      <c r="PU253" s="26"/>
      <c r="PV253" s="26"/>
      <c r="PW253" s="26"/>
      <c r="PX253" s="26"/>
      <c r="PY253" s="26"/>
      <c r="PZ253" s="26"/>
      <c r="QA253" s="26"/>
      <c r="QB253" s="26"/>
      <c r="QC253" s="26"/>
      <c r="QD253" s="26"/>
      <c r="QE253" s="26"/>
      <c r="QF253" s="26"/>
      <c r="QG253" s="26"/>
      <c r="QH253" s="26"/>
      <c r="QI253" s="26"/>
      <c r="QJ253" s="26"/>
      <c r="QK253" s="26"/>
      <c r="QL253" s="26"/>
      <c r="QM253" s="26"/>
      <c r="QN253" s="26"/>
      <c r="QO253" s="26"/>
      <c r="QP253" s="26"/>
      <c r="QQ253" s="26"/>
      <c r="QR253" s="26"/>
      <c r="QS253" s="26"/>
      <c r="QT253" s="26"/>
      <c r="QU253" s="26"/>
      <c r="QV253" s="26"/>
      <c r="QW253" s="26"/>
      <c r="QX253" s="26"/>
      <c r="QY253" s="26"/>
      <c r="QZ253" s="26"/>
      <c r="RA253" s="26"/>
      <c r="RB253" s="26"/>
      <c r="RC253" s="26"/>
      <c r="RD253" s="26"/>
      <c r="RE253" s="26"/>
      <c r="RF253" s="26"/>
      <c r="RG253" s="26"/>
      <c r="RH253" s="26"/>
      <c r="RI253" s="26"/>
      <c r="RJ253" s="26"/>
      <c r="RK253" s="26"/>
      <c r="RL253" s="26"/>
      <c r="RM253" s="26"/>
      <c r="RN253" s="26"/>
      <c r="RO253" s="26"/>
      <c r="RP253" s="26"/>
      <c r="RQ253" s="26"/>
      <c r="RR253" s="26"/>
      <c r="RS253" s="26"/>
      <c r="RT253" s="26"/>
      <c r="RU253" s="26"/>
      <c r="RV253" s="26"/>
      <c r="RW253" s="26"/>
      <c r="RX253" s="26"/>
      <c r="RY253" s="26"/>
      <c r="RZ253" s="26"/>
      <c r="SA253" s="26"/>
      <c r="SB253" s="26"/>
      <c r="SC253" s="26"/>
      <c r="SD253" s="26"/>
      <c r="SE253" s="26"/>
      <c r="SF253" s="26"/>
      <c r="SG253" s="26"/>
      <c r="SH253" s="26"/>
      <c r="SI253" s="26"/>
      <c r="SJ253" s="26"/>
      <c r="SK253" s="26"/>
      <c r="SL253" s="26"/>
      <c r="SM253" s="26"/>
      <c r="SN253" s="26"/>
      <c r="SO253" s="26"/>
      <c r="SP253" s="26"/>
      <c r="SQ253" s="26"/>
      <c r="SR253" s="26"/>
      <c r="SS253" s="26"/>
      <c r="ST253" s="26"/>
      <c r="SU253" s="26"/>
      <c r="SV253" s="26"/>
      <c r="SW253" s="26"/>
      <c r="SX253" s="26"/>
      <c r="SY253" s="26"/>
      <c r="SZ253" s="26"/>
      <c r="TA253" s="26"/>
      <c r="TB253" s="26"/>
      <c r="TC253" s="26"/>
      <c r="TD253" s="26"/>
      <c r="TE253" s="26"/>
      <c r="TF253" s="26"/>
      <c r="TG253" s="26"/>
      <c r="TH253" s="26"/>
      <c r="TI253" s="26"/>
    </row>
    <row r="254" spans="1:529" s="31" customFormat="1" ht="31.5" customHeight="1" x14ac:dyDescent="0.2">
      <c r="A254" s="178" t="s">
        <v>235</v>
      </c>
      <c r="B254" s="71"/>
      <c r="C254" s="71"/>
      <c r="D254" s="30" t="s">
        <v>45</v>
      </c>
      <c r="E254" s="63">
        <f>E255</f>
        <v>134248457</v>
      </c>
      <c r="F254" s="63">
        <f t="shared" ref="F254:J254" si="151">F255</f>
        <v>127355205</v>
      </c>
      <c r="G254" s="63">
        <f t="shared" si="151"/>
        <v>13886000</v>
      </c>
      <c r="H254" s="63">
        <f t="shared" si="151"/>
        <v>244400</v>
      </c>
      <c r="I254" s="63">
        <f t="shared" si="151"/>
        <v>0</v>
      </c>
      <c r="J254" s="63">
        <f t="shared" si="151"/>
        <v>93500</v>
      </c>
      <c r="K254" s="63">
        <f t="shared" ref="K254" si="152">K255</f>
        <v>0</v>
      </c>
      <c r="L254" s="63">
        <f t="shared" ref="L254" si="153">L255</f>
        <v>93500</v>
      </c>
      <c r="M254" s="63">
        <f t="shared" ref="M254" si="154">M255</f>
        <v>0</v>
      </c>
      <c r="N254" s="63">
        <f t="shared" ref="N254" si="155">N255</f>
        <v>0</v>
      </c>
      <c r="O254" s="63">
        <f t="shared" ref="O254:P254" si="156">O255</f>
        <v>0</v>
      </c>
      <c r="P254" s="63">
        <f t="shared" si="156"/>
        <v>134341957</v>
      </c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  <c r="DG254" s="38"/>
      <c r="DH254" s="38"/>
      <c r="DI254" s="38"/>
      <c r="DJ254" s="38"/>
      <c r="DK254" s="38"/>
      <c r="DL254" s="38"/>
      <c r="DM254" s="38"/>
      <c r="DN254" s="38"/>
      <c r="DO254" s="38"/>
      <c r="DP254" s="38"/>
      <c r="DQ254" s="38"/>
      <c r="DR254" s="38"/>
      <c r="DS254" s="38"/>
      <c r="DT254" s="38"/>
      <c r="DU254" s="38"/>
      <c r="DV254" s="38"/>
      <c r="DW254" s="38"/>
      <c r="DX254" s="38"/>
      <c r="DY254" s="38"/>
      <c r="DZ254" s="38"/>
      <c r="EA254" s="38"/>
      <c r="EB254" s="38"/>
      <c r="EC254" s="38"/>
      <c r="ED254" s="38"/>
      <c r="EE254" s="38"/>
      <c r="EF254" s="38"/>
      <c r="EG254" s="38"/>
      <c r="EH254" s="38"/>
      <c r="EI254" s="38"/>
      <c r="EJ254" s="38"/>
      <c r="EK254" s="38"/>
      <c r="EL254" s="38"/>
      <c r="EM254" s="38"/>
      <c r="EN254" s="38"/>
      <c r="EO254" s="38"/>
      <c r="EP254" s="38"/>
      <c r="EQ254" s="38"/>
      <c r="ER254" s="38"/>
      <c r="ES254" s="38"/>
      <c r="ET254" s="38"/>
      <c r="EU254" s="38"/>
      <c r="EV254" s="38"/>
      <c r="EW254" s="38"/>
      <c r="EX254" s="38"/>
      <c r="EY254" s="38"/>
      <c r="EZ254" s="38"/>
      <c r="FA254" s="38"/>
      <c r="FB254" s="38"/>
      <c r="FC254" s="38"/>
      <c r="FD254" s="38"/>
      <c r="FE254" s="38"/>
      <c r="FF254" s="38"/>
      <c r="FG254" s="38"/>
      <c r="FH254" s="38"/>
      <c r="FI254" s="38"/>
      <c r="FJ254" s="38"/>
      <c r="FK254" s="38"/>
      <c r="FL254" s="38"/>
      <c r="FM254" s="38"/>
      <c r="FN254" s="38"/>
      <c r="FO254" s="38"/>
      <c r="FP254" s="38"/>
      <c r="FQ254" s="38"/>
      <c r="FR254" s="38"/>
      <c r="FS254" s="38"/>
      <c r="FT254" s="38"/>
      <c r="FU254" s="38"/>
      <c r="FV254" s="38"/>
      <c r="FW254" s="38"/>
      <c r="FX254" s="38"/>
      <c r="FY254" s="38"/>
      <c r="FZ254" s="38"/>
      <c r="GA254" s="38"/>
      <c r="GB254" s="38"/>
      <c r="GC254" s="38"/>
      <c r="GD254" s="38"/>
      <c r="GE254" s="38"/>
      <c r="GF254" s="38"/>
      <c r="GG254" s="38"/>
      <c r="GH254" s="38"/>
      <c r="GI254" s="38"/>
      <c r="GJ254" s="38"/>
      <c r="GK254" s="38"/>
      <c r="GL254" s="38"/>
      <c r="GM254" s="38"/>
      <c r="GN254" s="38"/>
      <c r="GO254" s="38"/>
      <c r="GP254" s="38"/>
      <c r="GQ254" s="38"/>
      <c r="GR254" s="38"/>
      <c r="GS254" s="38"/>
      <c r="GT254" s="38"/>
      <c r="GU254" s="38"/>
      <c r="GV254" s="38"/>
      <c r="GW254" s="38"/>
      <c r="GX254" s="38"/>
      <c r="GY254" s="38"/>
      <c r="GZ254" s="38"/>
      <c r="HA254" s="38"/>
      <c r="HB254" s="38"/>
      <c r="HC254" s="38"/>
      <c r="HD254" s="38"/>
      <c r="HE254" s="38"/>
      <c r="HF254" s="38"/>
      <c r="HG254" s="38"/>
      <c r="HH254" s="38"/>
      <c r="HI254" s="38"/>
      <c r="HJ254" s="38"/>
      <c r="HK254" s="38"/>
      <c r="HL254" s="38"/>
      <c r="HM254" s="38"/>
      <c r="HN254" s="38"/>
      <c r="HO254" s="38"/>
      <c r="HP254" s="38"/>
      <c r="HQ254" s="38"/>
      <c r="HR254" s="38"/>
      <c r="HS254" s="38"/>
      <c r="HT254" s="38"/>
      <c r="HU254" s="38"/>
      <c r="HV254" s="38"/>
      <c r="HW254" s="38"/>
      <c r="HX254" s="38"/>
      <c r="HY254" s="38"/>
      <c r="HZ254" s="38"/>
      <c r="IA254" s="38"/>
      <c r="IB254" s="38"/>
      <c r="IC254" s="38"/>
      <c r="ID254" s="38"/>
      <c r="IE254" s="38"/>
      <c r="IF254" s="38"/>
      <c r="IG254" s="38"/>
      <c r="IH254" s="38"/>
      <c r="II254" s="38"/>
      <c r="IJ254" s="38"/>
      <c r="IK254" s="38"/>
      <c r="IL254" s="38"/>
      <c r="IM254" s="38"/>
      <c r="IN254" s="38"/>
      <c r="IO254" s="38"/>
      <c r="IP254" s="38"/>
      <c r="IQ254" s="38"/>
      <c r="IR254" s="38"/>
      <c r="IS254" s="38"/>
      <c r="IT254" s="38"/>
      <c r="IU254" s="38"/>
      <c r="IV254" s="38"/>
      <c r="IW254" s="38"/>
      <c r="IX254" s="38"/>
      <c r="IY254" s="38"/>
      <c r="IZ254" s="38"/>
      <c r="JA254" s="38"/>
      <c r="JB254" s="38"/>
      <c r="JC254" s="38"/>
      <c r="JD254" s="38"/>
      <c r="JE254" s="38"/>
      <c r="JF254" s="38"/>
      <c r="JG254" s="38"/>
      <c r="JH254" s="38"/>
      <c r="JI254" s="38"/>
      <c r="JJ254" s="38"/>
      <c r="JK254" s="38"/>
      <c r="JL254" s="38"/>
      <c r="JM254" s="38"/>
      <c r="JN254" s="38"/>
      <c r="JO254" s="38"/>
      <c r="JP254" s="38"/>
      <c r="JQ254" s="38"/>
      <c r="JR254" s="38"/>
      <c r="JS254" s="38"/>
      <c r="JT254" s="38"/>
      <c r="JU254" s="38"/>
      <c r="JV254" s="38"/>
      <c r="JW254" s="38"/>
      <c r="JX254" s="38"/>
      <c r="JY254" s="38"/>
      <c r="JZ254" s="38"/>
      <c r="KA254" s="38"/>
      <c r="KB254" s="38"/>
      <c r="KC254" s="38"/>
      <c r="KD254" s="38"/>
      <c r="KE254" s="38"/>
      <c r="KF254" s="38"/>
      <c r="KG254" s="38"/>
      <c r="KH254" s="38"/>
      <c r="KI254" s="38"/>
      <c r="KJ254" s="38"/>
      <c r="KK254" s="38"/>
      <c r="KL254" s="38"/>
      <c r="KM254" s="38"/>
      <c r="KN254" s="38"/>
      <c r="KO254" s="38"/>
      <c r="KP254" s="38"/>
      <c r="KQ254" s="38"/>
      <c r="KR254" s="38"/>
      <c r="KS254" s="38"/>
      <c r="KT254" s="38"/>
      <c r="KU254" s="38"/>
      <c r="KV254" s="38"/>
      <c r="KW254" s="38"/>
      <c r="KX254" s="38"/>
      <c r="KY254" s="38"/>
      <c r="KZ254" s="38"/>
      <c r="LA254" s="38"/>
      <c r="LB254" s="38"/>
      <c r="LC254" s="38"/>
      <c r="LD254" s="38"/>
      <c r="LE254" s="38"/>
      <c r="LF254" s="38"/>
      <c r="LG254" s="38"/>
      <c r="LH254" s="38"/>
      <c r="LI254" s="38"/>
      <c r="LJ254" s="38"/>
      <c r="LK254" s="38"/>
      <c r="LL254" s="38"/>
      <c r="LM254" s="38"/>
      <c r="LN254" s="38"/>
      <c r="LO254" s="38"/>
      <c r="LP254" s="38"/>
      <c r="LQ254" s="38"/>
      <c r="LR254" s="38"/>
      <c r="LS254" s="38"/>
      <c r="LT254" s="38"/>
      <c r="LU254" s="38"/>
      <c r="LV254" s="38"/>
      <c r="LW254" s="38"/>
      <c r="LX254" s="38"/>
      <c r="LY254" s="38"/>
      <c r="LZ254" s="38"/>
      <c r="MA254" s="38"/>
      <c r="MB254" s="38"/>
      <c r="MC254" s="38"/>
      <c r="MD254" s="38"/>
      <c r="ME254" s="38"/>
      <c r="MF254" s="38"/>
      <c r="MG254" s="38"/>
      <c r="MH254" s="38"/>
      <c r="MI254" s="38"/>
      <c r="MJ254" s="38"/>
      <c r="MK254" s="38"/>
      <c r="ML254" s="38"/>
      <c r="MM254" s="38"/>
      <c r="MN254" s="38"/>
      <c r="MO254" s="38"/>
      <c r="MP254" s="38"/>
      <c r="MQ254" s="38"/>
      <c r="MR254" s="38"/>
      <c r="MS254" s="38"/>
      <c r="MT254" s="38"/>
      <c r="MU254" s="38"/>
      <c r="MV254" s="38"/>
      <c r="MW254" s="38"/>
      <c r="MX254" s="38"/>
      <c r="MY254" s="38"/>
      <c r="MZ254" s="38"/>
      <c r="NA254" s="38"/>
      <c r="NB254" s="38"/>
      <c r="NC254" s="38"/>
      <c r="ND254" s="38"/>
      <c r="NE254" s="38"/>
      <c r="NF254" s="38"/>
      <c r="NG254" s="38"/>
      <c r="NH254" s="38"/>
      <c r="NI254" s="38"/>
      <c r="NJ254" s="38"/>
      <c r="NK254" s="38"/>
      <c r="NL254" s="38"/>
      <c r="NM254" s="38"/>
      <c r="NN254" s="38"/>
      <c r="NO254" s="38"/>
      <c r="NP254" s="38"/>
      <c r="NQ254" s="38"/>
      <c r="NR254" s="38"/>
      <c r="NS254" s="38"/>
      <c r="NT254" s="38"/>
      <c r="NU254" s="38"/>
      <c r="NV254" s="38"/>
      <c r="NW254" s="38"/>
      <c r="NX254" s="38"/>
      <c r="NY254" s="38"/>
      <c r="NZ254" s="38"/>
      <c r="OA254" s="38"/>
      <c r="OB254" s="38"/>
      <c r="OC254" s="38"/>
      <c r="OD254" s="38"/>
      <c r="OE254" s="38"/>
      <c r="OF254" s="38"/>
      <c r="OG254" s="38"/>
      <c r="OH254" s="38"/>
      <c r="OI254" s="38"/>
      <c r="OJ254" s="38"/>
      <c r="OK254" s="38"/>
      <c r="OL254" s="38"/>
      <c r="OM254" s="38"/>
      <c r="ON254" s="38"/>
      <c r="OO254" s="38"/>
      <c r="OP254" s="38"/>
      <c r="OQ254" s="38"/>
      <c r="OR254" s="38"/>
      <c r="OS254" s="38"/>
      <c r="OT254" s="38"/>
      <c r="OU254" s="38"/>
      <c r="OV254" s="38"/>
      <c r="OW254" s="38"/>
      <c r="OX254" s="38"/>
      <c r="OY254" s="38"/>
      <c r="OZ254" s="38"/>
      <c r="PA254" s="38"/>
      <c r="PB254" s="38"/>
      <c r="PC254" s="38"/>
      <c r="PD254" s="38"/>
      <c r="PE254" s="38"/>
      <c r="PF254" s="38"/>
      <c r="PG254" s="38"/>
      <c r="PH254" s="38"/>
      <c r="PI254" s="38"/>
      <c r="PJ254" s="38"/>
      <c r="PK254" s="38"/>
      <c r="PL254" s="38"/>
      <c r="PM254" s="38"/>
      <c r="PN254" s="38"/>
      <c r="PO254" s="38"/>
      <c r="PP254" s="38"/>
      <c r="PQ254" s="38"/>
      <c r="PR254" s="38"/>
      <c r="PS254" s="38"/>
      <c r="PT254" s="38"/>
      <c r="PU254" s="38"/>
      <c r="PV254" s="38"/>
      <c r="PW254" s="38"/>
      <c r="PX254" s="38"/>
      <c r="PY254" s="38"/>
      <c r="PZ254" s="38"/>
      <c r="QA254" s="38"/>
      <c r="QB254" s="38"/>
      <c r="QC254" s="38"/>
      <c r="QD254" s="38"/>
      <c r="QE254" s="38"/>
      <c r="QF254" s="38"/>
      <c r="QG254" s="38"/>
      <c r="QH254" s="38"/>
      <c r="QI254" s="38"/>
      <c r="QJ254" s="38"/>
      <c r="QK254" s="38"/>
      <c r="QL254" s="38"/>
      <c r="QM254" s="38"/>
      <c r="QN254" s="38"/>
      <c r="QO254" s="38"/>
      <c r="QP254" s="38"/>
      <c r="QQ254" s="38"/>
      <c r="QR254" s="38"/>
      <c r="QS254" s="38"/>
      <c r="QT254" s="38"/>
      <c r="QU254" s="38"/>
      <c r="QV254" s="38"/>
      <c r="QW254" s="38"/>
      <c r="QX254" s="38"/>
      <c r="QY254" s="38"/>
      <c r="QZ254" s="38"/>
      <c r="RA254" s="38"/>
      <c r="RB254" s="38"/>
      <c r="RC254" s="38"/>
      <c r="RD254" s="38"/>
      <c r="RE254" s="38"/>
      <c r="RF254" s="38"/>
      <c r="RG254" s="38"/>
      <c r="RH254" s="38"/>
      <c r="RI254" s="38"/>
      <c r="RJ254" s="38"/>
      <c r="RK254" s="38"/>
      <c r="RL254" s="38"/>
      <c r="RM254" s="38"/>
      <c r="RN254" s="38"/>
      <c r="RO254" s="38"/>
      <c r="RP254" s="38"/>
      <c r="RQ254" s="38"/>
      <c r="RR254" s="38"/>
      <c r="RS254" s="38"/>
      <c r="RT254" s="38"/>
      <c r="RU254" s="38"/>
      <c r="RV254" s="38"/>
      <c r="RW254" s="38"/>
      <c r="RX254" s="38"/>
      <c r="RY254" s="38"/>
      <c r="RZ254" s="38"/>
      <c r="SA254" s="38"/>
      <c r="SB254" s="38"/>
      <c r="SC254" s="38"/>
      <c r="SD254" s="38"/>
      <c r="SE254" s="38"/>
      <c r="SF254" s="38"/>
      <c r="SG254" s="38"/>
      <c r="SH254" s="38"/>
      <c r="SI254" s="38"/>
      <c r="SJ254" s="38"/>
      <c r="SK254" s="38"/>
      <c r="SL254" s="38"/>
      <c r="SM254" s="38"/>
      <c r="SN254" s="38"/>
      <c r="SO254" s="38"/>
      <c r="SP254" s="38"/>
      <c r="SQ254" s="38"/>
      <c r="SR254" s="38"/>
      <c r="SS254" s="38"/>
      <c r="ST254" s="38"/>
      <c r="SU254" s="38"/>
      <c r="SV254" s="38"/>
      <c r="SW254" s="38"/>
      <c r="SX254" s="38"/>
      <c r="SY254" s="38"/>
      <c r="SZ254" s="38"/>
      <c r="TA254" s="38"/>
      <c r="TB254" s="38"/>
      <c r="TC254" s="38"/>
      <c r="TD254" s="38"/>
      <c r="TE254" s="38"/>
      <c r="TF254" s="38"/>
      <c r="TG254" s="38"/>
      <c r="TH254" s="38"/>
      <c r="TI254" s="38"/>
    </row>
    <row r="255" spans="1:529" s="40" customFormat="1" ht="34.5" customHeight="1" x14ac:dyDescent="0.25">
      <c r="A255" s="73" t="s">
        <v>236</v>
      </c>
      <c r="B255" s="72"/>
      <c r="C255" s="72"/>
      <c r="D255" s="33" t="s">
        <v>45</v>
      </c>
      <c r="E255" s="65">
        <f>SUM(E256+E257+E258+E260+E261+E262+E263+E259)</f>
        <v>134248457</v>
      </c>
      <c r="F255" s="65">
        <f t="shared" ref="F255:P255" si="157">SUM(F256+F257+F258+F260+F261+F262+F263+F259)</f>
        <v>127355205</v>
      </c>
      <c r="G255" s="65">
        <f t="shared" si="157"/>
        <v>13886000</v>
      </c>
      <c r="H255" s="65">
        <f t="shared" si="157"/>
        <v>244400</v>
      </c>
      <c r="I255" s="65">
        <f t="shared" si="157"/>
        <v>0</v>
      </c>
      <c r="J255" s="65">
        <f t="shared" si="157"/>
        <v>93500</v>
      </c>
      <c r="K255" s="65">
        <f t="shared" si="157"/>
        <v>0</v>
      </c>
      <c r="L255" s="65">
        <f t="shared" si="157"/>
        <v>93500</v>
      </c>
      <c r="M255" s="65">
        <f t="shared" si="157"/>
        <v>0</v>
      </c>
      <c r="N255" s="65">
        <f t="shared" si="157"/>
        <v>0</v>
      </c>
      <c r="O255" s="65">
        <f t="shared" si="157"/>
        <v>0</v>
      </c>
      <c r="P255" s="65">
        <f t="shared" si="157"/>
        <v>134341957</v>
      </c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  <c r="GQ255" s="39"/>
      <c r="GR255" s="39"/>
      <c r="GS255" s="39"/>
      <c r="GT255" s="39"/>
      <c r="GU255" s="39"/>
      <c r="GV255" s="39"/>
      <c r="GW255" s="39"/>
      <c r="GX255" s="39"/>
      <c r="GY255" s="39"/>
      <c r="GZ255" s="39"/>
      <c r="HA255" s="39"/>
      <c r="HB255" s="39"/>
      <c r="HC255" s="39"/>
      <c r="HD255" s="39"/>
      <c r="HE255" s="39"/>
      <c r="HF255" s="39"/>
      <c r="HG255" s="39"/>
      <c r="HH255" s="39"/>
      <c r="HI255" s="39"/>
      <c r="HJ255" s="39"/>
      <c r="HK255" s="39"/>
      <c r="HL255" s="39"/>
      <c r="HM255" s="39"/>
      <c r="HN255" s="39"/>
      <c r="HO255" s="39"/>
      <c r="HP255" s="39"/>
      <c r="HQ255" s="39"/>
      <c r="HR255" s="39"/>
      <c r="HS255" s="39"/>
      <c r="HT255" s="39"/>
      <c r="HU255" s="39"/>
      <c r="HV255" s="39"/>
      <c r="HW255" s="39"/>
      <c r="HX255" s="39"/>
      <c r="HY255" s="39"/>
      <c r="HZ255" s="39"/>
      <c r="IA255" s="39"/>
      <c r="IB255" s="39"/>
      <c r="IC255" s="39"/>
      <c r="ID255" s="39"/>
      <c r="IE255" s="39"/>
      <c r="IF255" s="39"/>
      <c r="IG255" s="39"/>
      <c r="IH255" s="39"/>
      <c r="II255" s="39"/>
      <c r="IJ255" s="39"/>
      <c r="IK255" s="39"/>
      <c r="IL255" s="39"/>
      <c r="IM255" s="39"/>
      <c r="IN255" s="39"/>
      <c r="IO255" s="39"/>
      <c r="IP255" s="39"/>
      <c r="IQ255" s="39"/>
      <c r="IR255" s="39"/>
      <c r="IS255" s="39"/>
      <c r="IT255" s="39"/>
      <c r="IU255" s="39"/>
      <c r="IV255" s="39"/>
      <c r="IW255" s="39"/>
      <c r="IX255" s="39"/>
      <c r="IY255" s="39"/>
      <c r="IZ255" s="39"/>
      <c r="JA255" s="39"/>
      <c r="JB255" s="39"/>
      <c r="JC255" s="39"/>
      <c r="JD255" s="39"/>
      <c r="JE255" s="39"/>
      <c r="JF255" s="39"/>
      <c r="JG255" s="39"/>
      <c r="JH255" s="39"/>
      <c r="JI255" s="39"/>
      <c r="JJ255" s="39"/>
      <c r="JK255" s="39"/>
      <c r="JL255" s="39"/>
      <c r="JM255" s="39"/>
      <c r="JN255" s="39"/>
      <c r="JO255" s="39"/>
      <c r="JP255" s="39"/>
      <c r="JQ255" s="39"/>
      <c r="JR255" s="39"/>
      <c r="JS255" s="39"/>
      <c r="JT255" s="39"/>
      <c r="JU255" s="39"/>
      <c r="JV255" s="39"/>
      <c r="JW255" s="39"/>
      <c r="JX255" s="39"/>
      <c r="JY255" s="39"/>
      <c r="JZ255" s="39"/>
      <c r="KA255" s="39"/>
      <c r="KB255" s="39"/>
      <c r="KC255" s="39"/>
      <c r="KD255" s="39"/>
      <c r="KE255" s="39"/>
      <c r="KF255" s="39"/>
      <c r="KG255" s="39"/>
      <c r="KH255" s="39"/>
      <c r="KI255" s="39"/>
      <c r="KJ255" s="39"/>
      <c r="KK255" s="39"/>
      <c r="KL255" s="39"/>
      <c r="KM255" s="39"/>
      <c r="KN255" s="39"/>
      <c r="KO255" s="39"/>
      <c r="KP255" s="39"/>
      <c r="KQ255" s="39"/>
      <c r="KR255" s="39"/>
      <c r="KS255" s="39"/>
      <c r="KT255" s="39"/>
      <c r="KU255" s="39"/>
      <c r="KV255" s="39"/>
      <c r="KW255" s="39"/>
      <c r="KX255" s="39"/>
      <c r="KY255" s="39"/>
      <c r="KZ255" s="39"/>
      <c r="LA255" s="39"/>
      <c r="LB255" s="39"/>
      <c r="LC255" s="39"/>
      <c r="LD255" s="39"/>
      <c r="LE255" s="39"/>
      <c r="LF255" s="39"/>
      <c r="LG255" s="39"/>
      <c r="LH255" s="39"/>
      <c r="LI255" s="39"/>
      <c r="LJ255" s="39"/>
      <c r="LK255" s="39"/>
      <c r="LL255" s="39"/>
      <c r="LM255" s="39"/>
      <c r="LN255" s="39"/>
      <c r="LO255" s="39"/>
      <c r="LP255" s="39"/>
      <c r="LQ255" s="39"/>
      <c r="LR255" s="39"/>
      <c r="LS255" s="39"/>
      <c r="LT255" s="39"/>
      <c r="LU255" s="39"/>
      <c r="LV255" s="39"/>
      <c r="LW255" s="39"/>
      <c r="LX255" s="39"/>
      <c r="LY255" s="39"/>
      <c r="LZ255" s="39"/>
      <c r="MA255" s="39"/>
      <c r="MB255" s="39"/>
      <c r="MC255" s="39"/>
      <c r="MD255" s="39"/>
      <c r="ME255" s="39"/>
      <c r="MF255" s="39"/>
      <c r="MG255" s="39"/>
      <c r="MH255" s="39"/>
      <c r="MI255" s="39"/>
      <c r="MJ255" s="39"/>
      <c r="MK255" s="39"/>
      <c r="ML255" s="39"/>
      <c r="MM255" s="39"/>
      <c r="MN255" s="39"/>
      <c r="MO255" s="39"/>
      <c r="MP255" s="39"/>
      <c r="MQ255" s="39"/>
      <c r="MR255" s="39"/>
      <c r="MS255" s="39"/>
      <c r="MT255" s="39"/>
      <c r="MU255" s="39"/>
      <c r="MV255" s="39"/>
      <c r="MW255" s="39"/>
      <c r="MX255" s="39"/>
      <c r="MY255" s="39"/>
      <c r="MZ255" s="39"/>
      <c r="NA255" s="39"/>
      <c r="NB255" s="39"/>
      <c r="NC255" s="39"/>
      <c r="ND255" s="39"/>
      <c r="NE255" s="39"/>
      <c r="NF255" s="39"/>
      <c r="NG255" s="39"/>
      <c r="NH255" s="39"/>
      <c r="NI255" s="39"/>
      <c r="NJ255" s="39"/>
      <c r="NK255" s="39"/>
      <c r="NL255" s="39"/>
      <c r="NM255" s="39"/>
      <c r="NN255" s="39"/>
      <c r="NO255" s="39"/>
      <c r="NP255" s="39"/>
      <c r="NQ255" s="39"/>
      <c r="NR255" s="39"/>
      <c r="NS255" s="39"/>
      <c r="NT255" s="39"/>
      <c r="NU255" s="39"/>
      <c r="NV255" s="39"/>
      <c r="NW255" s="39"/>
      <c r="NX255" s="39"/>
      <c r="NY255" s="39"/>
      <c r="NZ255" s="39"/>
      <c r="OA255" s="39"/>
      <c r="OB255" s="39"/>
      <c r="OC255" s="39"/>
      <c r="OD255" s="39"/>
      <c r="OE255" s="39"/>
      <c r="OF255" s="39"/>
      <c r="OG255" s="39"/>
      <c r="OH255" s="39"/>
      <c r="OI255" s="39"/>
      <c r="OJ255" s="39"/>
      <c r="OK255" s="39"/>
      <c r="OL255" s="39"/>
      <c r="OM255" s="39"/>
      <c r="ON255" s="39"/>
      <c r="OO255" s="39"/>
      <c r="OP255" s="39"/>
      <c r="OQ255" s="39"/>
      <c r="OR255" s="39"/>
      <c r="OS255" s="39"/>
      <c r="OT255" s="39"/>
      <c r="OU255" s="39"/>
      <c r="OV255" s="39"/>
      <c r="OW255" s="39"/>
      <c r="OX255" s="39"/>
      <c r="OY255" s="39"/>
      <c r="OZ255" s="39"/>
      <c r="PA255" s="39"/>
      <c r="PB255" s="39"/>
      <c r="PC255" s="39"/>
      <c r="PD255" s="39"/>
      <c r="PE255" s="39"/>
      <c r="PF255" s="39"/>
      <c r="PG255" s="39"/>
      <c r="PH255" s="39"/>
      <c r="PI255" s="39"/>
      <c r="PJ255" s="39"/>
      <c r="PK255" s="39"/>
      <c r="PL255" s="39"/>
      <c r="PM255" s="39"/>
      <c r="PN255" s="39"/>
      <c r="PO255" s="39"/>
      <c r="PP255" s="39"/>
      <c r="PQ255" s="39"/>
      <c r="PR255" s="39"/>
      <c r="PS255" s="39"/>
      <c r="PT255" s="39"/>
      <c r="PU255" s="39"/>
      <c r="PV255" s="39"/>
      <c r="PW255" s="39"/>
      <c r="PX255" s="39"/>
      <c r="PY255" s="39"/>
      <c r="PZ255" s="39"/>
      <c r="QA255" s="39"/>
      <c r="QB255" s="39"/>
      <c r="QC255" s="39"/>
      <c r="QD255" s="39"/>
      <c r="QE255" s="39"/>
      <c r="QF255" s="39"/>
      <c r="QG255" s="39"/>
      <c r="QH255" s="39"/>
      <c r="QI255" s="39"/>
      <c r="QJ255" s="39"/>
      <c r="QK255" s="39"/>
      <c r="QL255" s="39"/>
      <c r="QM255" s="39"/>
      <c r="QN255" s="39"/>
      <c r="QO255" s="39"/>
      <c r="QP255" s="39"/>
      <c r="QQ255" s="39"/>
      <c r="QR255" s="39"/>
      <c r="QS255" s="39"/>
      <c r="QT255" s="39"/>
      <c r="QU255" s="39"/>
      <c r="QV255" s="39"/>
      <c r="QW255" s="39"/>
      <c r="QX255" s="39"/>
      <c r="QY255" s="39"/>
      <c r="QZ255" s="39"/>
      <c r="RA255" s="39"/>
      <c r="RB255" s="39"/>
      <c r="RC255" s="39"/>
      <c r="RD255" s="39"/>
      <c r="RE255" s="39"/>
      <c r="RF255" s="39"/>
      <c r="RG255" s="39"/>
      <c r="RH255" s="39"/>
      <c r="RI255" s="39"/>
      <c r="RJ255" s="39"/>
      <c r="RK255" s="39"/>
      <c r="RL255" s="39"/>
      <c r="RM255" s="39"/>
      <c r="RN255" s="39"/>
      <c r="RO255" s="39"/>
      <c r="RP255" s="39"/>
      <c r="RQ255" s="39"/>
      <c r="RR255" s="39"/>
      <c r="RS255" s="39"/>
      <c r="RT255" s="39"/>
      <c r="RU255" s="39"/>
      <c r="RV255" s="39"/>
      <c r="RW255" s="39"/>
      <c r="RX255" s="39"/>
      <c r="RY255" s="39"/>
      <c r="RZ255" s="39"/>
      <c r="SA255" s="39"/>
      <c r="SB255" s="39"/>
      <c r="SC255" s="39"/>
      <c r="SD255" s="39"/>
      <c r="SE255" s="39"/>
      <c r="SF255" s="39"/>
      <c r="SG255" s="39"/>
      <c r="SH255" s="39"/>
      <c r="SI255" s="39"/>
      <c r="SJ255" s="39"/>
      <c r="SK255" s="39"/>
      <c r="SL255" s="39"/>
      <c r="SM255" s="39"/>
      <c r="SN255" s="39"/>
      <c r="SO255" s="39"/>
      <c r="SP255" s="39"/>
      <c r="SQ255" s="39"/>
      <c r="SR255" s="39"/>
      <c r="SS255" s="39"/>
      <c r="ST255" s="39"/>
      <c r="SU255" s="39"/>
      <c r="SV255" s="39"/>
      <c r="SW255" s="39"/>
      <c r="SX255" s="39"/>
      <c r="SY255" s="39"/>
      <c r="SZ255" s="39"/>
      <c r="TA255" s="39"/>
      <c r="TB255" s="39"/>
      <c r="TC255" s="39"/>
      <c r="TD255" s="39"/>
      <c r="TE255" s="39"/>
      <c r="TF255" s="39"/>
      <c r="TG255" s="39"/>
      <c r="TH255" s="39"/>
      <c r="TI255" s="39"/>
    </row>
    <row r="256" spans="1:529" s="23" customFormat="1" ht="42" customHeight="1" x14ac:dyDescent="0.25">
      <c r="A256" s="43" t="s">
        <v>237</v>
      </c>
      <c r="B256" s="44" t="str">
        <f>'дод 4'!A20</f>
        <v>0160</v>
      </c>
      <c r="C256" s="44" t="str">
        <f>'дод 4'!B20</f>
        <v>0111</v>
      </c>
      <c r="D256" s="22" t="str">
        <f>'дод 4'!C20</f>
        <v>Керівництво і управління у відповідній сфері у містах (місті Києві), селищах, селах, об’єднаних територіальних громадах</v>
      </c>
      <c r="E256" s="66">
        <f t="shared" ref="E256:E261" si="158">F256+I256</f>
        <v>17873340</v>
      </c>
      <c r="F256" s="66">
        <f>18669000+46200-857400-45000+11040+49500</f>
        <v>17873340</v>
      </c>
      <c r="G256" s="66">
        <f>14625700-702800-36900</f>
        <v>13886000</v>
      </c>
      <c r="H256" s="66">
        <v>244400</v>
      </c>
      <c r="I256" s="66"/>
      <c r="J256" s="66">
        <f>L256+O256</f>
        <v>0</v>
      </c>
      <c r="K256" s="66"/>
      <c r="L256" s="66"/>
      <c r="M256" s="66"/>
      <c r="N256" s="66"/>
      <c r="O256" s="66"/>
      <c r="P256" s="66">
        <f t="shared" ref="P256:P263" si="159">E256+J256</f>
        <v>17873340</v>
      </c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  <c r="IT256" s="26"/>
      <c r="IU256" s="26"/>
      <c r="IV256" s="26"/>
      <c r="IW256" s="26"/>
      <c r="IX256" s="26"/>
      <c r="IY256" s="26"/>
      <c r="IZ256" s="26"/>
      <c r="JA256" s="26"/>
      <c r="JB256" s="26"/>
      <c r="JC256" s="26"/>
      <c r="JD256" s="26"/>
      <c r="JE256" s="26"/>
      <c r="JF256" s="26"/>
      <c r="JG256" s="26"/>
      <c r="JH256" s="26"/>
      <c r="JI256" s="26"/>
      <c r="JJ256" s="26"/>
      <c r="JK256" s="26"/>
      <c r="JL256" s="26"/>
      <c r="JM256" s="26"/>
      <c r="JN256" s="26"/>
      <c r="JO256" s="26"/>
      <c r="JP256" s="26"/>
      <c r="JQ256" s="26"/>
      <c r="JR256" s="26"/>
      <c r="JS256" s="26"/>
      <c r="JT256" s="26"/>
      <c r="JU256" s="26"/>
      <c r="JV256" s="26"/>
      <c r="JW256" s="26"/>
      <c r="JX256" s="26"/>
      <c r="JY256" s="26"/>
      <c r="JZ256" s="26"/>
      <c r="KA256" s="26"/>
      <c r="KB256" s="26"/>
      <c r="KC256" s="26"/>
      <c r="KD256" s="26"/>
      <c r="KE256" s="26"/>
      <c r="KF256" s="26"/>
      <c r="KG256" s="26"/>
      <c r="KH256" s="26"/>
      <c r="KI256" s="26"/>
      <c r="KJ256" s="26"/>
      <c r="KK256" s="26"/>
      <c r="KL256" s="26"/>
      <c r="KM256" s="26"/>
      <c r="KN256" s="26"/>
      <c r="KO256" s="26"/>
      <c r="KP256" s="26"/>
      <c r="KQ256" s="26"/>
      <c r="KR256" s="26"/>
      <c r="KS256" s="26"/>
      <c r="KT256" s="26"/>
      <c r="KU256" s="26"/>
      <c r="KV256" s="26"/>
      <c r="KW256" s="26"/>
      <c r="KX256" s="26"/>
      <c r="KY256" s="26"/>
      <c r="KZ256" s="26"/>
      <c r="LA256" s="26"/>
      <c r="LB256" s="26"/>
      <c r="LC256" s="26"/>
      <c r="LD256" s="26"/>
      <c r="LE256" s="26"/>
      <c r="LF256" s="26"/>
      <c r="LG256" s="26"/>
      <c r="LH256" s="26"/>
      <c r="LI256" s="26"/>
      <c r="LJ256" s="26"/>
      <c r="LK256" s="26"/>
      <c r="LL256" s="26"/>
      <c r="LM256" s="26"/>
      <c r="LN256" s="26"/>
      <c r="LO256" s="26"/>
      <c r="LP256" s="26"/>
      <c r="LQ256" s="26"/>
      <c r="LR256" s="26"/>
      <c r="LS256" s="26"/>
      <c r="LT256" s="26"/>
      <c r="LU256" s="26"/>
      <c r="LV256" s="26"/>
      <c r="LW256" s="26"/>
      <c r="LX256" s="26"/>
      <c r="LY256" s="26"/>
      <c r="LZ256" s="26"/>
      <c r="MA256" s="26"/>
      <c r="MB256" s="26"/>
      <c r="MC256" s="26"/>
      <c r="MD256" s="26"/>
      <c r="ME256" s="26"/>
      <c r="MF256" s="26"/>
      <c r="MG256" s="26"/>
      <c r="MH256" s="26"/>
      <c r="MI256" s="26"/>
      <c r="MJ256" s="26"/>
      <c r="MK256" s="26"/>
      <c r="ML256" s="26"/>
      <c r="MM256" s="26"/>
      <c r="MN256" s="26"/>
      <c r="MO256" s="26"/>
      <c r="MP256" s="26"/>
      <c r="MQ256" s="26"/>
      <c r="MR256" s="26"/>
      <c r="MS256" s="26"/>
      <c r="MT256" s="26"/>
      <c r="MU256" s="26"/>
      <c r="MV256" s="26"/>
      <c r="MW256" s="26"/>
      <c r="MX256" s="26"/>
      <c r="MY256" s="26"/>
      <c r="MZ256" s="26"/>
      <c r="NA256" s="26"/>
      <c r="NB256" s="26"/>
      <c r="NC256" s="26"/>
      <c r="ND256" s="26"/>
      <c r="NE256" s="26"/>
      <c r="NF256" s="26"/>
      <c r="NG256" s="26"/>
      <c r="NH256" s="26"/>
      <c r="NI256" s="26"/>
      <c r="NJ256" s="26"/>
      <c r="NK256" s="26"/>
      <c r="NL256" s="26"/>
      <c r="NM256" s="26"/>
      <c r="NN256" s="26"/>
      <c r="NO256" s="26"/>
      <c r="NP256" s="26"/>
      <c r="NQ256" s="26"/>
      <c r="NR256" s="26"/>
      <c r="NS256" s="26"/>
      <c r="NT256" s="26"/>
      <c r="NU256" s="26"/>
      <c r="NV256" s="26"/>
      <c r="NW256" s="26"/>
      <c r="NX256" s="26"/>
      <c r="NY256" s="26"/>
      <c r="NZ256" s="26"/>
      <c r="OA256" s="26"/>
      <c r="OB256" s="26"/>
      <c r="OC256" s="26"/>
      <c r="OD256" s="26"/>
      <c r="OE256" s="26"/>
      <c r="OF256" s="26"/>
      <c r="OG256" s="26"/>
      <c r="OH256" s="26"/>
      <c r="OI256" s="26"/>
      <c r="OJ256" s="26"/>
      <c r="OK256" s="26"/>
      <c r="OL256" s="26"/>
      <c r="OM256" s="26"/>
      <c r="ON256" s="26"/>
      <c r="OO256" s="26"/>
      <c r="OP256" s="26"/>
      <c r="OQ256" s="26"/>
      <c r="OR256" s="26"/>
      <c r="OS256" s="26"/>
      <c r="OT256" s="26"/>
      <c r="OU256" s="26"/>
      <c r="OV256" s="26"/>
      <c r="OW256" s="26"/>
      <c r="OX256" s="26"/>
      <c r="OY256" s="26"/>
      <c r="OZ256" s="26"/>
      <c r="PA256" s="26"/>
      <c r="PB256" s="26"/>
      <c r="PC256" s="26"/>
      <c r="PD256" s="26"/>
      <c r="PE256" s="26"/>
      <c r="PF256" s="26"/>
      <c r="PG256" s="26"/>
      <c r="PH256" s="26"/>
      <c r="PI256" s="26"/>
      <c r="PJ256" s="26"/>
      <c r="PK256" s="26"/>
      <c r="PL256" s="26"/>
      <c r="PM256" s="26"/>
      <c r="PN256" s="26"/>
      <c r="PO256" s="26"/>
      <c r="PP256" s="26"/>
      <c r="PQ256" s="26"/>
      <c r="PR256" s="26"/>
      <c r="PS256" s="26"/>
      <c r="PT256" s="26"/>
      <c r="PU256" s="26"/>
      <c r="PV256" s="26"/>
      <c r="PW256" s="26"/>
      <c r="PX256" s="26"/>
      <c r="PY256" s="26"/>
      <c r="PZ256" s="26"/>
      <c r="QA256" s="26"/>
      <c r="QB256" s="26"/>
      <c r="QC256" s="26"/>
      <c r="QD256" s="26"/>
      <c r="QE256" s="26"/>
      <c r="QF256" s="26"/>
      <c r="QG256" s="26"/>
      <c r="QH256" s="26"/>
      <c r="QI256" s="26"/>
      <c r="QJ256" s="26"/>
      <c r="QK256" s="26"/>
      <c r="QL256" s="26"/>
      <c r="QM256" s="26"/>
      <c r="QN256" s="26"/>
      <c r="QO256" s="26"/>
      <c r="QP256" s="26"/>
      <c r="QQ256" s="26"/>
      <c r="QR256" s="26"/>
      <c r="QS256" s="26"/>
      <c r="QT256" s="26"/>
      <c r="QU256" s="26"/>
      <c r="QV256" s="26"/>
      <c r="QW256" s="26"/>
      <c r="QX256" s="26"/>
      <c r="QY256" s="26"/>
      <c r="QZ256" s="26"/>
      <c r="RA256" s="26"/>
      <c r="RB256" s="26"/>
      <c r="RC256" s="26"/>
      <c r="RD256" s="26"/>
      <c r="RE256" s="26"/>
      <c r="RF256" s="26"/>
      <c r="RG256" s="26"/>
      <c r="RH256" s="26"/>
      <c r="RI256" s="26"/>
      <c r="RJ256" s="26"/>
      <c r="RK256" s="26"/>
      <c r="RL256" s="26"/>
      <c r="RM256" s="26"/>
      <c r="RN256" s="26"/>
      <c r="RO256" s="26"/>
      <c r="RP256" s="26"/>
      <c r="RQ256" s="26"/>
      <c r="RR256" s="26"/>
      <c r="RS256" s="26"/>
      <c r="RT256" s="26"/>
      <c r="RU256" s="26"/>
      <c r="RV256" s="26"/>
      <c r="RW256" s="26"/>
      <c r="RX256" s="26"/>
      <c r="RY256" s="26"/>
      <c r="RZ256" s="26"/>
      <c r="SA256" s="26"/>
      <c r="SB256" s="26"/>
      <c r="SC256" s="26"/>
      <c r="SD256" s="26"/>
      <c r="SE256" s="26"/>
      <c r="SF256" s="26"/>
      <c r="SG256" s="26"/>
      <c r="SH256" s="26"/>
      <c r="SI256" s="26"/>
      <c r="SJ256" s="26"/>
      <c r="SK256" s="26"/>
      <c r="SL256" s="26"/>
      <c r="SM256" s="26"/>
      <c r="SN256" s="26"/>
      <c r="SO256" s="26"/>
      <c r="SP256" s="26"/>
      <c r="SQ256" s="26"/>
      <c r="SR256" s="26"/>
      <c r="SS256" s="26"/>
      <c r="ST256" s="26"/>
      <c r="SU256" s="26"/>
      <c r="SV256" s="26"/>
      <c r="SW256" s="26"/>
      <c r="SX256" s="26"/>
      <c r="SY256" s="26"/>
      <c r="SZ256" s="26"/>
      <c r="TA256" s="26"/>
      <c r="TB256" s="26"/>
      <c r="TC256" s="26"/>
      <c r="TD256" s="26"/>
      <c r="TE256" s="26"/>
      <c r="TF256" s="26"/>
      <c r="TG256" s="26"/>
      <c r="TH256" s="26"/>
      <c r="TI256" s="26"/>
    </row>
    <row r="257" spans="1:529" s="23" customFormat="1" ht="18.75" customHeight="1" x14ac:dyDescent="0.25">
      <c r="A257" s="43" t="s">
        <v>280</v>
      </c>
      <c r="B257" s="44" t="str">
        <f>'дод 4'!A163</f>
        <v>7640</v>
      </c>
      <c r="C257" s="44" t="str">
        <f>'дод 4'!B163</f>
        <v>0470</v>
      </c>
      <c r="D257" s="24" t="s">
        <v>513</v>
      </c>
      <c r="E257" s="66">
        <f t="shared" si="158"/>
        <v>365000</v>
      </c>
      <c r="F257" s="66">
        <f>345000+20000</f>
        <v>365000</v>
      </c>
      <c r="G257" s="66"/>
      <c r="H257" s="66"/>
      <c r="I257" s="66"/>
      <c r="J257" s="66">
        <f t="shared" ref="J257:J263" si="160">L257+O257</f>
        <v>0</v>
      </c>
      <c r="K257" s="66"/>
      <c r="L257" s="66"/>
      <c r="M257" s="66"/>
      <c r="N257" s="66"/>
      <c r="O257" s="66"/>
      <c r="P257" s="66">
        <f t="shared" si="159"/>
        <v>365000</v>
      </c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  <c r="IT257" s="26"/>
      <c r="IU257" s="26"/>
      <c r="IV257" s="26"/>
      <c r="IW257" s="26"/>
      <c r="IX257" s="26"/>
      <c r="IY257" s="26"/>
      <c r="IZ257" s="26"/>
      <c r="JA257" s="26"/>
      <c r="JB257" s="26"/>
      <c r="JC257" s="26"/>
      <c r="JD257" s="26"/>
      <c r="JE257" s="26"/>
      <c r="JF257" s="26"/>
      <c r="JG257" s="26"/>
      <c r="JH257" s="26"/>
      <c r="JI257" s="26"/>
      <c r="JJ257" s="26"/>
      <c r="JK257" s="26"/>
      <c r="JL257" s="26"/>
      <c r="JM257" s="26"/>
      <c r="JN257" s="26"/>
      <c r="JO257" s="26"/>
      <c r="JP257" s="26"/>
      <c r="JQ257" s="26"/>
      <c r="JR257" s="26"/>
      <c r="JS257" s="26"/>
      <c r="JT257" s="26"/>
      <c r="JU257" s="26"/>
      <c r="JV257" s="26"/>
      <c r="JW257" s="26"/>
      <c r="JX257" s="26"/>
      <c r="JY257" s="26"/>
      <c r="JZ257" s="26"/>
      <c r="KA257" s="26"/>
      <c r="KB257" s="26"/>
      <c r="KC257" s="26"/>
      <c r="KD257" s="26"/>
      <c r="KE257" s="26"/>
      <c r="KF257" s="26"/>
      <c r="KG257" s="26"/>
      <c r="KH257" s="26"/>
      <c r="KI257" s="26"/>
      <c r="KJ257" s="26"/>
      <c r="KK257" s="26"/>
      <c r="KL257" s="26"/>
      <c r="KM257" s="26"/>
      <c r="KN257" s="26"/>
      <c r="KO257" s="26"/>
      <c r="KP257" s="26"/>
      <c r="KQ257" s="26"/>
      <c r="KR257" s="26"/>
      <c r="KS257" s="26"/>
      <c r="KT257" s="26"/>
      <c r="KU257" s="26"/>
      <c r="KV257" s="26"/>
      <c r="KW257" s="26"/>
      <c r="KX257" s="26"/>
      <c r="KY257" s="26"/>
      <c r="KZ257" s="26"/>
      <c r="LA257" s="26"/>
      <c r="LB257" s="26"/>
      <c r="LC257" s="26"/>
      <c r="LD257" s="26"/>
      <c r="LE257" s="26"/>
      <c r="LF257" s="26"/>
      <c r="LG257" s="26"/>
      <c r="LH257" s="26"/>
      <c r="LI257" s="26"/>
      <c r="LJ257" s="26"/>
      <c r="LK257" s="26"/>
      <c r="LL257" s="26"/>
      <c r="LM257" s="26"/>
      <c r="LN257" s="26"/>
      <c r="LO257" s="26"/>
      <c r="LP257" s="26"/>
      <c r="LQ257" s="26"/>
      <c r="LR257" s="26"/>
      <c r="LS257" s="26"/>
      <c r="LT257" s="26"/>
      <c r="LU257" s="26"/>
      <c r="LV257" s="26"/>
      <c r="LW257" s="26"/>
      <c r="LX257" s="26"/>
      <c r="LY257" s="26"/>
      <c r="LZ257" s="26"/>
      <c r="MA257" s="26"/>
      <c r="MB257" s="26"/>
      <c r="MC257" s="26"/>
      <c r="MD257" s="26"/>
      <c r="ME257" s="26"/>
      <c r="MF257" s="26"/>
      <c r="MG257" s="26"/>
      <c r="MH257" s="26"/>
      <c r="MI257" s="26"/>
      <c r="MJ257" s="26"/>
      <c r="MK257" s="26"/>
      <c r="ML257" s="26"/>
      <c r="MM257" s="26"/>
      <c r="MN257" s="26"/>
      <c r="MO257" s="26"/>
      <c r="MP257" s="26"/>
      <c r="MQ257" s="26"/>
      <c r="MR257" s="26"/>
      <c r="MS257" s="26"/>
      <c r="MT257" s="26"/>
      <c r="MU257" s="26"/>
      <c r="MV257" s="26"/>
      <c r="MW257" s="26"/>
      <c r="MX257" s="26"/>
      <c r="MY257" s="26"/>
      <c r="MZ257" s="26"/>
      <c r="NA257" s="26"/>
      <c r="NB257" s="26"/>
      <c r="NC257" s="26"/>
      <c r="ND257" s="26"/>
      <c r="NE257" s="26"/>
      <c r="NF257" s="26"/>
      <c r="NG257" s="26"/>
      <c r="NH257" s="26"/>
      <c r="NI257" s="26"/>
      <c r="NJ257" s="26"/>
      <c r="NK257" s="26"/>
      <c r="NL257" s="26"/>
      <c r="NM257" s="26"/>
      <c r="NN257" s="26"/>
      <c r="NO257" s="26"/>
      <c r="NP257" s="26"/>
      <c r="NQ257" s="26"/>
      <c r="NR257" s="26"/>
      <c r="NS257" s="26"/>
      <c r="NT257" s="26"/>
      <c r="NU257" s="26"/>
      <c r="NV257" s="26"/>
      <c r="NW257" s="26"/>
      <c r="NX257" s="26"/>
      <c r="NY257" s="26"/>
      <c r="NZ257" s="26"/>
      <c r="OA257" s="26"/>
      <c r="OB257" s="26"/>
      <c r="OC257" s="26"/>
      <c r="OD257" s="26"/>
      <c r="OE257" s="26"/>
      <c r="OF257" s="26"/>
      <c r="OG257" s="26"/>
      <c r="OH257" s="26"/>
      <c r="OI257" s="26"/>
      <c r="OJ257" s="26"/>
      <c r="OK257" s="26"/>
      <c r="OL257" s="26"/>
      <c r="OM257" s="26"/>
      <c r="ON257" s="26"/>
      <c r="OO257" s="26"/>
      <c r="OP257" s="26"/>
      <c r="OQ257" s="26"/>
      <c r="OR257" s="26"/>
      <c r="OS257" s="26"/>
      <c r="OT257" s="26"/>
      <c r="OU257" s="26"/>
      <c r="OV257" s="26"/>
      <c r="OW257" s="26"/>
      <c r="OX257" s="26"/>
      <c r="OY257" s="26"/>
      <c r="OZ257" s="26"/>
      <c r="PA257" s="26"/>
      <c r="PB257" s="26"/>
      <c r="PC257" s="26"/>
      <c r="PD257" s="26"/>
      <c r="PE257" s="26"/>
      <c r="PF257" s="26"/>
      <c r="PG257" s="26"/>
      <c r="PH257" s="26"/>
      <c r="PI257" s="26"/>
      <c r="PJ257" s="26"/>
      <c r="PK257" s="26"/>
      <c r="PL257" s="26"/>
      <c r="PM257" s="26"/>
      <c r="PN257" s="26"/>
      <c r="PO257" s="26"/>
      <c r="PP257" s="26"/>
      <c r="PQ257" s="26"/>
      <c r="PR257" s="26"/>
      <c r="PS257" s="26"/>
      <c r="PT257" s="26"/>
      <c r="PU257" s="26"/>
      <c r="PV257" s="26"/>
      <c r="PW257" s="26"/>
      <c r="PX257" s="26"/>
      <c r="PY257" s="26"/>
      <c r="PZ257" s="26"/>
      <c r="QA257" s="26"/>
      <c r="QB257" s="26"/>
      <c r="QC257" s="26"/>
      <c r="QD257" s="26"/>
      <c r="QE257" s="26"/>
      <c r="QF257" s="26"/>
      <c r="QG257" s="26"/>
      <c r="QH257" s="26"/>
      <c r="QI257" s="26"/>
      <c r="QJ257" s="26"/>
      <c r="QK257" s="26"/>
      <c r="QL257" s="26"/>
      <c r="QM257" s="26"/>
      <c r="QN257" s="26"/>
      <c r="QO257" s="26"/>
      <c r="QP257" s="26"/>
      <c r="QQ257" s="26"/>
      <c r="QR257" s="26"/>
      <c r="QS257" s="26"/>
      <c r="QT257" s="26"/>
      <c r="QU257" s="26"/>
      <c r="QV257" s="26"/>
      <c r="QW257" s="26"/>
      <c r="QX257" s="26"/>
      <c r="QY257" s="26"/>
      <c r="QZ257" s="26"/>
      <c r="RA257" s="26"/>
      <c r="RB257" s="26"/>
      <c r="RC257" s="26"/>
      <c r="RD257" s="26"/>
      <c r="RE257" s="26"/>
      <c r="RF257" s="26"/>
      <c r="RG257" s="26"/>
      <c r="RH257" s="26"/>
      <c r="RI257" s="26"/>
      <c r="RJ257" s="26"/>
      <c r="RK257" s="26"/>
      <c r="RL257" s="26"/>
      <c r="RM257" s="26"/>
      <c r="RN257" s="26"/>
      <c r="RO257" s="26"/>
      <c r="RP257" s="26"/>
      <c r="RQ257" s="26"/>
      <c r="RR257" s="26"/>
      <c r="RS257" s="26"/>
      <c r="RT257" s="26"/>
      <c r="RU257" s="26"/>
      <c r="RV257" s="26"/>
      <c r="RW257" s="26"/>
      <c r="RX257" s="26"/>
      <c r="RY257" s="26"/>
      <c r="RZ257" s="26"/>
      <c r="SA257" s="26"/>
      <c r="SB257" s="26"/>
      <c r="SC257" s="26"/>
      <c r="SD257" s="26"/>
      <c r="SE257" s="26"/>
      <c r="SF257" s="26"/>
      <c r="SG257" s="26"/>
      <c r="SH257" s="26"/>
      <c r="SI257" s="26"/>
      <c r="SJ257" s="26"/>
      <c r="SK257" s="26"/>
      <c r="SL257" s="26"/>
      <c r="SM257" s="26"/>
      <c r="SN257" s="26"/>
      <c r="SO257" s="26"/>
      <c r="SP257" s="26"/>
      <c r="SQ257" s="26"/>
      <c r="SR257" s="26"/>
      <c r="SS257" s="26"/>
      <c r="ST257" s="26"/>
      <c r="SU257" s="26"/>
      <c r="SV257" s="26"/>
      <c r="SW257" s="26"/>
      <c r="SX257" s="26"/>
      <c r="SY257" s="26"/>
      <c r="SZ257" s="26"/>
      <c r="TA257" s="26"/>
      <c r="TB257" s="26"/>
      <c r="TC257" s="26"/>
      <c r="TD257" s="26"/>
      <c r="TE257" s="26"/>
      <c r="TF257" s="26"/>
      <c r="TG257" s="26"/>
      <c r="TH257" s="26"/>
      <c r="TI257" s="26"/>
    </row>
    <row r="258" spans="1:529" s="23" customFormat="1" ht="24" customHeight="1" x14ac:dyDescent="0.25">
      <c r="A258" s="43" t="s">
        <v>362</v>
      </c>
      <c r="B258" s="44" t="str">
        <f>'дод 4'!A170</f>
        <v>7693</v>
      </c>
      <c r="C258" s="44" t="str">
        <f>'дод 4'!B170</f>
        <v>0490</v>
      </c>
      <c r="D258" s="24" t="str">
        <f>'дод 4'!C170</f>
        <v>Інші заходи, пов'язані з економічною діяльністю</v>
      </c>
      <c r="E258" s="66">
        <f t="shared" si="158"/>
        <v>213200</v>
      </c>
      <c r="F258" s="66">
        <v>213200</v>
      </c>
      <c r="G258" s="66"/>
      <c r="H258" s="66"/>
      <c r="I258" s="66"/>
      <c r="J258" s="66">
        <f t="shared" si="160"/>
        <v>0</v>
      </c>
      <c r="K258" s="66"/>
      <c r="L258" s="66"/>
      <c r="M258" s="66"/>
      <c r="N258" s="66"/>
      <c r="O258" s="66"/>
      <c r="P258" s="66">
        <f t="shared" si="159"/>
        <v>213200</v>
      </c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26"/>
      <c r="II258" s="26"/>
      <c r="IJ258" s="26"/>
      <c r="IK258" s="26"/>
      <c r="IL258" s="26"/>
      <c r="IM258" s="26"/>
      <c r="IN258" s="26"/>
      <c r="IO258" s="26"/>
      <c r="IP258" s="26"/>
      <c r="IQ258" s="26"/>
      <c r="IR258" s="26"/>
      <c r="IS258" s="26"/>
      <c r="IT258" s="26"/>
      <c r="IU258" s="26"/>
      <c r="IV258" s="26"/>
      <c r="IW258" s="26"/>
      <c r="IX258" s="26"/>
      <c r="IY258" s="26"/>
      <c r="IZ258" s="26"/>
      <c r="JA258" s="26"/>
      <c r="JB258" s="26"/>
      <c r="JC258" s="26"/>
      <c r="JD258" s="26"/>
      <c r="JE258" s="26"/>
      <c r="JF258" s="26"/>
      <c r="JG258" s="26"/>
      <c r="JH258" s="26"/>
      <c r="JI258" s="26"/>
      <c r="JJ258" s="26"/>
      <c r="JK258" s="26"/>
      <c r="JL258" s="26"/>
      <c r="JM258" s="26"/>
      <c r="JN258" s="26"/>
      <c r="JO258" s="26"/>
      <c r="JP258" s="26"/>
      <c r="JQ258" s="26"/>
      <c r="JR258" s="26"/>
      <c r="JS258" s="26"/>
      <c r="JT258" s="26"/>
      <c r="JU258" s="26"/>
      <c r="JV258" s="26"/>
      <c r="JW258" s="26"/>
      <c r="JX258" s="26"/>
      <c r="JY258" s="26"/>
      <c r="JZ258" s="26"/>
      <c r="KA258" s="26"/>
      <c r="KB258" s="26"/>
      <c r="KC258" s="26"/>
      <c r="KD258" s="26"/>
      <c r="KE258" s="26"/>
      <c r="KF258" s="26"/>
      <c r="KG258" s="26"/>
      <c r="KH258" s="26"/>
      <c r="KI258" s="26"/>
      <c r="KJ258" s="26"/>
      <c r="KK258" s="26"/>
      <c r="KL258" s="26"/>
      <c r="KM258" s="26"/>
      <c r="KN258" s="26"/>
      <c r="KO258" s="26"/>
      <c r="KP258" s="26"/>
      <c r="KQ258" s="26"/>
      <c r="KR258" s="26"/>
      <c r="KS258" s="26"/>
      <c r="KT258" s="26"/>
      <c r="KU258" s="26"/>
      <c r="KV258" s="26"/>
      <c r="KW258" s="26"/>
      <c r="KX258" s="26"/>
      <c r="KY258" s="26"/>
      <c r="KZ258" s="26"/>
      <c r="LA258" s="26"/>
      <c r="LB258" s="26"/>
      <c r="LC258" s="26"/>
      <c r="LD258" s="26"/>
      <c r="LE258" s="26"/>
      <c r="LF258" s="26"/>
      <c r="LG258" s="26"/>
      <c r="LH258" s="26"/>
      <c r="LI258" s="26"/>
      <c r="LJ258" s="26"/>
      <c r="LK258" s="26"/>
      <c r="LL258" s="26"/>
      <c r="LM258" s="26"/>
      <c r="LN258" s="26"/>
      <c r="LO258" s="26"/>
      <c r="LP258" s="26"/>
      <c r="LQ258" s="26"/>
      <c r="LR258" s="26"/>
      <c r="LS258" s="26"/>
      <c r="LT258" s="26"/>
      <c r="LU258" s="26"/>
      <c r="LV258" s="26"/>
      <c r="LW258" s="26"/>
      <c r="LX258" s="26"/>
      <c r="LY258" s="26"/>
      <c r="LZ258" s="26"/>
      <c r="MA258" s="26"/>
      <c r="MB258" s="26"/>
      <c r="MC258" s="26"/>
      <c r="MD258" s="26"/>
      <c r="ME258" s="26"/>
      <c r="MF258" s="26"/>
      <c r="MG258" s="26"/>
      <c r="MH258" s="26"/>
      <c r="MI258" s="26"/>
      <c r="MJ258" s="26"/>
      <c r="MK258" s="26"/>
      <c r="ML258" s="26"/>
      <c r="MM258" s="26"/>
      <c r="MN258" s="26"/>
      <c r="MO258" s="26"/>
      <c r="MP258" s="26"/>
      <c r="MQ258" s="26"/>
      <c r="MR258" s="26"/>
      <c r="MS258" s="26"/>
      <c r="MT258" s="26"/>
      <c r="MU258" s="26"/>
      <c r="MV258" s="26"/>
      <c r="MW258" s="26"/>
      <c r="MX258" s="26"/>
      <c r="MY258" s="26"/>
      <c r="MZ258" s="26"/>
      <c r="NA258" s="26"/>
      <c r="NB258" s="26"/>
      <c r="NC258" s="26"/>
      <c r="ND258" s="26"/>
      <c r="NE258" s="26"/>
      <c r="NF258" s="26"/>
      <c r="NG258" s="26"/>
      <c r="NH258" s="26"/>
      <c r="NI258" s="26"/>
      <c r="NJ258" s="26"/>
      <c r="NK258" s="26"/>
      <c r="NL258" s="26"/>
      <c r="NM258" s="26"/>
      <c r="NN258" s="26"/>
      <c r="NO258" s="26"/>
      <c r="NP258" s="26"/>
      <c r="NQ258" s="26"/>
      <c r="NR258" s="26"/>
      <c r="NS258" s="26"/>
      <c r="NT258" s="26"/>
      <c r="NU258" s="26"/>
      <c r="NV258" s="26"/>
      <c r="NW258" s="26"/>
      <c r="NX258" s="26"/>
      <c r="NY258" s="26"/>
      <c r="NZ258" s="26"/>
      <c r="OA258" s="26"/>
      <c r="OB258" s="26"/>
      <c r="OC258" s="26"/>
      <c r="OD258" s="26"/>
      <c r="OE258" s="26"/>
      <c r="OF258" s="26"/>
      <c r="OG258" s="26"/>
      <c r="OH258" s="26"/>
      <c r="OI258" s="26"/>
      <c r="OJ258" s="26"/>
      <c r="OK258" s="26"/>
      <c r="OL258" s="26"/>
      <c r="OM258" s="26"/>
      <c r="ON258" s="26"/>
      <c r="OO258" s="26"/>
      <c r="OP258" s="26"/>
      <c r="OQ258" s="26"/>
      <c r="OR258" s="26"/>
      <c r="OS258" s="26"/>
      <c r="OT258" s="26"/>
      <c r="OU258" s="26"/>
      <c r="OV258" s="26"/>
      <c r="OW258" s="26"/>
      <c r="OX258" s="26"/>
      <c r="OY258" s="26"/>
      <c r="OZ258" s="26"/>
      <c r="PA258" s="26"/>
      <c r="PB258" s="26"/>
      <c r="PC258" s="26"/>
      <c r="PD258" s="26"/>
      <c r="PE258" s="26"/>
      <c r="PF258" s="26"/>
      <c r="PG258" s="26"/>
      <c r="PH258" s="26"/>
      <c r="PI258" s="26"/>
      <c r="PJ258" s="26"/>
      <c r="PK258" s="26"/>
      <c r="PL258" s="26"/>
      <c r="PM258" s="26"/>
      <c r="PN258" s="26"/>
      <c r="PO258" s="26"/>
      <c r="PP258" s="26"/>
      <c r="PQ258" s="26"/>
      <c r="PR258" s="26"/>
      <c r="PS258" s="26"/>
      <c r="PT258" s="26"/>
      <c r="PU258" s="26"/>
      <c r="PV258" s="26"/>
      <c r="PW258" s="26"/>
      <c r="PX258" s="26"/>
      <c r="PY258" s="26"/>
      <c r="PZ258" s="26"/>
      <c r="QA258" s="26"/>
      <c r="QB258" s="26"/>
      <c r="QC258" s="26"/>
      <c r="QD258" s="26"/>
      <c r="QE258" s="26"/>
      <c r="QF258" s="26"/>
      <c r="QG258" s="26"/>
      <c r="QH258" s="26"/>
      <c r="QI258" s="26"/>
      <c r="QJ258" s="26"/>
      <c r="QK258" s="26"/>
      <c r="QL258" s="26"/>
      <c r="QM258" s="26"/>
      <c r="QN258" s="26"/>
      <c r="QO258" s="26"/>
      <c r="QP258" s="26"/>
      <c r="QQ258" s="26"/>
      <c r="QR258" s="26"/>
      <c r="QS258" s="26"/>
      <c r="QT258" s="26"/>
      <c r="QU258" s="26"/>
      <c r="QV258" s="26"/>
      <c r="QW258" s="26"/>
      <c r="QX258" s="26"/>
      <c r="QY258" s="26"/>
      <c r="QZ258" s="26"/>
      <c r="RA258" s="26"/>
      <c r="RB258" s="26"/>
      <c r="RC258" s="26"/>
      <c r="RD258" s="26"/>
      <c r="RE258" s="26"/>
      <c r="RF258" s="26"/>
      <c r="RG258" s="26"/>
      <c r="RH258" s="26"/>
      <c r="RI258" s="26"/>
      <c r="RJ258" s="26"/>
      <c r="RK258" s="26"/>
      <c r="RL258" s="26"/>
      <c r="RM258" s="26"/>
      <c r="RN258" s="26"/>
      <c r="RO258" s="26"/>
      <c r="RP258" s="26"/>
      <c r="RQ258" s="26"/>
      <c r="RR258" s="26"/>
      <c r="RS258" s="26"/>
      <c r="RT258" s="26"/>
      <c r="RU258" s="26"/>
      <c r="RV258" s="26"/>
      <c r="RW258" s="26"/>
      <c r="RX258" s="26"/>
      <c r="RY258" s="26"/>
      <c r="RZ258" s="26"/>
      <c r="SA258" s="26"/>
      <c r="SB258" s="26"/>
      <c r="SC258" s="26"/>
      <c r="SD258" s="26"/>
      <c r="SE258" s="26"/>
      <c r="SF258" s="26"/>
      <c r="SG258" s="26"/>
      <c r="SH258" s="26"/>
      <c r="SI258" s="26"/>
      <c r="SJ258" s="26"/>
      <c r="SK258" s="26"/>
      <c r="SL258" s="26"/>
      <c r="SM258" s="26"/>
      <c r="SN258" s="26"/>
      <c r="SO258" s="26"/>
      <c r="SP258" s="26"/>
      <c r="SQ258" s="26"/>
      <c r="SR258" s="26"/>
      <c r="SS258" s="26"/>
      <c r="ST258" s="26"/>
      <c r="SU258" s="26"/>
      <c r="SV258" s="26"/>
      <c r="SW258" s="26"/>
      <c r="SX258" s="26"/>
      <c r="SY258" s="26"/>
      <c r="SZ258" s="26"/>
      <c r="TA258" s="26"/>
      <c r="TB258" s="26"/>
      <c r="TC258" s="26"/>
      <c r="TD258" s="26"/>
      <c r="TE258" s="26"/>
      <c r="TF258" s="26"/>
      <c r="TG258" s="26"/>
      <c r="TH258" s="26"/>
      <c r="TI258" s="26"/>
    </row>
    <row r="259" spans="1:529" s="23" customFormat="1" ht="33.75" customHeight="1" x14ac:dyDescent="0.25">
      <c r="A259" s="43">
        <v>3718330</v>
      </c>
      <c r="B259" s="44">
        <f>'дод 4'!A183</f>
        <v>8330</v>
      </c>
      <c r="C259" s="43" t="s">
        <v>99</v>
      </c>
      <c r="D259" s="24" t="str">
        <f>'дод 4'!C183</f>
        <v xml:space="preserve">Інша діяльність у сфері екології та охорони природних ресурсів </v>
      </c>
      <c r="E259" s="66">
        <f t="shared" si="158"/>
        <v>75000</v>
      </c>
      <c r="F259" s="66">
        <v>75000</v>
      </c>
      <c r="G259" s="66"/>
      <c r="H259" s="66"/>
      <c r="I259" s="66"/>
      <c r="J259" s="66">
        <f t="shared" si="160"/>
        <v>0</v>
      </c>
      <c r="K259" s="66"/>
      <c r="L259" s="66"/>
      <c r="M259" s="66"/>
      <c r="N259" s="66"/>
      <c r="O259" s="66"/>
      <c r="P259" s="66">
        <f t="shared" si="159"/>
        <v>75000</v>
      </c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  <c r="IS259" s="26"/>
      <c r="IT259" s="26"/>
      <c r="IU259" s="26"/>
      <c r="IV259" s="26"/>
      <c r="IW259" s="26"/>
      <c r="IX259" s="26"/>
      <c r="IY259" s="26"/>
      <c r="IZ259" s="26"/>
      <c r="JA259" s="26"/>
      <c r="JB259" s="26"/>
      <c r="JC259" s="26"/>
      <c r="JD259" s="26"/>
      <c r="JE259" s="26"/>
      <c r="JF259" s="26"/>
      <c r="JG259" s="26"/>
      <c r="JH259" s="26"/>
      <c r="JI259" s="26"/>
      <c r="JJ259" s="26"/>
      <c r="JK259" s="26"/>
      <c r="JL259" s="26"/>
      <c r="JM259" s="26"/>
      <c r="JN259" s="26"/>
      <c r="JO259" s="26"/>
      <c r="JP259" s="26"/>
      <c r="JQ259" s="26"/>
      <c r="JR259" s="26"/>
      <c r="JS259" s="26"/>
      <c r="JT259" s="26"/>
      <c r="JU259" s="26"/>
      <c r="JV259" s="26"/>
      <c r="JW259" s="26"/>
      <c r="JX259" s="26"/>
      <c r="JY259" s="26"/>
      <c r="JZ259" s="26"/>
      <c r="KA259" s="26"/>
      <c r="KB259" s="26"/>
      <c r="KC259" s="26"/>
      <c r="KD259" s="26"/>
      <c r="KE259" s="26"/>
      <c r="KF259" s="26"/>
      <c r="KG259" s="26"/>
      <c r="KH259" s="26"/>
      <c r="KI259" s="26"/>
      <c r="KJ259" s="26"/>
      <c r="KK259" s="26"/>
      <c r="KL259" s="26"/>
      <c r="KM259" s="26"/>
      <c r="KN259" s="26"/>
      <c r="KO259" s="26"/>
      <c r="KP259" s="26"/>
      <c r="KQ259" s="26"/>
      <c r="KR259" s="26"/>
      <c r="KS259" s="26"/>
      <c r="KT259" s="26"/>
      <c r="KU259" s="26"/>
      <c r="KV259" s="26"/>
      <c r="KW259" s="26"/>
      <c r="KX259" s="26"/>
      <c r="KY259" s="26"/>
      <c r="KZ259" s="26"/>
      <c r="LA259" s="26"/>
      <c r="LB259" s="26"/>
      <c r="LC259" s="26"/>
      <c r="LD259" s="26"/>
      <c r="LE259" s="26"/>
      <c r="LF259" s="26"/>
      <c r="LG259" s="26"/>
      <c r="LH259" s="26"/>
      <c r="LI259" s="26"/>
      <c r="LJ259" s="26"/>
      <c r="LK259" s="26"/>
      <c r="LL259" s="26"/>
      <c r="LM259" s="26"/>
      <c r="LN259" s="26"/>
      <c r="LO259" s="26"/>
      <c r="LP259" s="26"/>
      <c r="LQ259" s="26"/>
      <c r="LR259" s="26"/>
      <c r="LS259" s="26"/>
      <c r="LT259" s="26"/>
      <c r="LU259" s="26"/>
      <c r="LV259" s="26"/>
      <c r="LW259" s="26"/>
      <c r="LX259" s="26"/>
      <c r="LY259" s="26"/>
      <c r="LZ259" s="26"/>
      <c r="MA259" s="26"/>
      <c r="MB259" s="26"/>
      <c r="MC259" s="26"/>
      <c r="MD259" s="26"/>
      <c r="ME259" s="26"/>
      <c r="MF259" s="26"/>
      <c r="MG259" s="26"/>
      <c r="MH259" s="26"/>
      <c r="MI259" s="26"/>
      <c r="MJ259" s="26"/>
      <c r="MK259" s="26"/>
      <c r="ML259" s="26"/>
      <c r="MM259" s="26"/>
      <c r="MN259" s="26"/>
      <c r="MO259" s="26"/>
      <c r="MP259" s="26"/>
      <c r="MQ259" s="26"/>
      <c r="MR259" s="26"/>
      <c r="MS259" s="26"/>
      <c r="MT259" s="26"/>
      <c r="MU259" s="26"/>
      <c r="MV259" s="26"/>
      <c r="MW259" s="26"/>
      <c r="MX259" s="26"/>
      <c r="MY259" s="26"/>
      <c r="MZ259" s="26"/>
      <c r="NA259" s="26"/>
      <c r="NB259" s="26"/>
      <c r="NC259" s="26"/>
      <c r="ND259" s="26"/>
      <c r="NE259" s="26"/>
      <c r="NF259" s="26"/>
      <c r="NG259" s="26"/>
      <c r="NH259" s="26"/>
      <c r="NI259" s="26"/>
      <c r="NJ259" s="26"/>
      <c r="NK259" s="26"/>
      <c r="NL259" s="26"/>
      <c r="NM259" s="26"/>
      <c r="NN259" s="26"/>
      <c r="NO259" s="26"/>
      <c r="NP259" s="26"/>
      <c r="NQ259" s="26"/>
      <c r="NR259" s="26"/>
      <c r="NS259" s="26"/>
      <c r="NT259" s="26"/>
      <c r="NU259" s="26"/>
      <c r="NV259" s="26"/>
      <c r="NW259" s="26"/>
      <c r="NX259" s="26"/>
      <c r="NY259" s="26"/>
      <c r="NZ259" s="26"/>
      <c r="OA259" s="26"/>
      <c r="OB259" s="26"/>
      <c r="OC259" s="26"/>
      <c r="OD259" s="26"/>
      <c r="OE259" s="26"/>
      <c r="OF259" s="26"/>
      <c r="OG259" s="26"/>
      <c r="OH259" s="26"/>
      <c r="OI259" s="26"/>
      <c r="OJ259" s="26"/>
      <c r="OK259" s="26"/>
      <c r="OL259" s="26"/>
      <c r="OM259" s="26"/>
      <c r="ON259" s="26"/>
      <c r="OO259" s="26"/>
      <c r="OP259" s="26"/>
      <c r="OQ259" s="26"/>
      <c r="OR259" s="26"/>
      <c r="OS259" s="26"/>
      <c r="OT259" s="26"/>
      <c r="OU259" s="26"/>
      <c r="OV259" s="26"/>
      <c r="OW259" s="26"/>
      <c r="OX259" s="26"/>
      <c r="OY259" s="26"/>
      <c r="OZ259" s="26"/>
      <c r="PA259" s="26"/>
      <c r="PB259" s="26"/>
      <c r="PC259" s="26"/>
      <c r="PD259" s="26"/>
      <c r="PE259" s="26"/>
      <c r="PF259" s="26"/>
      <c r="PG259" s="26"/>
      <c r="PH259" s="26"/>
      <c r="PI259" s="26"/>
      <c r="PJ259" s="26"/>
      <c r="PK259" s="26"/>
      <c r="PL259" s="26"/>
      <c r="PM259" s="26"/>
      <c r="PN259" s="26"/>
      <c r="PO259" s="26"/>
      <c r="PP259" s="26"/>
      <c r="PQ259" s="26"/>
      <c r="PR259" s="26"/>
      <c r="PS259" s="26"/>
      <c r="PT259" s="26"/>
      <c r="PU259" s="26"/>
      <c r="PV259" s="26"/>
      <c r="PW259" s="26"/>
      <c r="PX259" s="26"/>
      <c r="PY259" s="26"/>
      <c r="PZ259" s="26"/>
      <c r="QA259" s="26"/>
      <c r="QB259" s="26"/>
      <c r="QC259" s="26"/>
      <c r="QD259" s="26"/>
      <c r="QE259" s="26"/>
      <c r="QF259" s="26"/>
      <c r="QG259" s="26"/>
      <c r="QH259" s="26"/>
      <c r="QI259" s="26"/>
      <c r="QJ259" s="26"/>
      <c r="QK259" s="26"/>
      <c r="QL259" s="26"/>
      <c r="QM259" s="26"/>
      <c r="QN259" s="26"/>
      <c r="QO259" s="26"/>
      <c r="QP259" s="26"/>
      <c r="QQ259" s="26"/>
      <c r="QR259" s="26"/>
      <c r="QS259" s="26"/>
      <c r="QT259" s="26"/>
      <c r="QU259" s="26"/>
      <c r="QV259" s="26"/>
      <c r="QW259" s="26"/>
      <c r="QX259" s="26"/>
      <c r="QY259" s="26"/>
      <c r="QZ259" s="26"/>
      <c r="RA259" s="26"/>
      <c r="RB259" s="26"/>
      <c r="RC259" s="26"/>
      <c r="RD259" s="26"/>
      <c r="RE259" s="26"/>
      <c r="RF259" s="26"/>
      <c r="RG259" s="26"/>
      <c r="RH259" s="26"/>
      <c r="RI259" s="26"/>
      <c r="RJ259" s="26"/>
      <c r="RK259" s="26"/>
      <c r="RL259" s="26"/>
      <c r="RM259" s="26"/>
      <c r="RN259" s="26"/>
      <c r="RO259" s="26"/>
      <c r="RP259" s="26"/>
      <c r="RQ259" s="26"/>
      <c r="RR259" s="26"/>
      <c r="RS259" s="26"/>
      <c r="RT259" s="26"/>
      <c r="RU259" s="26"/>
      <c r="RV259" s="26"/>
      <c r="RW259" s="26"/>
      <c r="RX259" s="26"/>
      <c r="RY259" s="26"/>
      <c r="RZ259" s="26"/>
      <c r="SA259" s="26"/>
      <c r="SB259" s="26"/>
      <c r="SC259" s="26"/>
      <c r="SD259" s="26"/>
      <c r="SE259" s="26"/>
      <c r="SF259" s="26"/>
      <c r="SG259" s="26"/>
      <c r="SH259" s="26"/>
      <c r="SI259" s="26"/>
      <c r="SJ259" s="26"/>
      <c r="SK259" s="26"/>
      <c r="SL259" s="26"/>
      <c r="SM259" s="26"/>
      <c r="SN259" s="26"/>
      <c r="SO259" s="26"/>
      <c r="SP259" s="26"/>
      <c r="SQ259" s="26"/>
      <c r="SR259" s="26"/>
      <c r="SS259" s="26"/>
      <c r="ST259" s="26"/>
      <c r="SU259" s="26"/>
      <c r="SV259" s="26"/>
      <c r="SW259" s="26"/>
      <c r="SX259" s="26"/>
      <c r="SY259" s="26"/>
      <c r="SZ259" s="26"/>
      <c r="TA259" s="26"/>
      <c r="TB259" s="26"/>
      <c r="TC259" s="26"/>
      <c r="TD259" s="26"/>
      <c r="TE259" s="26"/>
      <c r="TF259" s="26"/>
      <c r="TG259" s="26"/>
      <c r="TH259" s="26"/>
      <c r="TI259" s="26"/>
    </row>
    <row r="260" spans="1:529" s="23" customFormat="1" ht="26.25" customHeight="1" x14ac:dyDescent="0.25">
      <c r="A260" s="43" t="s">
        <v>238</v>
      </c>
      <c r="B260" s="44" t="str">
        <f>'дод 4'!A184</f>
        <v>8340</v>
      </c>
      <c r="C260" s="43" t="str">
        <f>'дод 4'!B184</f>
        <v>0540</v>
      </c>
      <c r="D260" s="24" t="str">
        <f>'дод 4'!C184</f>
        <v>Природоохоронні заходи за рахунок цільових фондів</v>
      </c>
      <c r="E260" s="66">
        <f t="shared" si="158"/>
        <v>0</v>
      </c>
      <c r="F260" s="66"/>
      <c r="G260" s="66"/>
      <c r="H260" s="66"/>
      <c r="I260" s="66"/>
      <c r="J260" s="66">
        <f t="shared" si="160"/>
        <v>93500</v>
      </c>
      <c r="K260" s="66"/>
      <c r="L260" s="66">
        <f>45000+48500</f>
        <v>93500</v>
      </c>
      <c r="M260" s="66"/>
      <c r="N260" s="66"/>
      <c r="O260" s="66"/>
      <c r="P260" s="66">
        <f t="shared" si="159"/>
        <v>93500</v>
      </c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26"/>
      <c r="II260" s="26"/>
      <c r="IJ260" s="26"/>
      <c r="IK260" s="26"/>
      <c r="IL260" s="26"/>
      <c r="IM260" s="26"/>
      <c r="IN260" s="26"/>
      <c r="IO260" s="26"/>
      <c r="IP260" s="26"/>
      <c r="IQ260" s="26"/>
      <c r="IR260" s="26"/>
      <c r="IS260" s="26"/>
      <c r="IT260" s="26"/>
      <c r="IU260" s="26"/>
      <c r="IV260" s="26"/>
      <c r="IW260" s="26"/>
      <c r="IX260" s="26"/>
      <c r="IY260" s="26"/>
      <c r="IZ260" s="26"/>
      <c r="JA260" s="26"/>
      <c r="JB260" s="26"/>
      <c r="JC260" s="26"/>
      <c r="JD260" s="26"/>
      <c r="JE260" s="26"/>
      <c r="JF260" s="26"/>
      <c r="JG260" s="26"/>
      <c r="JH260" s="26"/>
      <c r="JI260" s="26"/>
      <c r="JJ260" s="26"/>
      <c r="JK260" s="26"/>
      <c r="JL260" s="26"/>
      <c r="JM260" s="26"/>
      <c r="JN260" s="26"/>
      <c r="JO260" s="26"/>
      <c r="JP260" s="26"/>
      <c r="JQ260" s="26"/>
      <c r="JR260" s="26"/>
      <c r="JS260" s="26"/>
      <c r="JT260" s="26"/>
      <c r="JU260" s="26"/>
      <c r="JV260" s="26"/>
      <c r="JW260" s="26"/>
      <c r="JX260" s="26"/>
      <c r="JY260" s="26"/>
      <c r="JZ260" s="26"/>
      <c r="KA260" s="26"/>
      <c r="KB260" s="26"/>
      <c r="KC260" s="26"/>
      <c r="KD260" s="26"/>
      <c r="KE260" s="26"/>
      <c r="KF260" s="26"/>
      <c r="KG260" s="26"/>
      <c r="KH260" s="26"/>
      <c r="KI260" s="26"/>
      <c r="KJ260" s="26"/>
      <c r="KK260" s="26"/>
      <c r="KL260" s="26"/>
      <c r="KM260" s="26"/>
      <c r="KN260" s="26"/>
      <c r="KO260" s="26"/>
      <c r="KP260" s="26"/>
      <c r="KQ260" s="26"/>
      <c r="KR260" s="26"/>
      <c r="KS260" s="26"/>
      <c r="KT260" s="26"/>
      <c r="KU260" s="26"/>
      <c r="KV260" s="26"/>
      <c r="KW260" s="26"/>
      <c r="KX260" s="26"/>
      <c r="KY260" s="26"/>
      <c r="KZ260" s="26"/>
      <c r="LA260" s="26"/>
      <c r="LB260" s="26"/>
      <c r="LC260" s="26"/>
      <c r="LD260" s="26"/>
      <c r="LE260" s="26"/>
      <c r="LF260" s="26"/>
      <c r="LG260" s="26"/>
      <c r="LH260" s="26"/>
      <c r="LI260" s="26"/>
      <c r="LJ260" s="26"/>
      <c r="LK260" s="26"/>
      <c r="LL260" s="26"/>
      <c r="LM260" s="26"/>
      <c r="LN260" s="26"/>
      <c r="LO260" s="26"/>
      <c r="LP260" s="26"/>
      <c r="LQ260" s="26"/>
      <c r="LR260" s="26"/>
      <c r="LS260" s="26"/>
      <c r="LT260" s="26"/>
      <c r="LU260" s="26"/>
      <c r="LV260" s="26"/>
      <c r="LW260" s="26"/>
      <c r="LX260" s="26"/>
      <c r="LY260" s="26"/>
      <c r="LZ260" s="26"/>
      <c r="MA260" s="26"/>
      <c r="MB260" s="26"/>
      <c r="MC260" s="26"/>
      <c r="MD260" s="26"/>
      <c r="ME260" s="26"/>
      <c r="MF260" s="26"/>
      <c r="MG260" s="26"/>
      <c r="MH260" s="26"/>
      <c r="MI260" s="26"/>
      <c r="MJ260" s="26"/>
      <c r="MK260" s="26"/>
      <c r="ML260" s="26"/>
      <c r="MM260" s="26"/>
      <c r="MN260" s="26"/>
      <c r="MO260" s="26"/>
      <c r="MP260" s="26"/>
      <c r="MQ260" s="26"/>
      <c r="MR260" s="26"/>
      <c r="MS260" s="26"/>
      <c r="MT260" s="26"/>
      <c r="MU260" s="26"/>
      <c r="MV260" s="26"/>
      <c r="MW260" s="26"/>
      <c r="MX260" s="26"/>
      <c r="MY260" s="26"/>
      <c r="MZ260" s="26"/>
      <c r="NA260" s="26"/>
      <c r="NB260" s="26"/>
      <c r="NC260" s="26"/>
      <c r="ND260" s="26"/>
      <c r="NE260" s="26"/>
      <c r="NF260" s="26"/>
      <c r="NG260" s="26"/>
      <c r="NH260" s="26"/>
      <c r="NI260" s="26"/>
      <c r="NJ260" s="26"/>
      <c r="NK260" s="26"/>
      <c r="NL260" s="26"/>
      <c r="NM260" s="26"/>
      <c r="NN260" s="26"/>
      <c r="NO260" s="26"/>
      <c r="NP260" s="26"/>
      <c r="NQ260" s="26"/>
      <c r="NR260" s="26"/>
      <c r="NS260" s="26"/>
      <c r="NT260" s="26"/>
      <c r="NU260" s="26"/>
      <c r="NV260" s="26"/>
      <c r="NW260" s="26"/>
      <c r="NX260" s="26"/>
      <c r="NY260" s="26"/>
      <c r="NZ260" s="26"/>
      <c r="OA260" s="26"/>
      <c r="OB260" s="26"/>
      <c r="OC260" s="26"/>
      <c r="OD260" s="26"/>
      <c r="OE260" s="26"/>
      <c r="OF260" s="26"/>
      <c r="OG260" s="26"/>
      <c r="OH260" s="26"/>
      <c r="OI260" s="26"/>
      <c r="OJ260" s="26"/>
      <c r="OK260" s="26"/>
      <c r="OL260" s="26"/>
      <c r="OM260" s="26"/>
      <c r="ON260" s="26"/>
      <c r="OO260" s="26"/>
      <c r="OP260" s="26"/>
      <c r="OQ260" s="26"/>
      <c r="OR260" s="26"/>
      <c r="OS260" s="26"/>
      <c r="OT260" s="26"/>
      <c r="OU260" s="26"/>
      <c r="OV260" s="26"/>
      <c r="OW260" s="26"/>
      <c r="OX260" s="26"/>
      <c r="OY260" s="26"/>
      <c r="OZ260" s="26"/>
      <c r="PA260" s="26"/>
      <c r="PB260" s="26"/>
      <c r="PC260" s="26"/>
      <c r="PD260" s="26"/>
      <c r="PE260" s="26"/>
      <c r="PF260" s="26"/>
      <c r="PG260" s="26"/>
      <c r="PH260" s="26"/>
      <c r="PI260" s="26"/>
      <c r="PJ260" s="26"/>
      <c r="PK260" s="26"/>
      <c r="PL260" s="26"/>
      <c r="PM260" s="26"/>
      <c r="PN260" s="26"/>
      <c r="PO260" s="26"/>
      <c r="PP260" s="26"/>
      <c r="PQ260" s="26"/>
      <c r="PR260" s="26"/>
      <c r="PS260" s="26"/>
      <c r="PT260" s="26"/>
      <c r="PU260" s="26"/>
      <c r="PV260" s="26"/>
      <c r="PW260" s="26"/>
      <c r="PX260" s="26"/>
      <c r="PY260" s="26"/>
      <c r="PZ260" s="26"/>
      <c r="QA260" s="26"/>
      <c r="QB260" s="26"/>
      <c r="QC260" s="26"/>
      <c r="QD260" s="26"/>
      <c r="QE260" s="26"/>
      <c r="QF260" s="26"/>
      <c r="QG260" s="26"/>
      <c r="QH260" s="26"/>
      <c r="QI260" s="26"/>
      <c r="QJ260" s="26"/>
      <c r="QK260" s="26"/>
      <c r="QL260" s="26"/>
      <c r="QM260" s="26"/>
      <c r="QN260" s="26"/>
      <c r="QO260" s="26"/>
      <c r="QP260" s="26"/>
      <c r="QQ260" s="26"/>
      <c r="QR260" s="26"/>
      <c r="QS260" s="26"/>
      <c r="QT260" s="26"/>
      <c r="QU260" s="26"/>
      <c r="QV260" s="26"/>
      <c r="QW260" s="26"/>
      <c r="QX260" s="26"/>
      <c r="QY260" s="26"/>
      <c r="QZ260" s="26"/>
      <c r="RA260" s="26"/>
      <c r="RB260" s="26"/>
      <c r="RC260" s="26"/>
      <c r="RD260" s="26"/>
      <c r="RE260" s="26"/>
      <c r="RF260" s="26"/>
      <c r="RG260" s="26"/>
      <c r="RH260" s="26"/>
      <c r="RI260" s="26"/>
      <c r="RJ260" s="26"/>
      <c r="RK260" s="26"/>
      <c r="RL260" s="26"/>
      <c r="RM260" s="26"/>
      <c r="RN260" s="26"/>
      <c r="RO260" s="26"/>
      <c r="RP260" s="26"/>
      <c r="RQ260" s="26"/>
      <c r="RR260" s="26"/>
      <c r="RS260" s="26"/>
      <c r="RT260" s="26"/>
      <c r="RU260" s="26"/>
      <c r="RV260" s="26"/>
      <c r="RW260" s="26"/>
      <c r="RX260" s="26"/>
      <c r="RY260" s="26"/>
      <c r="RZ260" s="26"/>
      <c r="SA260" s="26"/>
      <c r="SB260" s="26"/>
      <c r="SC260" s="26"/>
      <c r="SD260" s="26"/>
      <c r="SE260" s="26"/>
      <c r="SF260" s="26"/>
      <c r="SG260" s="26"/>
      <c r="SH260" s="26"/>
      <c r="SI260" s="26"/>
      <c r="SJ260" s="26"/>
      <c r="SK260" s="26"/>
      <c r="SL260" s="26"/>
      <c r="SM260" s="26"/>
      <c r="SN260" s="26"/>
      <c r="SO260" s="26"/>
      <c r="SP260" s="26"/>
      <c r="SQ260" s="26"/>
      <c r="SR260" s="26"/>
      <c r="SS260" s="26"/>
      <c r="ST260" s="26"/>
      <c r="SU260" s="26"/>
      <c r="SV260" s="26"/>
      <c r="SW260" s="26"/>
      <c r="SX260" s="26"/>
      <c r="SY260" s="26"/>
      <c r="SZ260" s="26"/>
      <c r="TA260" s="26"/>
      <c r="TB260" s="26"/>
      <c r="TC260" s="26"/>
      <c r="TD260" s="26"/>
      <c r="TE260" s="26"/>
      <c r="TF260" s="26"/>
      <c r="TG260" s="26"/>
      <c r="TH260" s="26"/>
      <c r="TI260" s="26"/>
    </row>
    <row r="261" spans="1:529" s="23" customFormat="1" ht="27" customHeight="1" x14ac:dyDescent="0.25">
      <c r="A261" s="43" t="s">
        <v>239</v>
      </c>
      <c r="B261" s="44" t="str">
        <f>'дод 4'!A187</f>
        <v>8600</v>
      </c>
      <c r="C261" s="44" t="str">
        <f>'дод 4'!B187</f>
        <v>0170</v>
      </c>
      <c r="D261" s="24" t="str">
        <f>'дод 4'!C187</f>
        <v>Обслуговування місцевого боргу</v>
      </c>
      <c r="E261" s="66">
        <f t="shared" si="158"/>
        <v>712065</v>
      </c>
      <c r="F261" s="66">
        <f>28187+238378+445500</f>
        <v>712065</v>
      </c>
      <c r="G261" s="66"/>
      <c r="H261" s="66"/>
      <c r="I261" s="66"/>
      <c r="J261" s="66">
        <f t="shared" si="160"/>
        <v>0</v>
      </c>
      <c r="K261" s="66"/>
      <c r="L261" s="66"/>
      <c r="M261" s="66"/>
      <c r="N261" s="66"/>
      <c r="O261" s="66"/>
      <c r="P261" s="66">
        <f t="shared" si="159"/>
        <v>712065</v>
      </c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  <c r="IS261" s="26"/>
      <c r="IT261" s="26"/>
      <c r="IU261" s="26"/>
      <c r="IV261" s="26"/>
      <c r="IW261" s="26"/>
      <c r="IX261" s="26"/>
      <c r="IY261" s="26"/>
      <c r="IZ261" s="26"/>
      <c r="JA261" s="26"/>
      <c r="JB261" s="26"/>
      <c r="JC261" s="26"/>
      <c r="JD261" s="26"/>
      <c r="JE261" s="26"/>
      <c r="JF261" s="26"/>
      <c r="JG261" s="26"/>
      <c r="JH261" s="26"/>
      <c r="JI261" s="26"/>
      <c r="JJ261" s="26"/>
      <c r="JK261" s="26"/>
      <c r="JL261" s="26"/>
      <c r="JM261" s="26"/>
      <c r="JN261" s="26"/>
      <c r="JO261" s="26"/>
      <c r="JP261" s="26"/>
      <c r="JQ261" s="26"/>
      <c r="JR261" s="26"/>
      <c r="JS261" s="26"/>
      <c r="JT261" s="26"/>
      <c r="JU261" s="26"/>
      <c r="JV261" s="26"/>
      <c r="JW261" s="26"/>
      <c r="JX261" s="26"/>
      <c r="JY261" s="26"/>
      <c r="JZ261" s="26"/>
      <c r="KA261" s="26"/>
      <c r="KB261" s="26"/>
      <c r="KC261" s="26"/>
      <c r="KD261" s="26"/>
      <c r="KE261" s="26"/>
      <c r="KF261" s="26"/>
      <c r="KG261" s="26"/>
      <c r="KH261" s="26"/>
      <c r="KI261" s="26"/>
      <c r="KJ261" s="26"/>
      <c r="KK261" s="26"/>
      <c r="KL261" s="26"/>
      <c r="KM261" s="26"/>
      <c r="KN261" s="26"/>
      <c r="KO261" s="26"/>
      <c r="KP261" s="26"/>
      <c r="KQ261" s="26"/>
      <c r="KR261" s="26"/>
      <c r="KS261" s="26"/>
      <c r="KT261" s="26"/>
      <c r="KU261" s="26"/>
      <c r="KV261" s="26"/>
      <c r="KW261" s="26"/>
      <c r="KX261" s="26"/>
      <c r="KY261" s="26"/>
      <c r="KZ261" s="26"/>
      <c r="LA261" s="26"/>
      <c r="LB261" s="26"/>
      <c r="LC261" s="26"/>
      <c r="LD261" s="26"/>
      <c r="LE261" s="26"/>
      <c r="LF261" s="26"/>
      <c r="LG261" s="26"/>
      <c r="LH261" s="26"/>
      <c r="LI261" s="26"/>
      <c r="LJ261" s="26"/>
      <c r="LK261" s="26"/>
      <c r="LL261" s="26"/>
      <c r="LM261" s="26"/>
      <c r="LN261" s="26"/>
      <c r="LO261" s="26"/>
      <c r="LP261" s="26"/>
      <c r="LQ261" s="26"/>
      <c r="LR261" s="26"/>
      <c r="LS261" s="26"/>
      <c r="LT261" s="26"/>
      <c r="LU261" s="26"/>
      <c r="LV261" s="26"/>
      <c r="LW261" s="26"/>
      <c r="LX261" s="26"/>
      <c r="LY261" s="26"/>
      <c r="LZ261" s="26"/>
      <c r="MA261" s="26"/>
      <c r="MB261" s="26"/>
      <c r="MC261" s="26"/>
      <c r="MD261" s="26"/>
      <c r="ME261" s="26"/>
      <c r="MF261" s="26"/>
      <c r="MG261" s="26"/>
      <c r="MH261" s="26"/>
      <c r="MI261" s="26"/>
      <c r="MJ261" s="26"/>
      <c r="MK261" s="26"/>
      <c r="ML261" s="26"/>
      <c r="MM261" s="26"/>
      <c r="MN261" s="26"/>
      <c r="MO261" s="26"/>
      <c r="MP261" s="26"/>
      <c r="MQ261" s="26"/>
      <c r="MR261" s="26"/>
      <c r="MS261" s="26"/>
      <c r="MT261" s="26"/>
      <c r="MU261" s="26"/>
      <c r="MV261" s="26"/>
      <c r="MW261" s="26"/>
      <c r="MX261" s="26"/>
      <c r="MY261" s="26"/>
      <c r="MZ261" s="26"/>
      <c r="NA261" s="26"/>
      <c r="NB261" s="26"/>
      <c r="NC261" s="26"/>
      <c r="ND261" s="26"/>
      <c r="NE261" s="26"/>
      <c r="NF261" s="26"/>
      <c r="NG261" s="26"/>
      <c r="NH261" s="26"/>
      <c r="NI261" s="26"/>
      <c r="NJ261" s="26"/>
      <c r="NK261" s="26"/>
      <c r="NL261" s="26"/>
      <c r="NM261" s="26"/>
      <c r="NN261" s="26"/>
      <c r="NO261" s="26"/>
      <c r="NP261" s="26"/>
      <c r="NQ261" s="26"/>
      <c r="NR261" s="26"/>
      <c r="NS261" s="26"/>
      <c r="NT261" s="26"/>
      <c r="NU261" s="26"/>
      <c r="NV261" s="26"/>
      <c r="NW261" s="26"/>
      <c r="NX261" s="26"/>
      <c r="NY261" s="26"/>
      <c r="NZ261" s="26"/>
      <c r="OA261" s="26"/>
      <c r="OB261" s="26"/>
      <c r="OC261" s="26"/>
      <c r="OD261" s="26"/>
      <c r="OE261" s="26"/>
      <c r="OF261" s="26"/>
      <c r="OG261" s="26"/>
      <c r="OH261" s="26"/>
      <c r="OI261" s="26"/>
      <c r="OJ261" s="26"/>
      <c r="OK261" s="26"/>
      <c r="OL261" s="26"/>
      <c r="OM261" s="26"/>
      <c r="ON261" s="26"/>
      <c r="OO261" s="26"/>
      <c r="OP261" s="26"/>
      <c r="OQ261" s="26"/>
      <c r="OR261" s="26"/>
      <c r="OS261" s="26"/>
      <c r="OT261" s="26"/>
      <c r="OU261" s="26"/>
      <c r="OV261" s="26"/>
      <c r="OW261" s="26"/>
      <c r="OX261" s="26"/>
      <c r="OY261" s="26"/>
      <c r="OZ261" s="26"/>
      <c r="PA261" s="26"/>
      <c r="PB261" s="26"/>
      <c r="PC261" s="26"/>
      <c r="PD261" s="26"/>
      <c r="PE261" s="26"/>
      <c r="PF261" s="26"/>
      <c r="PG261" s="26"/>
      <c r="PH261" s="26"/>
      <c r="PI261" s="26"/>
      <c r="PJ261" s="26"/>
      <c r="PK261" s="26"/>
      <c r="PL261" s="26"/>
      <c r="PM261" s="26"/>
      <c r="PN261" s="26"/>
      <c r="PO261" s="26"/>
      <c r="PP261" s="26"/>
      <c r="PQ261" s="26"/>
      <c r="PR261" s="26"/>
      <c r="PS261" s="26"/>
      <c r="PT261" s="26"/>
      <c r="PU261" s="26"/>
      <c r="PV261" s="26"/>
      <c r="PW261" s="26"/>
      <c r="PX261" s="26"/>
      <c r="PY261" s="26"/>
      <c r="PZ261" s="26"/>
      <c r="QA261" s="26"/>
      <c r="QB261" s="26"/>
      <c r="QC261" s="26"/>
      <c r="QD261" s="26"/>
      <c r="QE261" s="26"/>
      <c r="QF261" s="26"/>
      <c r="QG261" s="26"/>
      <c r="QH261" s="26"/>
      <c r="QI261" s="26"/>
      <c r="QJ261" s="26"/>
      <c r="QK261" s="26"/>
      <c r="QL261" s="26"/>
      <c r="QM261" s="26"/>
      <c r="QN261" s="26"/>
      <c r="QO261" s="26"/>
      <c r="QP261" s="26"/>
      <c r="QQ261" s="26"/>
      <c r="QR261" s="26"/>
      <c r="QS261" s="26"/>
      <c r="QT261" s="26"/>
      <c r="QU261" s="26"/>
      <c r="QV261" s="26"/>
      <c r="QW261" s="26"/>
      <c r="QX261" s="26"/>
      <c r="QY261" s="26"/>
      <c r="QZ261" s="26"/>
      <c r="RA261" s="26"/>
      <c r="RB261" s="26"/>
      <c r="RC261" s="26"/>
      <c r="RD261" s="26"/>
      <c r="RE261" s="26"/>
      <c r="RF261" s="26"/>
      <c r="RG261" s="26"/>
      <c r="RH261" s="26"/>
      <c r="RI261" s="26"/>
      <c r="RJ261" s="26"/>
      <c r="RK261" s="26"/>
      <c r="RL261" s="26"/>
      <c r="RM261" s="26"/>
      <c r="RN261" s="26"/>
      <c r="RO261" s="26"/>
      <c r="RP261" s="26"/>
      <c r="RQ261" s="26"/>
      <c r="RR261" s="26"/>
      <c r="RS261" s="26"/>
      <c r="RT261" s="26"/>
      <c r="RU261" s="26"/>
      <c r="RV261" s="26"/>
      <c r="RW261" s="26"/>
      <c r="RX261" s="26"/>
      <c r="RY261" s="26"/>
      <c r="RZ261" s="26"/>
      <c r="SA261" s="26"/>
      <c r="SB261" s="26"/>
      <c r="SC261" s="26"/>
      <c r="SD261" s="26"/>
      <c r="SE261" s="26"/>
      <c r="SF261" s="26"/>
      <c r="SG261" s="26"/>
      <c r="SH261" s="26"/>
      <c r="SI261" s="26"/>
      <c r="SJ261" s="26"/>
      <c r="SK261" s="26"/>
      <c r="SL261" s="26"/>
      <c r="SM261" s="26"/>
      <c r="SN261" s="26"/>
      <c r="SO261" s="26"/>
      <c r="SP261" s="26"/>
      <c r="SQ261" s="26"/>
      <c r="SR261" s="26"/>
      <c r="SS261" s="26"/>
      <c r="ST261" s="26"/>
      <c r="SU261" s="26"/>
      <c r="SV261" s="26"/>
      <c r="SW261" s="26"/>
      <c r="SX261" s="26"/>
      <c r="SY261" s="26"/>
      <c r="SZ261" s="26"/>
      <c r="TA261" s="26"/>
      <c r="TB261" s="26"/>
      <c r="TC261" s="26"/>
      <c r="TD261" s="26"/>
      <c r="TE261" s="26"/>
      <c r="TF261" s="26"/>
      <c r="TG261" s="26"/>
      <c r="TH261" s="26"/>
      <c r="TI261" s="26"/>
    </row>
    <row r="262" spans="1:529" s="23" customFormat="1" ht="21" customHeight="1" x14ac:dyDescent="0.25">
      <c r="A262" s="43" t="s">
        <v>253</v>
      </c>
      <c r="B262" s="44" t="str">
        <f>'дод 4'!A188</f>
        <v>8700</v>
      </c>
      <c r="C262" s="44" t="str">
        <f>'дод 4'!B188</f>
        <v>0133</v>
      </c>
      <c r="D262" s="24" t="str">
        <f>'дод 4'!C188</f>
        <v>Резервний фонд</v>
      </c>
      <c r="E262" s="66">
        <f>20000000+40000+102390-13000000-1535318+4392928-570000-1581248-650000-30000-275500</f>
        <v>6893252</v>
      </c>
      <c r="F262" s="66"/>
      <c r="G262" s="66"/>
      <c r="H262" s="66"/>
      <c r="I262" s="66"/>
      <c r="J262" s="66">
        <f t="shared" si="160"/>
        <v>0</v>
      </c>
      <c r="K262" s="66"/>
      <c r="L262" s="66"/>
      <c r="M262" s="66"/>
      <c r="N262" s="66"/>
      <c r="O262" s="66"/>
      <c r="P262" s="66">
        <f t="shared" si="159"/>
        <v>6893252</v>
      </c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  <c r="IT262" s="26"/>
      <c r="IU262" s="26"/>
      <c r="IV262" s="26"/>
      <c r="IW262" s="26"/>
      <c r="IX262" s="26"/>
      <c r="IY262" s="26"/>
      <c r="IZ262" s="26"/>
      <c r="JA262" s="26"/>
      <c r="JB262" s="26"/>
      <c r="JC262" s="26"/>
      <c r="JD262" s="26"/>
      <c r="JE262" s="26"/>
      <c r="JF262" s="26"/>
      <c r="JG262" s="26"/>
      <c r="JH262" s="26"/>
      <c r="JI262" s="26"/>
      <c r="JJ262" s="26"/>
      <c r="JK262" s="26"/>
      <c r="JL262" s="26"/>
      <c r="JM262" s="26"/>
      <c r="JN262" s="26"/>
      <c r="JO262" s="26"/>
      <c r="JP262" s="26"/>
      <c r="JQ262" s="26"/>
      <c r="JR262" s="26"/>
      <c r="JS262" s="26"/>
      <c r="JT262" s="26"/>
      <c r="JU262" s="26"/>
      <c r="JV262" s="26"/>
      <c r="JW262" s="26"/>
      <c r="JX262" s="26"/>
      <c r="JY262" s="26"/>
      <c r="JZ262" s="26"/>
      <c r="KA262" s="26"/>
      <c r="KB262" s="26"/>
      <c r="KC262" s="26"/>
      <c r="KD262" s="26"/>
      <c r="KE262" s="26"/>
      <c r="KF262" s="26"/>
      <c r="KG262" s="26"/>
      <c r="KH262" s="26"/>
      <c r="KI262" s="26"/>
      <c r="KJ262" s="26"/>
      <c r="KK262" s="26"/>
      <c r="KL262" s="26"/>
      <c r="KM262" s="26"/>
      <c r="KN262" s="26"/>
      <c r="KO262" s="26"/>
      <c r="KP262" s="26"/>
      <c r="KQ262" s="26"/>
      <c r="KR262" s="26"/>
      <c r="KS262" s="26"/>
      <c r="KT262" s="26"/>
      <c r="KU262" s="26"/>
      <c r="KV262" s="26"/>
      <c r="KW262" s="26"/>
      <c r="KX262" s="26"/>
      <c r="KY262" s="26"/>
      <c r="KZ262" s="26"/>
      <c r="LA262" s="26"/>
      <c r="LB262" s="26"/>
      <c r="LC262" s="26"/>
      <c r="LD262" s="26"/>
      <c r="LE262" s="26"/>
      <c r="LF262" s="26"/>
      <c r="LG262" s="26"/>
      <c r="LH262" s="26"/>
      <c r="LI262" s="26"/>
      <c r="LJ262" s="26"/>
      <c r="LK262" s="26"/>
      <c r="LL262" s="26"/>
      <c r="LM262" s="26"/>
      <c r="LN262" s="26"/>
      <c r="LO262" s="26"/>
      <c r="LP262" s="26"/>
      <c r="LQ262" s="26"/>
      <c r="LR262" s="26"/>
      <c r="LS262" s="26"/>
      <c r="LT262" s="26"/>
      <c r="LU262" s="26"/>
      <c r="LV262" s="26"/>
      <c r="LW262" s="26"/>
      <c r="LX262" s="26"/>
      <c r="LY262" s="26"/>
      <c r="LZ262" s="26"/>
      <c r="MA262" s="26"/>
      <c r="MB262" s="26"/>
      <c r="MC262" s="26"/>
      <c r="MD262" s="26"/>
      <c r="ME262" s="26"/>
      <c r="MF262" s="26"/>
      <c r="MG262" s="26"/>
      <c r="MH262" s="26"/>
      <c r="MI262" s="26"/>
      <c r="MJ262" s="26"/>
      <c r="MK262" s="26"/>
      <c r="ML262" s="26"/>
      <c r="MM262" s="26"/>
      <c r="MN262" s="26"/>
      <c r="MO262" s="26"/>
      <c r="MP262" s="26"/>
      <c r="MQ262" s="26"/>
      <c r="MR262" s="26"/>
      <c r="MS262" s="26"/>
      <c r="MT262" s="26"/>
      <c r="MU262" s="26"/>
      <c r="MV262" s="26"/>
      <c r="MW262" s="26"/>
      <c r="MX262" s="26"/>
      <c r="MY262" s="26"/>
      <c r="MZ262" s="26"/>
      <c r="NA262" s="26"/>
      <c r="NB262" s="26"/>
      <c r="NC262" s="26"/>
      <c r="ND262" s="26"/>
      <c r="NE262" s="26"/>
      <c r="NF262" s="26"/>
      <c r="NG262" s="26"/>
      <c r="NH262" s="26"/>
      <c r="NI262" s="26"/>
      <c r="NJ262" s="26"/>
      <c r="NK262" s="26"/>
      <c r="NL262" s="26"/>
      <c r="NM262" s="26"/>
      <c r="NN262" s="26"/>
      <c r="NO262" s="26"/>
      <c r="NP262" s="26"/>
      <c r="NQ262" s="26"/>
      <c r="NR262" s="26"/>
      <c r="NS262" s="26"/>
      <c r="NT262" s="26"/>
      <c r="NU262" s="26"/>
      <c r="NV262" s="26"/>
      <c r="NW262" s="26"/>
      <c r="NX262" s="26"/>
      <c r="NY262" s="26"/>
      <c r="NZ262" s="26"/>
      <c r="OA262" s="26"/>
      <c r="OB262" s="26"/>
      <c r="OC262" s="26"/>
      <c r="OD262" s="26"/>
      <c r="OE262" s="26"/>
      <c r="OF262" s="26"/>
      <c r="OG262" s="26"/>
      <c r="OH262" s="26"/>
      <c r="OI262" s="26"/>
      <c r="OJ262" s="26"/>
      <c r="OK262" s="26"/>
      <c r="OL262" s="26"/>
      <c r="OM262" s="26"/>
      <c r="ON262" s="26"/>
      <c r="OO262" s="26"/>
      <c r="OP262" s="26"/>
      <c r="OQ262" s="26"/>
      <c r="OR262" s="26"/>
      <c r="OS262" s="26"/>
      <c r="OT262" s="26"/>
      <c r="OU262" s="26"/>
      <c r="OV262" s="26"/>
      <c r="OW262" s="26"/>
      <c r="OX262" s="26"/>
      <c r="OY262" s="26"/>
      <c r="OZ262" s="26"/>
      <c r="PA262" s="26"/>
      <c r="PB262" s="26"/>
      <c r="PC262" s="26"/>
      <c r="PD262" s="26"/>
      <c r="PE262" s="26"/>
      <c r="PF262" s="26"/>
      <c r="PG262" s="26"/>
      <c r="PH262" s="26"/>
      <c r="PI262" s="26"/>
      <c r="PJ262" s="26"/>
      <c r="PK262" s="26"/>
      <c r="PL262" s="26"/>
      <c r="PM262" s="26"/>
      <c r="PN262" s="26"/>
      <c r="PO262" s="26"/>
      <c r="PP262" s="26"/>
      <c r="PQ262" s="26"/>
      <c r="PR262" s="26"/>
      <c r="PS262" s="26"/>
      <c r="PT262" s="26"/>
      <c r="PU262" s="26"/>
      <c r="PV262" s="26"/>
      <c r="PW262" s="26"/>
      <c r="PX262" s="26"/>
      <c r="PY262" s="26"/>
      <c r="PZ262" s="26"/>
      <c r="QA262" s="26"/>
      <c r="QB262" s="26"/>
      <c r="QC262" s="26"/>
      <c r="QD262" s="26"/>
      <c r="QE262" s="26"/>
      <c r="QF262" s="26"/>
      <c r="QG262" s="26"/>
      <c r="QH262" s="26"/>
      <c r="QI262" s="26"/>
      <c r="QJ262" s="26"/>
      <c r="QK262" s="26"/>
      <c r="QL262" s="26"/>
      <c r="QM262" s="26"/>
      <c r="QN262" s="26"/>
      <c r="QO262" s="26"/>
      <c r="QP262" s="26"/>
      <c r="QQ262" s="26"/>
      <c r="QR262" s="26"/>
      <c r="QS262" s="26"/>
      <c r="QT262" s="26"/>
      <c r="QU262" s="26"/>
      <c r="QV262" s="26"/>
      <c r="QW262" s="26"/>
      <c r="QX262" s="26"/>
      <c r="QY262" s="26"/>
      <c r="QZ262" s="26"/>
      <c r="RA262" s="26"/>
      <c r="RB262" s="26"/>
      <c r="RC262" s="26"/>
      <c r="RD262" s="26"/>
      <c r="RE262" s="26"/>
      <c r="RF262" s="26"/>
      <c r="RG262" s="26"/>
      <c r="RH262" s="26"/>
      <c r="RI262" s="26"/>
      <c r="RJ262" s="26"/>
      <c r="RK262" s="26"/>
      <c r="RL262" s="26"/>
      <c r="RM262" s="26"/>
      <c r="RN262" s="26"/>
      <c r="RO262" s="26"/>
      <c r="RP262" s="26"/>
      <c r="RQ262" s="26"/>
      <c r="RR262" s="26"/>
      <c r="RS262" s="26"/>
      <c r="RT262" s="26"/>
      <c r="RU262" s="26"/>
      <c r="RV262" s="26"/>
      <c r="RW262" s="26"/>
      <c r="RX262" s="26"/>
      <c r="RY262" s="26"/>
      <c r="RZ262" s="26"/>
      <c r="SA262" s="26"/>
      <c r="SB262" s="26"/>
      <c r="SC262" s="26"/>
      <c r="SD262" s="26"/>
      <c r="SE262" s="26"/>
      <c r="SF262" s="26"/>
      <c r="SG262" s="26"/>
      <c r="SH262" s="26"/>
      <c r="SI262" s="26"/>
      <c r="SJ262" s="26"/>
      <c r="SK262" s="26"/>
      <c r="SL262" s="26"/>
      <c r="SM262" s="26"/>
      <c r="SN262" s="26"/>
      <c r="SO262" s="26"/>
      <c r="SP262" s="26"/>
      <c r="SQ262" s="26"/>
      <c r="SR262" s="26"/>
      <c r="SS262" s="26"/>
      <c r="ST262" s="26"/>
      <c r="SU262" s="26"/>
      <c r="SV262" s="26"/>
      <c r="SW262" s="26"/>
      <c r="SX262" s="26"/>
      <c r="SY262" s="26"/>
      <c r="SZ262" s="26"/>
      <c r="TA262" s="26"/>
      <c r="TB262" s="26"/>
      <c r="TC262" s="26"/>
      <c r="TD262" s="26"/>
      <c r="TE262" s="26"/>
      <c r="TF262" s="26"/>
      <c r="TG262" s="26"/>
      <c r="TH262" s="26"/>
      <c r="TI262" s="26"/>
    </row>
    <row r="263" spans="1:529" s="23" customFormat="1" ht="22.5" customHeight="1" x14ac:dyDescent="0.25">
      <c r="A263" s="43" t="s">
        <v>254</v>
      </c>
      <c r="B263" s="44" t="str">
        <f>'дод 4'!A191</f>
        <v>9110</v>
      </c>
      <c r="C263" s="44" t="str">
        <f>'дод 4'!B191</f>
        <v>0180</v>
      </c>
      <c r="D263" s="24" t="str">
        <f>'дод 4'!C191</f>
        <v>Реверсна дотація</v>
      </c>
      <c r="E263" s="66">
        <f>F263+I263</f>
        <v>108116600</v>
      </c>
      <c r="F263" s="66">
        <v>108116600</v>
      </c>
      <c r="G263" s="66"/>
      <c r="H263" s="66"/>
      <c r="I263" s="66"/>
      <c r="J263" s="66">
        <f t="shared" si="160"/>
        <v>0</v>
      </c>
      <c r="K263" s="66"/>
      <c r="L263" s="66"/>
      <c r="M263" s="66"/>
      <c r="N263" s="66"/>
      <c r="O263" s="66"/>
      <c r="P263" s="66">
        <f t="shared" si="159"/>
        <v>108116600</v>
      </c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  <c r="IT263" s="26"/>
      <c r="IU263" s="26"/>
      <c r="IV263" s="26"/>
      <c r="IW263" s="26"/>
      <c r="IX263" s="26"/>
      <c r="IY263" s="26"/>
      <c r="IZ263" s="26"/>
      <c r="JA263" s="26"/>
      <c r="JB263" s="26"/>
      <c r="JC263" s="26"/>
      <c r="JD263" s="26"/>
      <c r="JE263" s="26"/>
      <c r="JF263" s="26"/>
      <c r="JG263" s="26"/>
      <c r="JH263" s="26"/>
      <c r="JI263" s="26"/>
      <c r="JJ263" s="26"/>
      <c r="JK263" s="26"/>
      <c r="JL263" s="26"/>
      <c r="JM263" s="26"/>
      <c r="JN263" s="26"/>
      <c r="JO263" s="26"/>
      <c r="JP263" s="26"/>
      <c r="JQ263" s="26"/>
      <c r="JR263" s="26"/>
      <c r="JS263" s="26"/>
      <c r="JT263" s="26"/>
      <c r="JU263" s="26"/>
      <c r="JV263" s="26"/>
      <c r="JW263" s="26"/>
      <c r="JX263" s="26"/>
      <c r="JY263" s="26"/>
      <c r="JZ263" s="26"/>
      <c r="KA263" s="26"/>
      <c r="KB263" s="26"/>
      <c r="KC263" s="26"/>
      <c r="KD263" s="26"/>
      <c r="KE263" s="26"/>
      <c r="KF263" s="26"/>
      <c r="KG263" s="26"/>
      <c r="KH263" s="26"/>
      <c r="KI263" s="26"/>
      <c r="KJ263" s="26"/>
      <c r="KK263" s="26"/>
      <c r="KL263" s="26"/>
      <c r="KM263" s="26"/>
      <c r="KN263" s="26"/>
      <c r="KO263" s="26"/>
      <c r="KP263" s="26"/>
      <c r="KQ263" s="26"/>
      <c r="KR263" s="26"/>
      <c r="KS263" s="26"/>
      <c r="KT263" s="26"/>
      <c r="KU263" s="26"/>
      <c r="KV263" s="26"/>
      <c r="KW263" s="26"/>
      <c r="KX263" s="26"/>
      <c r="KY263" s="26"/>
      <c r="KZ263" s="26"/>
      <c r="LA263" s="26"/>
      <c r="LB263" s="26"/>
      <c r="LC263" s="26"/>
      <c r="LD263" s="26"/>
      <c r="LE263" s="26"/>
      <c r="LF263" s="26"/>
      <c r="LG263" s="26"/>
      <c r="LH263" s="26"/>
      <c r="LI263" s="26"/>
      <c r="LJ263" s="26"/>
      <c r="LK263" s="26"/>
      <c r="LL263" s="26"/>
      <c r="LM263" s="26"/>
      <c r="LN263" s="26"/>
      <c r="LO263" s="26"/>
      <c r="LP263" s="26"/>
      <c r="LQ263" s="26"/>
      <c r="LR263" s="26"/>
      <c r="LS263" s="26"/>
      <c r="LT263" s="26"/>
      <c r="LU263" s="26"/>
      <c r="LV263" s="26"/>
      <c r="LW263" s="26"/>
      <c r="LX263" s="26"/>
      <c r="LY263" s="26"/>
      <c r="LZ263" s="26"/>
      <c r="MA263" s="26"/>
      <c r="MB263" s="26"/>
      <c r="MC263" s="26"/>
      <c r="MD263" s="26"/>
      <c r="ME263" s="26"/>
      <c r="MF263" s="26"/>
      <c r="MG263" s="26"/>
      <c r="MH263" s="26"/>
      <c r="MI263" s="26"/>
      <c r="MJ263" s="26"/>
      <c r="MK263" s="26"/>
      <c r="ML263" s="26"/>
      <c r="MM263" s="26"/>
      <c r="MN263" s="26"/>
      <c r="MO263" s="26"/>
      <c r="MP263" s="26"/>
      <c r="MQ263" s="26"/>
      <c r="MR263" s="26"/>
      <c r="MS263" s="26"/>
      <c r="MT263" s="26"/>
      <c r="MU263" s="26"/>
      <c r="MV263" s="26"/>
      <c r="MW263" s="26"/>
      <c r="MX263" s="26"/>
      <c r="MY263" s="26"/>
      <c r="MZ263" s="26"/>
      <c r="NA263" s="26"/>
      <c r="NB263" s="26"/>
      <c r="NC263" s="26"/>
      <c r="ND263" s="26"/>
      <c r="NE263" s="26"/>
      <c r="NF263" s="26"/>
      <c r="NG263" s="26"/>
      <c r="NH263" s="26"/>
      <c r="NI263" s="26"/>
      <c r="NJ263" s="26"/>
      <c r="NK263" s="26"/>
      <c r="NL263" s="26"/>
      <c r="NM263" s="26"/>
      <c r="NN263" s="26"/>
      <c r="NO263" s="26"/>
      <c r="NP263" s="26"/>
      <c r="NQ263" s="26"/>
      <c r="NR263" s="26"/>
      <c r="NS263" s="26"/>
      <c r="NT263" s="26"/>
      <c r="NU263" s="26"/>
      <c r="NV263" s="26"/>
      <c r="NW263" s="26"/>
      <c r="NX263" s="26"/>
      <c r="NY263" s="26"/>
      <c r="NZ263" s="26"/>
      <c r="OA263" s="26"/>
      <c r="OB263" s="26"/>
      <c r="OC263" s="26"/>
      <c r="OD263" s="26"/>
      <c r="OE263" s="26"/>
      <c r="OF263" s="26"/>
      <c r="OG263" s="26"/>
      <c r="OH263" s="26"/>
      <c r="OI263" s="26"/>
      <c r="OJ263" s="26"/>
      <c r="OK263" s="26"/>
      <c r="OL263" s="26"/>
      <c r="OM263" s="26"/>
      <c r="ON263" s="26"/>
      <c r="OO263" s="26"/>
      <c r="OP263" s="26"/>
      <c r="OQ263" s="26"/>
      <c r="OR263" s="26"/>
      <c r="OS263" s="26"/>
      <c r="OT263" s="26"/>
      <c r="OU263" s="26"/>
      <c r="OV263" s="26"/>
      <c r="OW263" s="26"/>
      <c r="OX263" s="26"/>
      <c r="OY263" s="26"/>
      <c r="OZ263" s="26"/>
      <c r="PA263" s="26"/>
      <c r="PB263" s="26"/>
      <c r="PC263" s="26"/>
      <c r="PD263" s="26"/>
      <c r="PE263" s="26"/>
      <c r="PF263" s="26"/>
      <c r="PG263" s="26"/>
      <c r="PH263" s="26"/>
      <c r="PI263" s="26"/>
      <c r="PJ263" s="26"/>
      <c r="PK263" s="26"/>
      <c r="PL263" s="26"/>
      <c r="PM263" s="26"/>
      <c r="PN263" s="26"/>
      <c r="PO263" s="26"/>
      <c r="PP263" s="26"/>
      <c r="PQ263" s="26"/>
      <c r="PR263" s="26"/>
      <c r="PS263" s="26"/>
      <c r="PT263" s="26"/>
      <c r="PU263" s="26"/>
      <c r="PV263" s="26"/>
      <c r="PW263" s="26"/>
      <c r="PX263" s="26"/>
      <c r="PY263" s="26"/>
      <c r="PZ263" s="26"/>
      <c r="QA263" s="26"/>
      <c r="QB263" s="26"/>
      <c r="QC263" s="26"/>
      <c r="QD263" s="26"/>
      <c r="QE263" s="26"/>
      <c r="QF263" s="26"/>
      <c r="QG263" s="26"/>
      <c r="QH263" s="26"/>
      <c r="QI263" s="26"/>
      <c r="QJ263" s="26"/>
      <c r="QK263" s="26"/>
      <c r="QL263" s="26"/>
      <c r="QM263" s="26"/>
      <c r="QN263" s="26"/>
      <c r="QO263" s="26"/>
      <c r="QP263" s="26"/>
      <c r="QQ263" s="26"/>
      <c r="QR263" s="26"/>
      <c r="QS263" s="26"/>
      <c r="QT263" s="26"/>
      <c r="QU263" s="26"/>
      <c r="QV263" s="26"/>
      <c r="QW263" s="26"/>
      <c r="QX263" s="26"/>
      <c r="QY263" s="26"/>
      <c r="QZ263" s="26"/>
      <c r="RA263" s="26"/>
      <c r="RB263" s="26"/>
      <c r="RC263" s="26"/>
      <c r="RD263" s="26"/>
      <c r="RE263" s="26"/>
      <c r="RF263" s="26"/>
      <c r="RG263" s="26"/>
      <c r="RH263" s="26"/>
      <c r="RI263" s="26"/>
      <c r="RJ263" s="26"/>
      <c r="RK263" s="26"/>
      <c r="RL263" s="26"/>
      <c r="RM263" s="26"/>
      <c r="RN263" s="26"/>
      <c r="RO263" s="26"/>
      <c r="RP263" s="26"/>
      <c r="RQ263" s="26"/>
      <c r="RR263" s="26"/>
      <c r="RS263" s="26"/>
      <c r="RT263" s="26"/>
      <c r="RU263" s="26"/>
      <c r="RV263" s="26"/>
      <c r="RW263" s="26"/>
      <c r="RX263" s="26"/>
      <c r="RY263" s="26"/>
      <c r="RZ263" s="26"/>
      <c r="SA263" s="26"/>
      <c r="SB263" s="26"/>
      <c r="SC263" s="26"/>
      <c r="SD263" s="26"/>
      <c r="SE263" s="26"/>
      <c r="SF263" s="26"/>
      <c r="SG263" s="26"/>
      <c r="SH263" s="26"/>
      <c r="SI263" s="26"/>
      <c r="SJ263" s="26"/>
      <c r="SK263" s="26"/>
      <c r="SL263" s="26"/>
      <c r="SM263" s="26"/>
      <c r="SN263" s="26"/>
      <c r="SO263" s="26"/>
      <c r="SP263" s="26"/>
      <c r="SQ263" s="26"/>
      <c r="SR263" s="26"/>
      <c r="SS263" s="26"/>
      <c r="ST263" s="26"/>
      <c r="SU263" s="26"/>
      <c r="SV263" s="26"/>
      <c r="SW263" s="26"/>
      <c r="SX263" s="26"/>
      <c r="SY263" s="26"/>
      <c r="SZ263" s="26"/>
      <c r="TA263" s="26"/>
      <c r="TB263" s="26"/>
      <c r="TC263" s="26"/>
      <c r="TD263" s="26"/>
      <c r="TE263" s="26"/>
      <c r="TF263" s="26"/>
      <c r="TG263" s="26"/>
      <c r="TH263" s="26"/>
      <c r="TI263" s="26"/>
    </row>
    <row r="264" spans="1:529" s="31" customFormat="1" ht="21" customHeight="1" x14ac:dyDescent="0.2">
      <c r="A264" s="82"/>
      <c r="B264" s="71"/>
      <c r="C264" s="175"/>
      <c r="D264" s="30" t="s">
        <v>489</v>
      </c>
      <c r="E264" s="63">
        <f>E18+E57+E103+E134+E170+E175+E185+E215+E218+E235+E240+E243+E251+E254</f>
        <v>2028066077.02</v>
      </c>
      <c r="F264" s="63">
        <f t="shared" ref="F264:P264" si="161">F18+F57+F103+F134+F170+F175+F185+F215+F218+F235+F240+F243+F251+F254</f>
        <v>1939697587.02</v>
      </c>
      <c r="G264" s="63">
        <f t="shared" si="161"/>
        <v>891623262</v>
      </c>
      <c r="H264" s="63">
        <f t="shared" si="161"/>
        <v>108146706</v>
      </c>
      <c r="I264" s="63">
        <f t="shared" si="161"/>
        <v>81475238</v>
      </c>
      <c r="J264" s="63">
        <f t="shared" si="161"/>
        <v>686168960.05999994</v>
      </c>
      <c r="K264" s="63">
        <f t="shared" si="161"/>
        <v>525517713.41999996</v>
      </c>
      <c r="L264" s="63">
        <f t="shared" si="161"/>
        <v>143463011.00999999</v>
      </c>
      <c r="M264" s="63">
        <f t="shared" si="161"/>
        <v>9012497</v>
      </c>
      <c r="N264" s="63">
        <f t="shared" si="161"/>
        <v>3270541</v>
      </c>
      <c r="O264" s="63">
        <f t="shared" si="161"/>
        <v>542705949.04999995</v>
      </c>
      <c r="P264" s="63">
        <f t="shared" si="161"/>
        <v>2714235037.0799999</v>
      </c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  <c r="DH264" s="38"/>
      <c r="DI264" s="38"/>
      <c r="DJ264" s="38"/>
      <c r="DK264" s="38"/>
      <c r="DL264" s="38"/>
      <c r="DM264" s="38"/>
      <c r="DN264" s="38"/>
      <c r="DO264" s="38"/>
      <c r="DP264" s="38"/>
      <c r="DQ264" s="38"/>
      <c r="DR264" s="38"/>
      <c r="DS264" s="38"/>
      <c r="DT264" s="38"/>
      <c r="DU264" s="38"/>
      <c r="DV264" s="38"/>
      <c r="DW264" s="38"/>
      <c r="DX264" s="38"/>
      <c r="DY264" s="38"/>
      <c r="DZ264" s="38"/>
      <c r="EA264" s="38"/>
      <c r="EB264" s="38"/>
      <c r="EC264" s="38"/>
      <c r="ED264" s="38"/>
      <c r="EE264" s="38"/>
      <c r="EF264" s="38"/>
      <c r="EG264" s="38"/>
      <c r="EH264" s="38"/>
      <c r="EI264" s="38"/>
      <c r="EJ264" s="38"/>
      <c r="EK264" s="38"/>
      <c r="EL264" s="38"/>
      <c r="EM264" s="38"/>
      <c r="EN264" s="38"/>
      <c r="EO264" s="38"/>
      <c r="EP264" s="38"/>
      <c r="EQ264" s="38"/>
      <c r="ER264" s="38"/>
      <c r="ES264" s="38"/>
      <c r="ET264" s="38"/>
      <c r="EU264" s="38"/>
      <c r="EV264" s="38"/>
      <c r="EW264" s="38"/>
      <c r="EX264" s="38"/>
      <c r="EY264" s="38"/>
      <c r="EZ264" s="38"/>
      <c r="FA264" s="38"/>
      <c r="FB264" s="38"/>
      <c r="FC264" s="38"/>
      <c r="FD264" s="38"/>
      <c r="FE264" s="38"/>
      <c r="FF264" s="38"/>
      <c r="FG264" s="38"/>
      <c r="FH264" s="38"/>
      <c r="FI264" s="38"/>
      <c r="FJ264" s="38"/>
      <c r="FK264" s="38"/>
      <c r="FL264" s="38"/>
      <c r="FM264" s="38"/>
      <c r="FN264" s="38"/>
      <c r="FO264" s="38"/>
      <c r="FP264" s="38"/>
      <c r="FQ264" s="38"/>
      <c r="FR264" s="38"/>
      <c r="FS264" s="38"/>
      <c r="FT264" s="38"/>
      <c r="FU264" s="38"/>
      <c r="FV264" s="38"/>
      <c r="FW264" s="38"/>
      <c r="FX264" s="38"/>
      <c r="FY264" s="38"/>
      <c r="FZ264" s="38"/>
      <c r="GA264" s="38"/>
      <c r="GB264" s="38"/>
      <c r="GC264" s="38"/>
      <c r="GD264" s="38"/>
      <c r="GE264" s="38"/>
      <c r="GF264" s="38"/>
      <c r="GG264" s="38"/>
      <c r="GH264" s="38"/>
      <c r="GI264" s="38"/>
      <c r="GJ264" s="38"/>
      <c r="GK264" s="38"/>
      <c r="GL264" s="38"/>
      <c r="GM264" s="38"/>
      <c r="GN264" s="38"/>
      <c r="GO264" s="38"/>
      <c r="GP264" s="38"/>
      <c r="GQ264" s="38"/>
      <c r="GR264" s="38"/>
      <c r="GS264" s="38"/>
      <c r="GT264" s="38"/>
      <c r="GU264" s="38"/>
      <c r="GV264" s="38"/>
      <c r="GW264" s="38"/>
      <c r="GX264" s="38"/>
      <c r="GY264" s="38"/>
      <c r="GZ264" s="38"/>
      <c r="HA264" s="38"/>
      <c r="HB264" s="38"/>
      <c r="HC264" s="38"/>
      <c r="HD264" s="38"/>
      <c r="HE264" s="38"/>
      <c r="HF264" s="38"/>
      <c r="HG264" s="38"/>
      <c r="HH264" s="38"/>
      <c r="HI264" s="38"/>
      <c r="HJ264" s="38"/>
      <c r="HK264" s="38"/>
      <c r="HL264" s="38"/>
      <c r="HM264" s="38"/>
      <c r="HN264" s="38"/>
      <c r="HO264" s="38"/>
      <c r="HP264" s="38"/>
      <c r="HQ264" s="38"/>
      <c r="HR264" s="38"/>
      <c r="HS264" s="38"/>
      <c r="HT264" s="38"/>
      <c r="HU264" s="38"/>
      <c r="HV264" s="38"/>
      <c r="HW264" s="38"/>
      <c r="HX264" s="38"/>
      <c r="HY264" s="38"/>
      <c r="HZ264" s="38"/>
      <c r="IA264" s="38"/>
      <c r="IB264" s="38"/>
      <c r="IC264" s="38"/>
      <c r="ID264" s="38"/>
      <c r="IE264" s="38"/>
      <c r="IF264" s="38"/>
      <c r="IG264" s="38"/>
      <c r="IH264" s="38"/>
      <c r="II264" s="38"/>
      <c r="IJ264" s="38"/>
      <c r="IK264" s="38"/>
      <c r="IL264" s="38"/>
      <c r="IM264" s="38"/>
      <c r="IN264" s="38"/>
      <c r="IO264" s="38"/>
      <c r="IP264" s="38"/>
      <c r="IQ264" s="38"/>
      <c r="IR264" s="38"/>
      <c r="IS264" s="38"/>
      <c r="IT264" s="38"/>
      <c r="IU264" s="38"/>
      <c r="IV264" s="38"/>
      <c r="IW264" s="38"/>
      <c r="IX264" s="38"/>
      <c r="IY264" s="38"/>
      <c r="IZ264" s="38"/>
      <c r="JA264" s="38"/>
      <c r="JB264" s="38"/>
      <c r="JC264" s="38"/>
      <c r="JD264" s="38"/>
      <c r="JE264" s="38"/>
      <c r="JF264" s="38"/>
      <c r="JG264" s="38"/>
      <c r="JH264" s="38"/>
      <c r="JI264" s="38"/>
      <c r="JJ264" s="38"/>
      <c r="JK264" s="38"/>
      <c r="JL264" s="38"/>
      <c r="JM264" s="38"/>
      <c r="JN264" s="38"/>
      <c r="JO264" s="38"/>
      <c r="JP264" s="38"/>
      <c r="JQ264" s="38"/>
      <c r="JR264" s="38"/>
      <c r="JS264" s="38"/>
      <c r="JT264" s="38"/>
      <c r="JU264" s="38"/>
      <c r="JV264" s="38"/>
      <c r="JW264" s="38"/>
      <c r="JX264" s="38"/>
      <c r="JY264" s="38"/>
      <c r="JZ264" s="38"/>
      <c r="KA264" s="38"/>
      <c r="KB264" s="38"/>
      <c r="KC264" s="38"/>
      <c r="KD264" s="38"/>
      <c r="KE264" s="38"/>
      <c r="KF264" s="38"/>
      <c r="KG264" s="38"/>
      <c r="KH264" s="38"/>
      <c r="KI264" s="38"/>
      <c r="KJ264" s="38"/>
      <c r="KK264" s="38"/>
      <c r="KL264" s="38"/>
      <c r="KM264" s="38"/>
      <c r="KN264" s="38"/>
      <c r="KO264" s="38"/>
      <c r="KP264" s="38"/>
      <c r="KQ264" s="38"/>
      <c r="KR264" s="38"/>
      <c r="KS264" s="38"/>
      <c r="KT264" s="38"/>
      <c r="KU264" s="38"/>
      <c r="KV264" s="38"/>
      <c r="KW264" s="38"/>
      <c r="KX264" s="38"/>
      <c r="KY264" s="38"/>
      <c r="KZ264" s="38"/>
      <c r="LA264" s="38"/>
      <c r="LB264" s="38"/>
      <c r="LC264" s="38"/>
      <c r="LD264" s="38"/>
      <c r="LE264" s="38"/>
      <c r="LF264" s="38"/>
      <c r="LG264" s="38"/>
      <c r="LH264" s="38"/>
      <c r="LI264" s="38"/>
      <c r="LJ264" s="38"/>
      <c r="LK264" s="38"/>
      <c r="LL264" s="38"/>
      <c r="LM264" s="38"/>
      <c r="LN264" s="38"/>
      <c r="LO264" s="38"/>
      <c r="LP264" s="38"/>
      <c r="LQ264" s="38"/>
      <c r="LR264" s="38"/>
      <c r="LS264" s="38"/>
      <c r="LT264" s="38"/>
      <c r="LU264" s="38"/>
      <c r="LV264" s="38"/>
      <c r="LW264" s="38"/>
      <c r="LX264" s="38"/>
      <c r="LY264" s="38"/>
      <c r="LZ264" s="38"/>
      <c r="MA264" s="38"/>
      <c r="MB264" s="38"/>
      <c r="MC264" s="38"/>
      <c r="MD264" s="38"/>
      <c r="ME264" s="38"/>
      <c r="MF264" s="38"/>
      <c r="MG264" s="38"/>
      <c r="MH264" s="38"/>
      <c r="MI264" s="38"/>
      <c r="MJ264" s="38"/>
      <c r="MK264" s="38"/>
      <c r="ML264" s="38"/>
      <c r="MM264" s="38"/>
      <c r="MN264" s="38"/>
      <c r="MO264" s="38"/>
      <c r="MP264" s="38"/>
      <c r="MQ264" s="38"/>
      <c r="MR264" s="38"/>
      <c r="MS264" s="38"/>
      <c r="MT264" s="38"/>
      <c r="MU264" s="38"/>
      <c r="MV264" s="38"/>
      <c r="MW264" s="38"/>
      <c r="MX264" s="38"/>
      <c r="MY264" s="38"/>
      <c r="MZ264" s="38"/>
      <c r="NA264" s="38"/>
      <c r="NB264" s="38"/>
      <c r="NC264" s="38"/>
      <c r="ND264" s="38"/>
      <c r="NE264" s="38"/>
      <c r="NF264" s="38"/>
      <c r="NG264" s="38"/>
      <c r="NH264" s="38"/>
      <c r="NI264" s="38"/>
      <c r="NJ264" s="38"/>
      <c r="NK264" s="38"/>
      <c r="NL264" s="38"/>
      <c r="NM264" s="38"/>
      <c r="NN264" s="38"/>
      <c r="NO264" s="38"/>
      <c r="NP264" s="38"/>
      <c r="NQ264" s="38"/>
      <c r="NR264" s="38"/>
      <c r="NS264" s="38"/>
      <c r="NT264" s="38"/>
      <c r="NU264" s="38"/>
      <c r="NV264" s="38"/>
      <c r="NW264" s="38"/>
      <c r="NX264" s="38"/>
      <c r="NY264" s="38"/>
      <c r="NZ264" s="38"/>
      <c r="OA264" s="38"/>
      <c r="OB264" s="38"/>
      <c r="OC264" s="38"/>
      <c r="OD264" s="38"/>
      <c r="OE264" s="38"/>
      <c r="OF264" s="38"/>
      <c r="OG264" s="38"/>
      <c r="OH264" s="38"/>
      <c r="OI264" s="38"/>
      <c r="OJ264" s="38"/>
      <c r="OK264" s="38"/>
      <c r="OL264" s="38"/>
      <c r="OM264" s="38"/>
      <c r="ON264" s="38"/>
      <c r="OO264" s="38"/>
      <c r="OP264" s="38"/>
      <c r="OQ264" s="38"/>
      <c r="OR264" s="38"/>
      <c r="OS264" s="38"/>
      <c r="OT264" s="38"/>
      <c r="OU264" s="38"/>
      <c r="OV264" s="38"/>
      <c r="OW264" s="38"/>
      <c r="OX264" s="38"/>
      <c r="OY264" s="38"/>
      <c r="OZ264" s="38"/>
      <c r="PA264" s="38"/>
      <c r="PB264" s="38"/>
      <c r="PC264" s="38"/>
      <c r="PD264" s="38"/>
      <c r="PE264" s="38"/>
      <c r="PF264" s="38"/>
      <c r="PG264" s="38"/>
      <c r="PH264" s="38"/>
      <c r="PI264" s="38"/>
      <c r="PJ264" s="38"/>
      <c r="PK264" s="38"/>
      <c r="PL264" s="38"/>
      <c r="PM264" s="38"/>
      <c r="PN264" s="38"/>
      <c r="PO264" s="38"/>
      <c r="PP264" s="38"/>
      <c r="PQ264" s="38"/>
      <c r="PR264" s="38"/>
      <c r="PS264" s="38"/>
      <c r="PT264" s="38"/>
      <c r="PU264" s="38"/>
      <c r="PV264" s="38"/>
      <c r="PW264" s="38"/>
      <c r="PX264" s="38"/>
      <c r="PY264" s="38"/>
      <c r="PZ264" s="38"/>
      <c r="QA264" s="38"/>
      <c r="QB264" s="38"/>
      <c r="QC264" s="38"/>
      <c r="QD264" s="38"/>
      <c r="QE264" s="38"/>
      <c r="QF264" s="38"/>
      <c r="QG264" s="38"/>
      <c r="QH264" s="38"/>
      <c r="QI264" s="38"/>
      <c r="QJ264" s="38"/>
      <c r="QK264" s="38"/>
      <c r="QL264" s="38"/>
      <c r="QM264" s="38"/>
      <c r="QN264" s="38"/>
      <c r="QO264" s="38"/>
      <c r="QP264" s="38"/>
      <c r="QQ264" s="38"/>
      <c r="QR264" s="38"/>
      <c r="QS264" s="38"/>
      <c r="QT264" s="38"/>
      <c r="QU264" s="38"/>
      <c r="QV264" s="38"/>
      <c r="QW264" s="38"/>
      <c r="QX264" s="38"/>
      <c r="QY264" s="38"/>
      <c r="QZ264" s="38"/>
      <c r="RA264" s="38"/>
      <c r="RB264" s="38"/>
      <c r="RC264" s="38"/>
      <c r="RD264" s="38"/>
      <c r="RE264" s="38"/>
      <c r="RF264" s="38"/>
      <c r="RG264" s="38"/>
      <c r="RH264" s="38"/>
      <c r="RI264" s="38"/>
      <c r="RJ264" s="38"/>
      <c r="RK264" s="38"/>
      <c r="RL264" s="38"/>
      <c r="RM264" s="38"/>
      <c r="RN264" s="38"/>
      <c r="RO264" s="38"/>
      <c r="RP264" s="38"/>
      <c r="RQ264" s="38"/>
      <c r="RR264" s="38"/>
      <c r="RS264" s="38"/>
      <c r="RT264" s="38"/>
      <c r="RU264" s="38"/>
      <c r="RV264" s="38"/>
      <c r="RW264" s="38"/>
      <c r="RX264" s="38"/>
      <c r="RY264" s="38"/>
      <c r="RZ264" s="38"/>
      <c r="SA264" s="38"/>
      <c r="SB264" s="38"/>
      <c r="SC264" s="38"/>
      <c r="SD264" s="38"/>
      <c r="SE264" s="38"/>
      <c r="SF264" s="38"/>
      <c r="SG264" s="38"/>
      <c r="SH264" s="38"/>
      <c r="SI264" s="38"/>
      <c r="SJ264" s="38"/>
      <c r="SK264" s="38"/>
      <c r="SL264" s="38"/>
      <c r="SM264" s="38"/>
      <c r="SN264" s="38"/>
      <c r="SO264" s="38"/>
      <c r="SP264" s="38"/>
      <c r="SQ264" s="38"/>
      <c r="SR264" s="38"/>
      <c r="SS264" s="38"/>
      <c r="ST264" s="38"/>
      <c r="SU264" s="38"/>
      <c r="SV264" s="38"/>
      <c r="SW264" s="38"/>
      <c r="SX264" s="38"/>
      <c r="SY264" s="38"/>
      <c r="SZ264" s="38"/>
      <c r="TA264" s="38"/>
      <c r="TB264" s="38"/>
      <c r="TC264" s="38"/>
      <c r="TD264" s="38"/>
      <c r="TE264" s="38"/>
      <c r="TF264" s="38"/>
      <c r="TG264" s="38"/>
      <c r="TH264" s="38"/>
      <c r="TI264" s="38"/>
    </row>
    <row r="265" spans="1:529" s="40" customFormat="1" ht="21" customHeight="1" x14ac:dyDescent="0.25">
      <c r="A265" s="151"/>
      <c r="B265" s="72"/>
      <c r="C265" s="64"/>
      <c r="D265" s="33" t="s">
        <v>466</v>
      </c>
      <c r="E265" s="65">
        <f>E59+E60+E105+E106+E187</f>
        <v>423878400</v>
      </c>
      <c r="F265" s="65">
        <f t="shared" ref="F265:P265" si="162">F59+F60+F105+F106+F187</f>
        <v>423878400</v>
      </c>
      <c r="G265" s="65">
        <f t="shared" si="162"/>
        <v>296702414</v>
      </c>
      <c r="H265" s="65">
        <f t="shared" si="162"/>
        <v>0</v>
      </c>
      <c r="I265" s="65">
        <f t="shared" si="162"/>
        <v>0</v>
      </c>
      <c r="J265" s="65">
        <f t="shared" si="162"/>
        <v>13809968.930000002</v>
      </c>
      <c r="K265" s="65">
        <f t="shared" si="162"/>
        <v>13809968.930000002</v>
      </c>
      <c r="L265" s="65">
        <f t="shared" si="162"/>
        <v>0</v>
      </c>
      <c r="M265" s="65">
        <f t="shared" si="162"/>
        <v>0</v>
      </c>
      <c r="N265" s="65">
        <f t="shared" si="162"/>
        <v>0</v>
      </c>
      <c r="O265" s="65">
        <f t="shared" si="162"/>
        <v>13809968.930000002</v>
      </c>
      <c r="P265" s="65">
        <f t="shared" si="162"/>
        <v>437688368.93000001</v>
      </c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  <c r="EM265" s="39"/>
      <c r="EN265" s="39"/>
      <c r="EO265" s="39"/>
      <c r="EP265" s="39"/>
      <c r="EQ265" s="39"/>
      <c r="ER265" s="39"/>
      <c r="ES265" s="39"/>
      <c r="ET265" s="39"/>
      <c r="EU265" s="39"/>
      <c r="EV265" s="39"/>
      <c r="EW265" s="39"/>
      <c r="EX265" s="39"/>
      <c r="EY265" s="39"/>
      <c r="EZ265" s="39"/>
      <c r="FA265" s="39"/>
      <c r="FB265" s="39"/>
      <c r="FC265" s="39"/>
      <c r="FD265" s="39"/>
      <c r="FE265" s="39"/>
      <c r="FF265" s="39"/>
      <c r="FG265" s="39"/>
      <c r="FH265" s="39"/>
      <c r="FI265" s="39"/>
      <c r="FJ265" s="39"/>
      <c r="FK265" s="39"/>
      <c r="FL265" s="39"/>
      <c r="FM265" s="39"/>
      <c r="FN265" s="39"/>
      <c r="FO265" s="39"/>
      <c r="FP265" s="39"/>
      <c r="FQ265" s="39"/>
      <c r="FR265" s="39"/>
      <c r="FS265" s="39"/>
      <c r="FT265" s="39"/>
      <c r="FU265" s="39"/>
      <c r="FV265" s="39"/>
      <c r="FW265" s="39"/>
      <c r="FX265" s="39"/>
      <c r="FY265" s="39"/>
      <c r="FZ265" s="39"/>
      <c r="GA265" s="39"/>
      <c r="GB265" s="39"/>
      <c r="GC265" s="39"/>
      <c r="GD265" s="39"/>
      <c r="GE265" s="39"/>
      <c r="GF265" s="39"/>
      <c r="GG265" s="39"/>
      <c r="GH265" s="39"/>
      <c r="GI265" s="39"/>
      <c r="GJ265" s="39"/>
      <c r="GK265" s="39"/>
      <c r="GL265" s="39"/>
      <c r="GM265" s="39"/>
      <c r="GN265" s="39"/>
      <c r="GO265" s="39"/>
      <c r="GP265" s="39"/>
      <c r="GQ265" s="39"/>
      <c r="GR265" s="39"/>
      <c r="GS265" s="39"/>
      <c r="GT265" s="39"/>
      <c r="GU265" s="39"/>
      <c r="GV265" s="39"/>
      <c r="GW265" s="39"/>
      <c r="GX265" s="39"/>
      <c r="GY265" s="39"/>
      <c r="GZ265" s="39"/>
      <c r="HA265" s="39"/>
      <c r="HB265" s="39"/>
      <c r="HC265" s="39"/>
      <c r="HD265" s="39"/>
      <c r="HE265" s="39"/>
      <c r="HF265" s="39"/>
      <c r="HG265" s="39"/>
      <c r="HH265" s="39"/>
      <c r="HI265" s="39"/>
      <c r="HJ265" s="39"/>
      <c r="HK265" s="39"/>
      <c r="HL265" s="39"/>
      <c r="HM265" s="39"/>
      <c r="HN265" s="39"/>
      <c r="HO265" s="39"/>
      <c r="HP265" s="39"/>
      <c r="HQ265" s="39"/>
      <c r="HR265" s="39"/>
      <c r="HS265" s="39"/>
      <c r="HT265" s="39"/>
      <c r="HU265" s="39"/>
      <c r="HV265" s="39"/>
      <c r="HW265" s="39"/>
      <c r="HX265" s="39"/>
      <c r="HY265" s="39"/>
      <c r="HZ265" s="39"/>
      <c r="IA265" s="39"/>
      <c r="IB265" s="39"/>
      <c r="IC265" s="39"/>
      <c r="ID265" s="39"/>
      <c r="IE265" s="39"/>
      <c r="IF265" s="39"/>
      <c r="IG265" s="39"/>
      <c r="IH265" s="39"/>
      <c r="II265" s="39"/>
      <c r="IJ265" s="39"/>
      <c r="IK265" s="39"/>
      <c r="IL265" s="39"/>
      <c r="IM265" s="39"/>
      <c r="IN265" s="39"/>
      <c r="IO265" s="39"/>
      <c r="IP265" s="39"/>
      <c r="IQ265" s="39"/>
      <c r="IR265" s="39"/>
      <c r="IS265" s="39"/>
      <c r="IT265" s="39"/>
      <c r="IU265" s="39"/>
      <c r="IV265" s="39"/>
      <c r="IW265" s="39"/>
      <c r="IX265" s="39"/>
      <c r="IY265" s="39"/>
      <c r="IZ265" s="39"/>
      <c r="JA265" s="39"/>
      <c r="JB265" s="39"/>
      <c r="JC265" s="39"/>
      <c r="JD265" s="39"/>
      <c r="JE265" s="39"/>
      <c r="JF265" s="39"/>
      <c r="JG265" s="39"/>
      <c r="JH265" s="39"/>
      <c r="JI265" s="39"/>
      <c r="JJ265" s="39"/>
      <c r="JK265" s="39"/>
      <c r="JL265" s="39"/>
      <c r="JM265" s="39"/>
      <c r="JN265" s="39"/>
      <c r="JO265" s="39"/>
      <c r="JP265" s="39"/>
      <c r="JQ265" s="39"/>
      <c r="JR265" s="39"/>
      <c r="JS265" s="39"/>
      <c r="JT265" s="39"/>
      <c r="JU265" s="39"/>
      <c r="JV265" s="39"/>
      <c r="JW265" s="39"/>
      <c r="JX265" s="39"/>
      <c r="JY265" s="39"/>
      <c r="JZ265" s="39"/>
      <c r="KA265" s="39"/>
      <c r="KB265" s="39"/>
      <c r="KC265" s="39"/>
      <c r="KD265" s="39"/>
      <c r="KE265" s="39"/>
      <c r="KF265" s="39"/>
      <c r="KG265" s="39"/>
      <c r="KH265" s="39"/>
      <c r="KI265" s="39"/>
      <c r="KJ265" s="39"/>
      <c r="KK265" s="39"/>
      <c r="KL265" s="39"/>
      <c r="KM265" s="39"/>
      <c r="KN265" s="39"/>
      <c r="KO265" s="39"/>
      <c r="KP265" s="39"/>
      <c r="KQ265" s="39"/>
      <c r="KR265" s="39"/>
      <c r="KS265" s="39"/>
      <c r="KT265" s="39"/>
      <c r="KU265" s="39"/>
      <c r="KV265" s="39"/>
      <c r="KW265" s="39"/>
      <c r="KX265" s="39"/>
      <c r="KY265" s="39"/>
      <c r="KZ265" s="39"/>
      <c r="LA265" s="39"/>
      <c r="LB265" s="39"/>
      <c r="LC265" s="39"/>
      <c r="LD265" s="39"/>
      <c r="LE265" s="39"/>
      <c r="LF265" s="39"/>
      <c r="LG265" s="39"/>
      <c r="LH265" s="39"/>
      <c r="LI265" s="39"/>
      <c r="LJ265" s="39"/>
      <c r="LK265" s="39"/>
      <c r="LL265" s="39"/>
      <c r="LM265" s="39"/>
      <c r="LN265" s="39"/>
      <c r="LO265" s="39"/>
      <c r="LP265" s="39"/>
      <c r="LQ265" s="39"/>
      <c r="LR265" s="39"/>
      <c r="LS265" s="39"/>
      <c r="LT265" s="39"/>
      <c r="LU265" s="39"/>
      <c r="LV265" s="39"/>
      <c r="LW265" s="39"/>
      <c r="LX265" s="39"/>
      <c r="LY265" s="39"/>
      <c r="LZ265" s="39"/>
      <c r="MA265" s="39"/>
      <c r="MB265" s="39"/>
      <c r="MC265" s="39"/>
      <c r="MD265" s="39"/>
      <c r="ME265" s="39"/>
      <c r="MF265" s="39"/>
      <c r="MG265" s="39"/>
      <c r="MH265" s="39"/>
      <c r="MI265" s="39"/>
      <c r="MJ265" s="39"/>
      <c r="MK265" s="39"/>
      <c r="ML265" s="39"/>
      <c r="MM265" s="39"/>
      <c r="MN265" s="39"/>
      <c r="MO265" s="39"/>
      <c r="MP265" s="39"/>
      <c r="MQ265" s="39"/>
      <c r="MR265" s="39"/>
      <c r="MS265" s="39"/>
      <c r="MT265" s="39"/>
      <c r="MU265" s="39"/>
      <c r="MV265" s="39"/>
      <c r="MW265" s="39"/>
      <c r="MX265" s="39"/>
      <c r="MY265" s="39"/>
      <c r="MZ265" s="39"/>
      <c r="NA265" s="39"/>
      <c r="NB265" s="39"/>
      <c r="NC265" s="39"/>
      <c r="ND265" s="39"/>
      <c r="NE265" s="39"/>
      <c r="NF265" s="39"/>
      <c r="NG265" s="39"/>
      <c r="NH265" s="39"/>
      <c r="NI265" s="39"/>
      <c r="NJ265" s="39"/>
      <c r="NK265" s="39"/>
      <c r="NL265" s="39"/>
      <c r="NM265" s="39"/>
      <c r="NN265" s="39"/>
      <c r="NO265" s="39"/>
      <c r="NP265" s="39"/>
      <c r="NQ265" s="39"/>
      <c r="NR265" s="39"/>
      <c r="NS265" s="39"/>
      <c r="NT265" s="39"/>
      <c r="NU265" s="39"/>
      <c r="NV265" s="39"/>
      <c r="NW265" s="39"/>
      <c r="NX265" s="39"/>
      <c r="NY265" s="39"/>
      <c r="NZ265" s="39"/>
      <c r="OA265" s="39"/>
      <c r="OB265" s="39"/>
      <c r="OC265" s="39"/>
      <c r="OD265" s="39"/>
      <c r="OE265" s="39"/>
      <c r="OF265" s="39"/>
      <c r="OG265" s="39"/>
      <c r="OH265" s="39"/>
      <c r="OI265" s="39"/>
      <c r="OJ265" s="39"/>
      <c r="OK265" s="39"/>
      <c r="OL265" s="39"/>
      <c r="OM265" s="39"/>
      <c r="ON265" s="39"/>
      <c r="OO265" s="39"/>
      <c r="OP265" s="39"/>
      <c r="OQ265" s="39"/>
      <c r="OR265" s="39"/>
      <c r="OS265" s="39"/>
      <c r="OT265" s="39"/>
      <c r="OU265" s="39"/>
      <c r="OV265" s="39"/>
      <c r="OW265" s="39"/>
      <c r="OX265" s="39"/>
      <c r="OY265" s="39"/>
      <c r="OZ265" s="39"/>
      <c r="PA265" s="39"/>
      <c r="PB265" s="39"/>
      <c r="PC265" s="39"/>
      <c r="PD265" s="39"/>
      <c r="PE265" s="39"/>
      <c r="PF265" s="39"/>
      <c r="PG265" s="39"/>
      <c r="PH265" s="39"/>
      <c r="PI265" s="39"/>
      <c r="PJ265" s="39"/>
      <c r="PK265" s="39"/>
      <c r="PL265" s="39"/>
      <c r="PM265" s="39"/>
      <c r="PN265" s="39"/>
      <c r="PO265" s="39"/>
      <c r="PP265" s="39"/>
      <c r="PQ265" s="39"/>
      <c r="PR265" s="39"/>
      <c r="PS265" s="39"/>
      <c r="PT265" s="39"/>
      <c r="PU265" s="39"/>
      <c r="PV265" s="39"/>
      <c r="PW265" s="39"/>
      <c r="PX265" s="39"/>
      <c r="PY265" s="39"/>
      <c r="PZ265" s="39"/>
      <c r="QA265" s="39"/>
      <c r="QB265" s="39"/>
      <c r="QC265" s="39"/>
      <c r="QD265" s="39"/>
      <c r="QE265" s="39"/>
      <c r="QF265" s="39"/>
      <c r="QG265" s="39"/>
      <c r="QH265" s="39"/>
      <c r="QI265" s="39"/>
      <c r="QJ265" s="39"/>
      <c r="QK265" s="39"/>
      <c r="QL265" s="39"/>
      <c r="QM265" s="39"/>
      <c r="QN265" s="39"/>
      <c r="QO265" s="39"/>
      <c r="QP265" s="39"/>
      <c r="QQ265" s="39"/>
      <c r="QR265" s="39"/>
      <c r="QS265" s="39"/>
      <c r="QT265" s="39"/>
      <c r="QU265" s="39"/>
      <c r="QV265" s="39"/>
      <c r="QW265" s="39"/>
      <c r="QX265" s="39"/>
      <c r="QY265" s="39"/>
      <c r="QZ265" s="39"/>
      <c r="RA265" s="39"/>
      <c r="RB265" s="39"/>
      <c r="RC265" s="39"/>
      <c r="RD265" s="39"/>
      <c r="RE265" s="39"/>
      <c r="RF265" s="39"/>
      <c r="RG265" s="39"/>
      <c r="RH265" s="39"/>
      <c r="RI265" s="39"/>
      <c r="RJ265" s="39"/>
      <c r="RK265" s="39"/>
      <c r="RL265" s="39"/>
      <c r="RM265" s="39"/>
      <c r="RN265" s="39"/>
      <c r="RO265" s="39"/>
      <c r="RP265" s="39"/>
      <c r="RQ265" s="39"/>
      <c r="RR265" s="39"/>
      <c r="RS265" s="39"/>
      <c r="RT265" s="39"/>
      <c r="RU265" s="39"/>
      <c r="RV265" s="39"/>
      <c r="RW265" s="39"/>
      <c r="RX265" s="39"/>
      <c r="RY265" s="39"/>
      <c r="RZ265" s="39"/>
      <c r="SA265" s="39"/>
      <c r="SB265" s="39"/>
      <c r="SC265" s="39"/>
      <c r="SD265" s="39"/>
      <c r="SE265" s="39"/>
      <c r="SF265" s="39"/>
      <c r="SG265" s="39"/>
      <c r="SH265" s="39"/>
      <c r="SI265" s="39"/>
      <c r="SJ265" s="39"/>
      <c r="SK265" s="39"/>
      <c r="SL265" s="39"/>
      <c r="SM265" s="39"/>
      <c r="SN265" s="39"/>
      <c r="SO265" s="39"/>
      <c r="SP265" s="39"/>
      <c r="SQ265" s="39"/>
      <c r="SR265" s="39"/>
      <c r="SS265" s="39"/>
      <c r="ST265" s="39"/>
      <c r="SU265" s="39"/>
      <c r="SV265" s="39"/>
      <c r="SW265" s="39"/>
      <c r="SX265" s="39"/>
      <c r="SY265" s="39"/>
      <c r="SZ265" s="39"/>
      <c r="TA265" s="39"/>
      <c r="TB265" s="39"/>
      <c r="TC265" s="39"/>
      <c r="TD265" s="39"/>
      <c r="TE265" s="39"/>
      <c r="TF265" s="39"/>
      <c r="TG265" s="39"/>
      <c r="TH265" s="39"/>
      <c r="TI265" s="39"/>
    </row>
    <row r="266" spans="1:529" s="40" customFormat="1" ht="30" x14ac:dyDescent="0.25">
      <c r="A266" s="151"/>
      <c r="B266" s="72"/>
      <c r="C266" s="64"/>
      <c r="D266" s="33" t="s">
        <v>467</v>
      </c>
      <c r="E266" s="65">
        <f t="shared" ref="E266:P266" si="163">E61</f>
        <v>2739700</v>
      </c>
      <c r="F266" s="65">
        <f t="shared" si="163"/>
        <v>2739700</v>
      </c>
      <c r="G266" s="65">
        <f t="shared" si="163"/>
        <v>2249257</v>
      </c>
      <c r="H266" s="65">
        <f t="shared" si="163"/>
        <v>0</v>
      </c>
      <c r="I266" s="65">
        <f t="shared" si="163"/>
        <v>0</v>
      </c>
      <c r="J266" s="65">
        <f t="shared" si="163"/>
        <v>0</v>
      </c>
      <c r="K266" s="65">
        <f t="shared" si="163"/>
        <v>0</v>
      </c>
      <c r="L266" s="65">
        <f t="shared" si="163"/>
        <v>0</v>
      </c>
      <c r="M266" s="65">
        <f t="shared" si="163"/>
        <v>0</v>
      </c>
      <c r="N266" s="65">
        <f t="shared" si="163"/>
        <v>0</v>
      </c>
      <c r="O266" s="65">
        <f t="shared" si="163"/>
        <v>0</v>
      </c>
      <c r="P266" s="65">
        <f t="shared" si="163"/>
        <v>2739700</v>
      </c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  <c r="FC266" s="39"/>
      <c r="FD266" s="39"/>
      <c r="FE266" s="39"/>
      <c r="FF266" s="39"/>
      <c r="FG266" s="39"/>
      <c r="FH266" s="39"/>
      <c r="FI266" s="39"/>
      <c r="FJ266" s="39"/>
      <c r="FK266" s="39"/>
      <c r="FL266" s="39"/>
      <c r="FM266" s="39"/>
      <c r="FN266" s="39"/>
      <c r="FO266" s="39"/>
      <c r="FP266" s="39"/>
      <c r="FQ266" s="39"/>
      <c r="FR266" s="39"/>
      <c r="FS266" s="39"/>
      <c r="FT266" s="39"/>
      <c r="FU266" s="39"/>
      <c r="FV266" s="39"/>
      <c r="FW266" s="39"/>
      <c r="FX266" s="39"/>
      <c r="FY266" s="39"/>
      <c r="FZ266" s="39"/>
      <c r="GA266" s="39"/>
      <c r="GB266" s="39"/>
      <c r="GC266" s="39"/>
      <c r="GD266" s="39"/>
      <c r="GE266" s="39"/>
      <c r="GF266" s="39"/>
      <c r="GG266" s="39"/>
      <c r="GH266" s="39"/>
      <c r="GI266" s="39"/>
      <c r="GJ266" s="39"/>
      <c r="GK266" s="39"/>
      <c r="GL266" s="39"/>
      <c r="GM266" s="39"/>
      <c r="GN266" s="39"/>
      <c r="GO266" s="39"/>
      <c r="GP266" s="39"/>
      <c r="GQ266" s="39"/>
      <c r="GR266" s="39"/>
      <c r="GS266" s="39"/>
      <c r="GT266" s="39"/>
      <c r="GU266" s="39"/>
      <c r="GV266" s="39"/>
      <c r="GW266" s="39"/>
      <c r="GX266" s="39"/>
      <c r="GY266" s="39"/>
      <c r="GZ266" s="39"/>
      <c r="HA266" s="39"/>
      <c r="HB266" s="39"/>
      <c r="HC266" s="39"/>
      <c r="HD266" s="39"/>
      <c r="HE266" s="39"/>
      <c r="HF266" s="39"/>
      <c r="HG266" s="39"/>
      <c r="HH266" s="39"/>
      <c r="HI266" s="39"/>
      <c r="HJ266" s="39"/>
      <c r="HK266" s="39"/>
      <c r="HL266" s="39"/>
      <c r="HM266" s="39"/>
      <c r="HN266" s="39"/>
      <c r="HO266" s="39"/>
      <c r="HP266" s="39"/>
      <c r="HQ266" s="39"/>
      <c r="HR266" s="39"/>
      <c r="HS266" s="39"/>
      <c r="HT266" s="39"/>
      <c r="HU266" s="39"/>
      <c r="HV266" s="39"/>
      <c r="HW266" s="39"/>
      <c r="HX266" s="39"/>
      <c r="HY266" s="39"/>
      <c r="HZ266" s="39"/>
      <c r="IA266" s="39"/>
      <c r="IB266" s="39"/>
      <c r="IC266" s="39"/>
      <c r="ID266" s="39"/>
      <c r="IE266" s="39"/>
      <c r="IF266" s="39"/>
      <c r="IG266" s="39"/>
      <c r="IH266" s="39"/>
      <c r="II266" s="39"/>
      <c r="IJ266" s="39"/>
      <c r="IK266" s="39"/>
      <c r="IL266" s="39"/>
      <c r="IM266" s="39"/>
      <c r="IN266" s="39"/>
      <c r="IO266" s="39"/>
      <c r="IP266" s="39"/>
      <c r="IQ266" s="39"/>
      <c r="IR266" s="39"/>
      <c r="IS266" s="39"/>
      <c r="IT266" s="39"/>
      <c r="IU266" s="39"/>
      <c r="IV266" s="39"/>
      <c r="IW266" s="39"/>
      <c r="IX266" s="39"/>
      <c r="IY266" s="39"/>
      <c r="IZ266" s="39"/>
      <c r="JA266" s="39"/>
      <c r="JB266" s="39"/>
      <c r="JC266" s="39"/>
      <c r="JD266" s="39"/>
      <c r="JE266" s="39"/>
      <c r="JF266" s="39"/>
      <c r="JG266" s="39"/>
      <c r="JH266" s="39"/>
      <c r="JI266" s="39"/>
      <c r="JJ266" s="39"/>
      <c r="JK266" s="39"/>
      <c r="JL266" s="39"/>
      <c r="JM266" s="39"/>
      <c r="JN266" s="39"/>
      <c r="JO266" s="39"/>
      <c r="JP266" s="39"/>
      <c r="JQ266" s="39"/>
      <c r="JR266" s="39"/>
      <c r="JS266" s="39"/>
      <c r="JT266" s="39"/>
      <c r="JU266" s="39"/>
      <c r="JV266" s="39"/>
      <c r="JW266" s="39"/>
      <c r="JX266" s="39"/>
      <c r="JY266" s="39"/>
      <c r="JZ266" s="39"/>
      <c r="KA266" s="39"/>
      <c r="KB266" s="39"/>
      <c r="KC266" s="39"/>
      <c r="KD266" s="39"/>
      <c r="KE266" s="39"/>
      <c r="KF266" s="39"/>
      <c r="KG266" s="39"/>
      <c r="KH266" s="39"/>
      <c r="KI266" s="39"/>
      <c r="KJ266" s="39"/>
      <c r="KK266" s="39"/>
      <c r="KL266" s="39"/>
      <c r="KM266" s="39"/>
      <c r="KN266" s="39"/>
      <c r="KO266" s="39"/>
      <c r="KP266" s="39"/>
      <c r="KQ266" s="39"/>
      <c r="KR266" s="39"/>
      <c r="KS266" s="39"/>
      <c r="KT266" s="39"/>
      <c r="KU266" s="39"/>
      <c r="KV266" s="39"/>
      <c r="KW266" s="39"/>
      <c r="KX266" s="39"/>
      <c r="KY266" s="39"/>
      <c r="KZ266" s="39"/>
      <c r="LA266" s="39"/>
      <c r="LB266" s="39"/>
      <c r="LC266" s="39"/>
      <c r="LD266" s="39"/>
      <c r="LE266" s="39"/>
      <c r="LF266" s="39"/>
      <c r="LG266" s="39"/>
      <c r="LH266" s="39"/>
      <c r="LI266" s="39"/>
      <c r="LJ266" s="39"/>
      <c r="LK266" s="39"/>
      <c r="LL266" s="39"/>
      <c r="LM266" s="39"/>
      <c r="LN266" s="39"/>
      <c r="LO266" s="39"/>
      <c r="LP266" s="39"/>
      <c r="LQ266" s="39"/>
      <c r="LR266" s="39"/>
      <c r="LS266" s="39"/>
      <c r="LT266" s="39"/>
      <c r="LU266" s="39"/>
      <c r="LV266" s="39"/>
      <c r="LW266" s="39"/>
      <c r="LX266" s="39"/>
      <c r="LY266" s="39"/>
      <c r="LZ266" s="39"/>
      <c r="MA266" s="39"/>
      <c r="MB266" s="39"/>
      <c r="MC266" s="39"/>
      <c r="MD266" s="39"/>
      <c r="ME266" s="39"/>
      <c r="MF266" s="39"/>
      <c r="MG266" s="39"/>
      <c r="MH266" s="39"/>
      <c r="MI266" s="39"/>
      <c r="MJ266" s="39"/>
      <c r="MK266" s="39"/>
      <c r="ML266" s="39"/>
      <c r="MM266" s="39"/>
      <c r="MN266" s="39"/>
      <c r="MO266" s="39"/>
      <c r="MP266" s="39"/>
      <c r="MQ266" s="39"/>
      <c r="MR266" s="39"/>
      <c r="MS266" s="39"/>
      <c r="MT266" s="39"/>
      <c r="MU266" s="39"/>
      <c r="MV266" s="39"/>
      <c r="MW266" s="39"/>
      <c r="MX266" s="39"/>
      <c r="MY266" s="39"/>
      <c r="MZ266" s="39"/>
      <c r="NA266" s="39"/>
      <c r="NB266" s="39"/>
      <c r="NC266" s="39"/>
      <c r="ND266" s="39"/>
      <c r="NE266" s="39"/>
      <c r="NF266" s="39"/>
      <c r="NG266" s="39"/>
      <c r="NH266" s="39"/>
      <c r="NI266" s="39"/>
      <c r="NJ266" s="39"/>
      <c r="NK266" s="39"/>
      <c r="NL266" s="39"/>
      <c r="NM266" s="39"/>
      <c r="NN266" s="39"/>
      <c r="NO266" s="39"/>
      <c r="NP266" s="39"/>
      <c r="NQ266" s="39"/>
      <c r="NR266" s="39"/>
      <c r="NS266" s="39"/>
      <c r="NT266" s="39"/>
      <c r="NU266" s="39"/>
      <c r="NV266" s="39"/>
      <c r="NW266" s="39"/>
      <c r="NX266" s="39"/>
      <c r="NY266" s="39"/>
      <c r="NZ266" s="39"/>
      <c r="OA266" s="39"/>
      <c r="OB266" s="39"/>
      <c r="OC266" s="39"/>
      <c r="OD266" s="39"/>
      <c r="OE266" s="39"/>
      <c r="OF266" s="39"/>
      <c r="OG266" s="39"/>
      <c r="OH266" s="39"/>
      <c r="OI266" s="39"/>
      <c r="OJ266" s="39"/>
      <c r="OK266" s="39"/>
      <c r="OL266" s="39"/>
      <c r="OM266" s="39"/>
      <c r="ON266" s="39"/>
      <c r="OO266" s="39"/>
      <c r="OP266" s="39"/>
      <c r="OQ266" s="39"/>
      <c r="OR266" s="39"/>
      <c r="OS266" s="39"/>
      <c r="OT266" s="39"/>
      <c r="OU266" s="39"/>
      <c r="OV266" s="39"/>
      <c r="OW266" s="39"/>
      <c r="OX266" s="39"/>
      <c r="OY266" s="39"/>
      <c r="OZ266" s="39"/>
      <c r="PA266" s="39"/>
      <c r="PB266" s="39"/>
      <c r="PC266" s="39"/>
      <c r="PD266" s="39"/>
      <c r="PE266" s="39"/>
      <c r="PF266" s="39"/>
      <c r="PG266" s="39"/>
      <c r="PH266" s="39"/>
      <c r="PI266" s="39"/>
      <c r="PJ266" s="39"/>
      <c r="PK266" s="39"/>
      <c r="PL266" s="39"/>
      <c r="PM266" s="39"/>
      <c r="PN266" s="39"/>
      <c r="PO266" s="39"/>
      <c r="PP266" s="39"/>
      <c r="PQ266" s="39"/>
      <c r="PR266" s="39"/>
      <c r="PS266" s="39"/>
      <c r="PT266" s="39"/>
      <c r="PU266" s="39"/>
      <c r="PV266" s="39"/>
      <c r="PW266" s="39"/>
      <c r="PX266" s="39"/>
      <c r="PY266" s="39"/>
      <c r="PZ266" s="39"/>
      <c r="QA266" s="39"/>
      <c r="QB266" s="39"/>
      <c r="QC266" s="39"/>
      <c r="QD266" s="39"/>
      <c r="QE266" s="39"/>
      <c r="QF266" s="39"/>
      <c r="QG266" s="39"/>
      <c r="QH266" s="39"/>
      <c r="QI266" s="39"/>
      <c r="QJ266" s="39"/>
      <c r="QK266" s="39"/>
      <c r="QL266" s="39"/>
      <c r="QM266" s="39"/>
      <c r="QN266" s="39"/>
      <c r="QO266" s="39"/>
      <c r="QP266" s="39"/>
      <c r="QQ266" s="39"/>
      <c r="QR266" s="39"/>
      <c r="QS266" s="39"/>
      <c r="QT266" s="39"/>
      <c r="QU266" s="39"/>
      <c r="QV266" s="39"/>
      <c r="QW266" s="39"/>
      <c r="QX266" s="39"/>
      <c r="QY266" s="39"/>
      <c r="QZ266" s="39"/>
      <c r="RA266" s="39"/>
      <c r="RB266" s="39"/>
      <c r="RC266" s="39"/>
      <c r="RD266" s="39"/>
      <c r="RE266" s="39"/>
      <c r="RF266" s="39"/>
      <c r="RG266" s="39"/>
      <c r="RH266" s="39"/>
      <c r="RI266" s="39"/>
      <c r="RJ266" s="39"/>
      <c r="RK266" s="39"/>
      <c r="RL266" s="39"/>
      <c r="RM266" s="39"/>
      <c r="RN266" s="39"/>
      <c r="RO266" s="39"/>
      <c r="RP266" s="39"/>
      <c r="RQ266" s="39"/>
      <c r="RR266" s="39"/>
      <c r="RS266" s="39"/>
      <c r="RT266" s="39"/>
      <c r="RU266" s="39"/>
      <c r="RV266" s="39"/>
      <c r="RW266" s="39"/>
      <c r="RX266" s="39"/>
      <c r="RY266" s="39"/>
      <c r="RZ266" s="39"/>
      <c r="SA266" s="39"/>
      <c r="SB266" s="39"/>
      <c r="SC266" s="39"/>
      <c r="SD266" s="39"/>
      <c r="SE266" s="39"/>
      <c r="SF266" s="39"/>
      <c r="SG266" s="39"/>
      <c r="SH266" s="39"/>
      <c r="SI266" s="39"/>
      <c r="SJ266" s="39"/>
      <c r="SK266" s="39"/>
      <c r="SL266" s="39"/>
      <c r="SM266" s="39"/>
      <c r="SN266" s="39"/>
      <c r="SO266" s="39"/>
      <c r="SP266" s="39"/>
      <c r="SQ266" s="39"/>
      <c r="SR266" s="39"/>
      <c r="SS266" s="39"/>
      <c r="ST266" s="39"/>
      <c r="SU266" s="39"/>
      <c r="SV266" s="39"/>
      <c r="SW266" s="39"/>
      <c r="SX266" s="39"/>
      <c r="SY266" s="39"/>
      <c r="SZ266" s="39"/>
      <c r="TA266" s="39"/>
      <c r="TB266" s="39"/>
      <c r="TC266" s="39"/>
      <c r="TD266" s="39"/>
      <c r="TE266" s="39"/>
      <c r="TF266" s="39"/>
      <c r="TG266" s="39"/>
      <c r="TH266" s="39"/>
      <c r="TI266" s="39"/>
    </row>
    <row r="267" spans="1:529" s="40" customFormat="1" ht="30" x14ac:dyDescent="0.25">
      <c r="A267" s="151"/>
      <c r="B267" s="72"/>
      <c r="C267" s="64"/>
      <c r="D267" s="33" t="s">
        <v>468</v>
      </c>
      <c r="E267" s="65">
        <f>E20+E62+E63+E64+E65+E66+E107+E108+E109+E136+E188</f>
        <v>25159224.509999998</v>
      </c>
      <c r="F267" s="65">
        <f t="shared" ref="F267:P267" si="164">F20+F62+F63+F64+F65+F66+F107+F108+F109+F136+F188</f>
        <v>25159224.509999998</v>
      </c>
      <c r="G267" s="65">
        <f t="shared" si="164"/>
        <v>2774450</v>
      </c>
      <c r="H267" s="65">
        <f t="shared" si="164"/>
        <v>0</v>
      </c>
      <c r="I267" s="65">
        <f t="shared" si="164"/>
        <v>0</v>
      </c>
      <c r="J267" s="65">
        <f t="shared" si="164"/>
        <v>83695179</v>
      </c>
      <c r="K267" s="65">
        <f t="shared" si="164"/>
        <v>3695179</v>
      </c>
      <c r="L267" s="65">
        <f t="shared" si="164"/>
        <v>80000000</v>
      </c>
      <c r="M267" s="65">
        <f t="shared" si="164"/>
        <v>0</v>
      </c>
      <c r="N267" s="65">
        <f t="shared" si="164"/>
        <v>0</v>
      </c>
      <c r="O267" s="65">
        <f t="shared" si="164"/>
        <v>3695179</v>
      </c>
      <c r="P267" s="65">
        <f t="shared" si="164"/>
        <v>108854403.50999999</v>
      </c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  <c r="EM267" s="39"/>
      <c r="EN267" s="39"/>
      <c r="EO267" s="39"/>
      <c r="EP267" s="39"/>
      <c r="EQ267" s="39"/>
      <c r="ER267" s="39"/>
      <c r="ES267" s="39"/>
      <c r="ET267" s="39"/>
      <c r="EU267" s="39"/>
      <c r="EV267" s="39"/>
      <c r="EW267" s="39"/>
      <c r="EX267" s="39"/>
      <c r="EY267" s="39"/>
      <c r="EZ267" s="39"/>
      <c r="FA267" s="39"/>
      <c r="FB267" s="39"/>
      <c r="FC267" s="39"/>
      <c r="FD267" s="39"/>
      <c r="FE267" s="39"/>
      <c r="FF267" s="39"/>
      <c r="FG267" s="39"/>
      <c r="FH267" s="39"/>
      <c r="FI267" s="39"/>
      <c r="FJ267" s="39"/>
      <c r="FK267" s="39"/>
      <c r="FL267" s="39"/>
      <c r="FM267" s="39"/>
      <c r="FN267" s="39"/>
      <c r="FO267" s="39"/>
      <c r="FP267" s="39"/>
      <c r="FQ267" s="39"/>
      <c r="FR267" s="39"/>
      <c r="FS267" s="39"/>
      <c r="FT267" s="39"/>
      <c r="FU267" s="39"/>
      <c r="FV267" s="39"/>
      <c r="FW267" s="39"/>
      <c r="FX267" s="39"/>
      <c r="FY267" s="39"/>
      <c r="FZ267" s="39"/>
      <c r="GA267" s="39"/>
      <c r="GB267" s="39"/>
      <c r="GC267" s="39"/>
      <c r="GD267" s="39"/>
      <c r="GE267" s="39"/>
      <c r="GF267" s="39"/>
      <c r="GG267" s="39"/>
      <c r="GH267" s="39"/>
      <c r="GI267" s="39"/>
      <c r="GJ267" s="39"/>
      <c r="GK267" s="39"/>
      <c r="GL267" s="39"/>
      <c r="GM267" s="39"/>
      <c r="GN267" s="39"/>
      <c r="GO267" s="39"/>
      <c r="GP267" s="39"/>
      <c r="GQ267" s="39"/>
      <c r="GR267" s="39"/>
      <c r="GS267" s="39"/>
      <c r="GT267" s="39"/>
      <c r="GU267" s="39"/>
      <c r="GV267" s="39"/>
      <c r="GW267" s="39"/>
      <c r="GX267" s="39"/>
      <c r="GY267" s="39"/>
      <c r="GZ267" s="39"/>
      <c r="HA267" s="39"/>
      <c r="HB267" s="39"/>
      <c r="HC267" s="39"/>
      <c r="HD267" s="39"/>
      <c r="HE267" s="39"/>
      <c r="HF267" s="39"/>
      <c r="HG267" s="39"/>
      <c r="HH267" s="39"/>
      <c r="HI267" s="39"/>
      <c r="HJ267" s="39"/>
      <c r="HK267" s="39"/>
      <c r="HL267" s="39"/>
      <c r="HM267" s="39"/>
      <c r="HN267" s="39"/>
      <c r="HO267" s="39"/>
      <c r="HP267" s="39"/>
      <c r="HQ267" s="39"/>
      <c r="HR267" s="39"/>
      <c r="HS267" s="39"/>
      <c r="HT267" s="39"/>
      <c r="HU267" s="39"/>
      <c r="HV267" s="39"/>
      <c r="HW267" s="39"/>
      <c r="HX267" s="39"/>
      <c r="HY267" s="39"/>
      <c r="HZ267" s="39"/>
      <c r="IA267" s="39"/>
      <c r="IB267" s="39"/>
      <c r="IC267" s="39"/>
      <c r="ID267" s="39"/>
      <c r="IE267" s="39"/>
      <c r="IF267" s="39"/>
      <c r="IG267" s="39"/>
      <c r="IH267" s="39"/>
      <c r="II267" s="39"/>
      <c r="IJ267" s="39"/>
      <c r="IK267" s="39"/>
      <c r="IL267" s="39"/>
      <c r="IM267" s="39"/>
      <c r="IN267" s="39"/>
      <c r="IO267" s="39"/>
      <c r="IP267" s="39"/>
      <c r="IQ267" s="39"/>
      <c r="IR267" s="39"/>
      <c r="IS267" s="39"/>
      <c r="IT267" s="39"/>
      <c r="IU267" s="39"/>
      <c r="IV267" s="39"/>
      <c r="IW267" s="39"/>
      <c r="IX267" s="39"/>
      <c r="IY267" s="39"/>
      <c r="IZ267" s="39"/>
      <c r="JA267" s="39"/>
      <c r="JB267" s="39"/>
      <c r="JC267" s="39"/>
      <c r="JD267" s="39"/>
      <c r="JE267" s="39"/>
      <c r="JF267" s="39"/>
      <c r="JG267" s="39"/>
      <c r="JH267" s="39"/>
      <c r="JI267" s="39"/>
      <c r="JJ267" s="39"/>
      <c r="JK267" s="39"/>
      <c r="JL267" s="39"/>
      <c r="JM267" s="39"/>
      <c r="JN267" s="39"/>
      <c r="JO267" s="39"/>
      <c r="JP267" s="39"/>
      <c r="JQ267" s="39"/>
      <c r="JR267" s="39"/>
      <c r="JS267" s="39"/>
      <c r="JT267" s="39"/>
      <c r="JU267" s="39"/>
      <c r="JV267" s="39"/>
      <c r="JW267" s="39"/>
      <c r="JX267" s="39"/>
      <c r="JY267" s="39"/>
      <c r="JZ267" s="39"/>
      <c r="KA267" s="39"/>
      <c r="KB267" s="39"/>
      <c r="KC267" s="39"/>
      <c r="KD267" s="39"/>
      <c r="KE267" s="39"/>
      <c r="KF267" s="39"/>
      <c r="KG267" s="39"/>
      <c r="KH267" s="39"/>
      <c r="KI267" s="39"/>
      <c r="KJ267" s="39"/>
      <c r="KK267" s="39"/>
      <c r="KL267" s="39"/>
      <c r="KM267" s="39"/>
      <c r="KN267" s="39"/>
      <c r="KO267" s="39"/>
      <c r="KP267" s="39"/>
      <c r="KQ267" s="39"/>
      <c r="KR267" s="39"/>
      <c r="KS267" s="39"/>
      <c r="KT267" s="39"/>
      <c r="KU267" s="39"/>
      <c r="KV267" s="39"/>
      <c r="KW267" s="39"/>
      <c r="KX267" s="39"/>
      <c r="KY267" s="39"/>
      <c r="KZ267" s="39"/>
      <c r="LA267" s="39"/>
      <c r="LB267" s="39"/>
      <c r="LC267" s="39"/>
      <c r="LD267" s="39"/>
      <c r="LE267" s="39"/>
      <c r="LF267" s="39"/>
      <c r="LG267" s="39"/>
      <c r="LH267" s="39"/>
      <c r="LI267" s="39"/>
      <c r="LJ267" s="39"/>
      <c r="LK267" s="39"/>
      <c r="LL267" s="39"/>
      <c r="LM267" s="39"/>
      <c r="LN267" s="39"/>
      <c r="LO267" s="39"/>
      <c r="LP267" s="39"/>
      <c r="LQ267" s="39"/>
      <c r="LR267" s="39"/>
      <c r="LS267" s="39"/>
      <c r="LT267" s="39"/>
      <c r="LU267" s="39"/>
      <c r="LV267" s="39"/>
      <c r="LW267" s="39"/>
      <c r="LX267" s="39"/>
      <c r="LY267" s="39"/>
      <c r="LZ267" s="39"/>
      <c r="MA267" s="39"/>
      <c r="MB267" s="39"/>
      <c r="MC267" s="39"/>
      <c r="MD267" s="39"/>
      <c r="ME267" s="39"/>
      <c r="MF267" s="39"/>
      <c r="MG267" s="39"/>
      <c r="MH267" s="39"/>
      <c r="MI267" s="39"/>
      <c r="MJ267" s="39"/>
      <c r="MK267" s="39"/>
      <c r="ML267" s="39"/>
      <c r="MM267" s="39"/>
      <c r="MN267" s="39"/>
      <c r="MO267" s="39"/>
      <c r="MP267" s="39"/>
      <c r="MQ267" s="39"/>
      <c r="MR267" s="39"/>
      <c r="MS267" s="39"/>
      <c r="MT267" s="39"/>
      <c r="MU267" s="39"/>
      <c r="MV267" s="39"/>
      <c r="MW267" s="39"/>
      <c r="MX267" s="39"/>
      <c r="MY267" s="39"/>
      <c r="MZ267" s="39"/>
      <c r="NA267" s="39"/>
      <c r="NB267" s="39"/>
      <c r="NC267" s="39"/>
      <c r="ND267" s="39"/>
      <c r="NE267" s="39"/>
      <c r="NF267" s="39"/>
      <c r="NG267" s="39"/>
      <c r="NH267" s="39"/>
      <c r="NI267" s="39"/>
      <c r="NJ267" s="39"/>
      <c r="NK267" s="39"/>
      <c r="NL267" s="39"/>
      <c r="NM267" s="39"/>
      <c r="NN267" s="39"/>
      <c r="NO267" s="39"/>
      <c r="NP267" s="39"/>
      <c r="NQ267" s="39"/>
      <c r="NR267" s="39"/>
      <c r="NS267" s="39"/>
      <c r="NT267" s="39"/>
      <c r="NU267" s="39"/>
      <c r="NV267" s="39"/>
      <c r="NW267" s="39"/>
      <c r="NX267" s="39"/>
      <c r="NY267" s="39"/>
      <c r="NZ267" s="39"/>
      <c r="OA267" s="39"/>
      <c r="OB267" s="39"/>
      <c r="OC267" s="39"/>
      <c r="OD267" s="39"/>
      <c r="OE267" s="39"/>
      <c r="OF267" s="39"/>
      <c r="OG267" s="39"/>
      <c r="OH267" s="39"/>
      <c r="OI267" s="39"/>
      <c r="OJ267" s="39"/>
      <c r="OK267" s="39"/>
      <c r="OL267" s="39"/>
      <c r="OM267" s="39"/>
      <c r="ON267" s="39"/>
      <c r="OO267" s="39"/>
      <c r="OP267" s="39"/>
      <c r="OQ267" s="39"/>
      <c r="OR267" s="39"/>
      <c r="OS267" s="39"/>
      <c r="OT267" s="39"/>
      <c r="OU267" s="39"/>
      <c r="OV267" s="39"/>
      <c r="OW267" s="39"/>
      <c r="OX267" s="39"/>
      <c r="OY267" s="39"/>
      <c r="OZ267" s="39"/>
      <c r="PA267" s="39"/>
      <c r="PB267" s="39"/>
      <c r="PC267" s="39"/>
      <c r="PD267" s="39"/>
      <c r="PE267" s="39"/>
      <c r="PF267" s="39"/>
      <c r="PG267" s="39"/>
      <c r="PH267" s="39"/>
      <c r="PI267" s="39"/>
      <c r="PJ267" s="39"/>
      <c r="PK267" s="39"/>
      <c r="PL267" s="39"/>
      <c r="PM267" s="39"/>
      <c r="PN267" s="39"/>
      <c r="PO267" s="39"/>
      <c r="PP267" s="39"/>
      <c r="PQ267" s="39"/>
      <c r="PR267" s="39"/>
      <c r="PS267" s="39"/>
      <c r="PT267" s="39"/>
      <c r="PU267" s="39"/>
      <c r="PV267" s="39"/>
      <c r="PW267" s="39"/>
      <c r="PX267" s="39"/>
      <c r="PY267" s="39"/>
      <c r="PZ267" s="39"/>
      <c r="QA267" s="39"/>
      <c r="QB267" s="39"/>
      <c r="QC267" s="39"/>
      <c r="QD267" s="39"/>
      <c r="QE267" s="39"/>
      <c r="QF267" s="39"/>
      <c r="QG267" s="39"/>
      <c r="QH267" s="39"/>
      <c r="QI267" s="39"/>
      <c r="QJ267" s="39"/>
      <c r="QK267" s="39"/>
      <c r="QL267" s="39"/>
      <c r="QM267" s="39"/>
      <c r="QN267" s="39"/>
      <c r="QO267" s="39"/>
      <c r="QP267" s="39"/>
      <c r="QQ267" s="39"/>
      <c r="QR267" s="39"/>
      <c r="QS267" s="39"/>
      <c r="QT267" s="39"/>
      <c r="QU267" s="39"/>
      <c r="QV267" s="39"/>
      <c r="QW267" s="39"/>
      <c r="QX267" s="39"/>
      <c r="QY267" s="39"/>
      <c r="QZ267" s="39"/>
      <c r="RA267" s="39"/>
      <c r="RB267" s="39"/>
      <c r="RC267" s="39"/>
      <c r="RD267" s="39"/>
      <c r="RE267" s="39"/>
      <c r="RF267" s="39"/>
      <c r="RG267" s="39"/>
      <c r="RH267" s="39"/>
      <c r="RI267" s="39"/>
      <c r="RJ267" s="39"/>
      <c r="RK267" s="39"/>
      <c r="RL267" s="39"/>
      <c r="RM267" s="39"/>
      <c r="RN267" s="39"/>
      <c r="RO267" s="39"/>
      <c r="RP267" s="39"/>
      <c r="RQ267" s="39"/>
      <c r="RR267" s="39"/>
      <c r="RS267" s="39"/>
      <c r="RT267" s="39"/>
      <c r="RU267" s="39"/>
      <c r="RV267" s="39"/>
      <c r="RW267" s="39"/>
      <c r="RX267" s="39"/>
      <c r="RY267" s="39"/>
      <c r="RZ267" s="39"/>
      <c r="SA267" s="39"/>
      <c r="SB267" s="39"/>
      <c r="SC267" s="39"/>
      <c r="SD267" s="39"/>
      <c r="SE267" s="39"/>
      <c r="SF267" s="39"/>
      <c r="SG267" s="39"/>
      <c r="SH267" s="39"/>
      <c r="SI267" s="39"/>
      <c r="SJ267" s="39"/>
      <c r="SK267" s="39"/>
      <c r="SL267" s="39"/>
      <c r="SM267" s="39"/>
      <c r="SN267" s="39"/>
      <c r="SO267" s="39"/>
      <c r="SP267" s="39"/>
      <c r="SQ267" s="39"/>
      <c r="SR267" s="39"/>
      <c r="SS267" s="39"/>
      <c r="ST267" s="39"/>
      <c r="SU267" s="39"/>
      <c r="SV267" s="39"/>
      <c r="SW267" s="39"/>
      <c r="SX267" s="39"/>
      <c r="SY267" s="39"/>
      <c r="SZ267" s="39"/>
      <c r="TA267" s="39"/>
      <c r="TB267" s="39"/>
      <c r="TC267" s="39"/>
      <c r="TD267" s="39"/>
      <c r="TE267" s="39"/>
      <c r="TF267" s="39"/>
      <c r="TG267" s="39"/>
      <c r="TH267" s="39"/>
      <c r="TI267" s="39"/>
    </row>
    <row r="268" spans="1:529" s="40" customFormat="1" ht="18.75" customHeight="1" x14ac:dyDescent="0.25">
      <c r="A268" s="73"/>
      <c r="B268" s="72"/>
      <c r="C268" s="72"/>
      <c r="D268" s="147" t="s">
        <v>507</v>
      </c>
      <c r="E268" s="65">
        <f>E110+E220</f>
        <v>0</v>
      </c>
      <c r="F268" s="65">
        <f t="shared" ref="F268:P268" si="165">F110+F220</f>
        <v>0</v>
      </c>
      <c r="G268" s="65">
        <f t="shared" si="165"/>
        <v>0</v>
      </c>
      <c r="H268" s="65">
        <f t="shared" si="165"/>
        <v>0</v>
      </c>
      <c r="I268" s="65">
        <f t="shared" si="165"/>
        <v>0</v>
      </c>
      <c r="J268" s="65">
        <f t="shared" si="165"/>
        <v>58776907</v>
      </c>
      <c r="K268" s="65">
        <f t="shared" si="165"/>
        <v>58776907</v>
      </c>
      <c r="L268" s="65">
        <f t="shared" si="165"/>
        <v>0</v>
      </c>
      <c r="M268" s="65">
        <f t="shared" si="165"/>
        <v>0</v>
      </c>
      <c r="N268" s="65">
        <f t="shared" si="165"/>
        <v>0</v>
      </c>
      <c r="O268" s="65">
        <f t="shared" si="165"/>
        <v>58776907</v>
      </c>
      <c r="P268" s="65">
        <f t="shared" si="165"/>
        <v>58776907</v>
      </c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  <c r="FC268" s="39"/>
      <c r="FD268" s="39"/>
      <c r="FE268" s="39"/>
      <c r="FF268" s="39"/>
      <c r="FG268" s="39"/>
      <c r="FH268" s="39"/>
      <c r="FI268" s="39"/>
      <c r="FJ268" s="39"/>
      <c r="FK268" s="39"/>
      <c r="FL268" s="39"/>
      <c r="FM268" s="39"/>
      <c r="FN268" s="39"/>
      <c r="FO268" s="39"/>
      <c r="FP268" s="39"/>
      <c r="FQ268" s="39"/>
      <c r="FR268" s="39"/>
      <c r="FS268" s="39"/>
      <c r="FT268" s="39"/>
      <c r="FU268" s="39"/>
      <c r="FV268" s="39"/>
      <c r="FW268" s="39"/>
      <c r="FX268" s="39"/>
      <c r="FY268" s="39"/>
      <c r="FZ268" s="39"/>
      <c r="GA268" s="39"/>
      <c r="GB268" s="39"/>
      <c r="GC268" s="39"/>
      <c r="GD268" s="39"/>
      <c r="GE268" s="39"/>
      <c r="GF268" s="39"/>
      <c r="GG268" s="39"/>
      <c r="GH268" s="39"/>
      <c r="GI268" s="39"/>
      <c r="GJ268" s="39"/>
      <c r="GK268" s="39"/>
      <c r="GL268" s="39"/>
      <c r="GM268" s="39"/>
      <c r="GN268" s="39"/>
      <c r="GO268" s="39"/>
      <c r="GP268" s="39"/>
      <c r="GQ268" s="39"/>
      <c r="GR268" s="39"/>
      <c r="GS268" s="39"/>
      <c r="GT268" s="39"/>
      <c r="GU268" s="39"/>
      <c r="GV268" s="39"/>
      <c r="GW268" s="39"/>
      <c r="GX268" s="39"/>
      <c r="GY268" s="39"/>
      <c r="GZ268" s="39"/>
      <c r="HA268" s="39"/>
      <c r="HB268" s="39"/>
      <c r="HC268" s="39"/>
      <c r="HD268" s="39"/>
      <c r="HE268" s="39"/>
      <c r="HF268" s="39"/>
      <c r="HG268" s="39"/>
      <c r="HH268" s="39"/>
      <c r="HI268" s="39"/>
      <c r="HJ268" s="39"/>
      <c r="HK268" s="39"/>
      <c r="HL268" s="39"/>
      <c r="HM268" s="39"/>
      <c r="HN268" s="39"/>
      <c r="HO268" s="39"/>
      <c r="HP268" s="39"/>
      <c r="HQ268" s="39"/>
      <c r="HR268" s="39"/>
      <c r="HS268" s="39"/>
      <c r="HT268" s="39"/>
      <c r="HU268" s="39"/>
      <c r="HV268" s="39"/>
      <c r="HW268" s="39"/>
      <c r="HX268" s="39"/>
      <c r="HY268" s="39"/>
      <c r="HZ268" s="39"/>
      <c r="IA268" s="39"/>
      <c r="IB268" s="39"/>
      <c r="IC268" s="39"/>
      <c r="ID268" s="39"/>
      <c r="IE268" s="39"/>
      <c r="IF268" s="39"/>
      <c r="IG268" s="39"/>
      <c r="IH268" s="39"/>
      <c r="II268" s="39"/>
      <c r="IJ268" s="39"/>
      <c r="IK268" s="39"/>
      <c r="IL268" s="39"/>
      <c r="IM268" s="39"/>
      <c r="IN268" s="39"/>
      <c r="IO268" s="39"/>
      <c r="IP268" s="39"/>
      <c r="IQ268" s="39"/>
      <c r="IR268" s="39"/>
      <c r="IS268" s="39"/>
      <c r="IT268" s="39"/>
      <c r="IU268" s="39"/>
      <c r="IV268" s="39"/>
      <c r="IW268" s="39"/>
      <c r="IX268" s="39"/>
      <c r="IY268" s="39"/>
      <c r="IZ268" s="39"/>
      <c r="JA268" s="39"/>
      <c r="JB268" s="39"/>
      <c r="JC268" s="39"/>
      <c r="JD268" s="39"/>
      <c r="JE268" s="39"/>
      <c r="JF268" s="39"/>
      <c r="JG268" s="39"/>
      <c r="JH268" s="39"/>
      <c r="JI268" s="39"/>
      <c r="JJ268" s="39"/>
      <c r="JK268" s="39"/>
      <c r="JL268" s="39"/>
      <c r="JM268" s="39"/>
      <c r="JN268" s="39"/>
      <c r="JO268" s="39"/>
      <c r="JP268" s="39"/>
      <c r="JQ268" s="39"/>
      <c r="JR268" s="39"/>
      <c r="JS268" s="39"/>
      <c r="JT268" s="39"/>
      <c r="JU268" s="39"/>
      <c r="JV268" s="39"/>
      <c r="JW268" s="39"/>
      <c r="JX268" s="39"/>
      <c r="JY268" s="39"/>
      <c r="JZ268" s="39"/>
      <c r="KA268" s="39"/>
      <c r="KB268" s="39"/>
      <c r="KC268" s="39"/>
      <c r="KD268" s="39"/>
      <c r="KE268" s="39"/>
      <c r="KF268" s="39"/>
      <c r="KG268" s="39"/>
      <c r="KH268" s="39"/>
      <c r="KI268" s="39"/>
      <c r="KJ268" s="39"/>
      <c r="KK268" s="39"/>
      <c r="KL268" s="39"/>
      <c r="KM268" s="39"/>
      <c r="KN268" s="39"/>
      <c r="KO268" s="39"/>
      <c r="KP268" s="39"/>
      <c r="KQ268" s="39"/>
      <c r="KR268" s="39"/>
      <c r="KS268" s="39"/>
      <c r="KT268" s="39"/>
      <c r="KU268" s="39"/>
      <c r="KV268" s="39"/>
      <c r="KW268" s="39"/>
      <c r="KX268" s="39"/>
      <c r="KY268" s="39"/>
      <c r="KZ268" s="39"/>
      <c r="LA268" s="39"/>
      <c r="LB268" s="39"/>
      <c r="LC268" s="39"/>
      <c r="LD268" s="39"/>
      <c r="LE268" s="39"/>
      <c r="LF268" s="39"/>
      <c r="LG268" s="39"/>
      <c r="LH268" s="39"/>
      <c r="LI268" s="39"/>
      <c r="LJ268" s="39"/>
      <c r="LK268" s="39"/>
      <c r="LL268" s="39"/>
      <c r="LM268" s="39"/>
      <c r="LN268" s="39"/>
      <c r="LO268" s="39"/>
      <c r="LP268" s="39"/>
      <c r="LQ268" s="39"/>
      <c r="LR268" s="39"/>
      <c r="LS268" s="39"/>
      <c r="LT268" s="39"/>
      <c r="LU268" s="39"/>
      <c r="LV268" s="39"/>
      <c r="LW268" s="39"/>
      <c r="LX268" s="39"/>
      <c r="LY268" s="39"/>
      <c r="LZ268" s="39"/>
      <c r="MA268" s="39"/>
      <c r="MB268" s="39"/>
      <c r="MC268" s="39"/>
      <c r="MD268" s="39"/>
      <c r="ME268" s="39"/>
      <c r="MF268" s="39"/>
      <c r="MG268" s="39"/>
      <c r="MH268" s="39"/>
      <c r="MI268" s="39"/>
      <c r="MJ268" s="39"/>
      <c r="MK268" s="39"/>
      <c r="ML268" s="39"/>
      <c r="MM268" s="39"/>
      <c r="MN268" s="39"/>
      <c r="MO268" s="39"/>
      <c r="MP268" s="39"/>
      <c r="MQ268" s="39"/>
      <c r="MR268" s="39"/>
      <c r="MS268" s="39"/>
      <c r="MT268" s="39"/>
      <c r="MU268" s="39"/>
      <c r="MV268" s="39"/>
      <c r="MW268" s="39"/>
      <c r="MX268" s="39"/>
      <c r="MY268" s="39"/>
      <c r="MZ268" s="39"/>
      <c r="NA268" s="39"/>
      <c r="NB268" s="39"/>
      <c r="NC268" s="39"/>
      <c r="ND268" s="39"/>
      <c r="NE268" s="39"/>
      <c r="NF268" s="39"/>
      <c r="NG268" s="39"/>
      <c r="NH268" s="39"/>
      <c r="NI268" s="39"/>
      <c r="NJ268" s="39"/>
      <c r="NK268" s="39"/>
      <c r="NL268" s="39"/>
      <c r="NM268" s="39"/>
      <c r="NN268" s="39"/>
      <c r="NO268" s="39"/>
      <c r="NP268" s="39"/>
      <c r="NQ268" s="39"/>
      <c r="NR268" s="39"/>
      <c r="NS268" s="39"/>
      <c r="NT268" s="39"/>
      <c r="NU268" s="39"/>
      <c r="NV268" s="39"/>
      <c r="NW268" s="39"/>
      <c r="NX268" s="39"/>
      <c r="NY268" s="39"/>
      <c r="NZ268" s="39"/>
      <c r="OA268" s="39"/>
      <c r="OB268" s="39"/>
      <c r="OC268" s="39"/>
      <c r="OD268" s="39"/>
      <c r="OE268" s="39"/>
      <c r="OF268" s="39"/>
      <c r="OG268" s="39"/>
      <c r="OH268" s="39"/>
      <c r="OI268" s="39"/>
      <c r="OJ268" s="39"/>
      <c r="OK268" s="39"/>
      <c r="OL268" s="39"/>
      <c r="OM268" s="39"/>
      <c r="ON268" s="39"/>
      <c r="OO268" s="39"/>
      <c r="OP268" s="39"/>
      <c r="OQ268" s="39"/>
      <c r="OR268" s="39"/>
      <c r="OS268" s="39"/>
      <c r="OT268" s="39"/>
      <c r="OU268" s="39"/>
      <c r="OV268" s="39"/>
      <c r="OW268" s="39"/>
      <c r="OX268" s="39"/>
      <c r="OY268" s="39"/>
      <c r="OZ268" s="39"/>
      <c r="PA268" s="39"/>
      <c r="PB268" s="39"/>
      <c r="PC268" s="39"/>
      <c r="PD268" s="39"/>
      <c r="PE268" s="39"/>
      <c r="PF268" s="39"/>
      <c r="PG268" s="39"/>
      <c r="PH268" s="39"/>
      <c r="PI268" s="39"/>
      <c r="PJ268" s="39"/>
      <c r="PK268" s="39"/>
      <c r="PL268" s="39"/>
      <c r="PM268" s="39"/>
      <c r="PN268" s="39"/>
      <c r="PO268" s="39"/>
      <c r="PP268" s="39"/>
      <c r="PQ268" s="39"/>
      <c r="PR268" s="39"/>
      <c r="PS268" s="39"/>
      <c r="PT268" s="39"/>
      <c r="PU268" s="39"/>
      <c r="PV268" s="39"/>
      <c r="PW268" s="39"/>
      <c r="PX268" s="39"/>
      <c r="PY268" s="39"/>
      <c r="PZ268" s="39"/>
      <c r="QA268" s="39"/>
      <c r="QB268" s="39"/>
      <c r="QC268" s="39"/>
      <c r="QD268" s="39"/>
      <c r="QE268" s="39"/>
      <c r="QF268" s="39"/>
      <c r="QG268" s="39"/>
      <c r="QH268" s="39"/>
      <c r="QI268" s="39"/>
      <c r="QJ268" s="39"/>
      <c r="QK268" s="39"/>
      <c r="QL268" s="39"/>
      <c r="QM268" s="39"/>
      <c r="QN268" s="39"/>
      <c r="QO268" s="39"/>
      <c r="QP268" s="39"/>
      <c r="QQ268" s="39"/>
      <c r="QR268" s="39"/>
      <c r="QS268" s="39"/>
      <c r="QT268" s="39"/>
      <c r="QU268" s="39"/>
      <c r="QV268" s="39"/>
      <c r="QW268" s="39"/>
      <c r="QX268" s="39"/>
      <c r="QY268" s="39"/>
      <c r="QZ268" s="39"/>
      <c r="RA268" s="39"/>
      <c r="RB268" s="39"/>
      <c r="RC268" s="39"/>
      <c r="RD268" s="39"/>
      <c r="RE268" s="39"/>
      <c r="RF268" s="39"/>
      <c r="RG268" s="39"/>
      <c r="RH268" s="39"/>
      <c r="RI268" s="39"/>
      <c r="RJ268" s="39"/>
      <c r="RK268" s="39"/>
      <c r="RL268" s="39"/>
      <c r="RM268" s="39"/>
      <c r="RN268" s="39"/>
      <c r="RO268" s="39"/>
      <c r="RP268" s="39"/>
      <c r="RQ268" s="39"/>
      <c r="RR268" s="39"/>
      <c r="RS268" s="39"/>
      <c r="RT268" s="39"/>
      <c r="RU268" s="39"/>
      <c r="RV268" s="39"/>
      <c r="RW268" s="39"/>
      <c r="RX268" s="39"/>
      <c r="RY268" s="39"/>
      <c r="RZ268" s="39"/>
      <c r="SA268" s="39"/>
      <c r="SB268" s="39"/>
      <c r="SC268" s="39"/>
      <c r="SD268" s="39"/>
      <c r="SE268" s="39"/>
      <c r="SF268" s="39"/>
      <c r="SG268" s="39"/>
      <c r="SH268" s="39"/>
      <c r="SI268" s="39"/>
      <c r="SJ268" s="39"/>
      <c r="SK268" s="39"/>
      <c r="SL268" s="39"/>
      <c r="SM268" s="39"/>
      <c r="SN268" s="39"/>
      <c r="SO268" s="39"/>
      <c r="SP268" s="39"/>
      <c r="SQ268" s="39"/>
      <c r="SR268" s="39"/>
      <c r="SS268" s="39"/>
      <c r="ST268" s="39"/>
      <c r="SU268" s="39"/>
      <c r="SV268" s="39"/>
      <c r="SW268" s="39"/>
      <c r="SX268" s="39"/>
      <c r="SY268" s="39"/>
      <c r="SZ268" s="39"/>
      <c r="TA268" s="39"/>
      <c r="TB268" s="39"/>
      <c r="TC268" s="39"/>
      <c r="TD268" s="39"/>
      <c r="TE268" s="39"/>
      <c r="TF268" s="39"/>
      <c r="TG268" s="39"/>
      <c r="TH268" s="39"/>
      <c r="TI268" s="39"/>
    </row>
    <row r="269" spans="1:529" s="31" customFormat="1" ht="14.25" x14ac:dyDescent="0.2">
      <c r="A269" s="131"/>
      <c r="B269" s="132"/>
      <c r="C269" s="133"/>
      <c r="D269" s="134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  <c r="DG269" s="38"/>
      <c r="DH269" s="38"/>
      <c r="DI269" s="38"/>
      <c r="DJ269" s="38"/>
      <c r="DK269" s="38"/>
      <c r="DL269" s="38"/>
      <c r="DM269" s="38"/>
      <c r="DN269" s="38"/>
      <c r="DO269" s="38"/>
      <c r="DP269" s="38"/>
      <c r="DQ269" s="38"/>
      <c r="DR269" s="38"/>
      <c r="DS269" s="38"/>
      <c r="DT269" s="38"/>
      <c r="DU269" s="38"/>
      <c r="DV269" s="38"/>
      <c r="DW269" s="38"/>
      <c r="DX269" s="38"/>
      <c r="DY269" s="38"/>
      <c r="DZ269" s="38"/>
      <c r="EA269" s="38"/>
      <c r="EB269" s="38"/>
      <c r="EC269" s="38"/>
      <c r="ED269" s="38"/>
      <c r="EE269" s="38"/>
      <c r="EF269" s="38"/>
      <c r="EG269" s="38"/>
      <c r="EH269" s="38"/>
      <c r="EI269" s="38"/>
      <c r="EJ269" s="38"/>
      <c r="EK269" s="38"/>
      <c r="EL269" s="38"/>
      <c r="EM269" s="38"/>
      <c r="EN269" s="38"/>
      <c r="EO269" s="38"/>
      <c r="EP269" s="38"/>
      <c r="EQ269" s="38"/>
      <c r="ER269" s="38"/>
      <c r="ES269" s="38"/>
      <c r="ET269" s="38"/>
      <c r="EU269" s="38"/>
      <c r="EV269" s="38"/>
      <c r="EW269" s="38"/>
      <c r="EX269" s="38"/>
      <c r="EY269" s="38"/>
      <c r="EZ269" s="38"/>
      <c r="FA269" s="38"/>
      <c r="FB269" s="38"/>
      <c r="FC269" s="38"/>
      <c r="FD269" s="38"/>
      <c r="FE269" s="38"/>
      <c r="FF269" s="38"/>
      <c r="FG269" s="38"/>
      <c r="FH269" s="38"/>
      <c r="FI269" s="38"/>
      <c r="FJ269" s="38"/>
      <c r="FK269" s="38"/>
      <c r="FL269" s="38"/>
      <c r="FM269" s="38"/>
      <c r="FN269" s="38"/>
      <c r="FO269" s="38"/>
      <c r="FP269" s="38"/>
      <c r="FQ269" s="38"/>
      <c r="FR269" s="38"/>
      <c r="FS269" s="38"/>
      <c r="FT269" s="38"/>
      <c r="FU269" s="38"/>
      <c r="FV269" s="38"/>
      <c r="FW269" s="38"/>
      <c r="FX269" s="38"/>
      <c r="FY269" s="38"/>
      <c r="FZ269" s="38"/>
      <c r="GA269" s="38"/>
      <c r="GB269" s="38"/>
      <c r="GC269" s="38"/>
      <c r="GD269" s="38"/>
      <c r="GE269" s="38"/>
      <c r="GF269" s="38"/>
      <c r="GG269" s="38"/>
      <c r="GH269" s="38"/>
      <c r="GI269" s="38"/>
      <c r="GJ269" s="38"/>
      <c r="GK269" s="38"/>
      <c r="GL269" s="38"/>
      <c r="GM269" s="38"/>
      <c r="GN269" s="38"/>
      <c r="GO269" s="38"/>
      <c r="GP269" s="38"/>
      <c r="GQ269" s="38"/>
      <c r="GR269" s="38"/>
      <c r="GS269" s="38"/>
      <c r="GT269" s="38"/>
      <c r="GU269" s="38"/>
      <c r="GV269" s="38"/>
      <c r="GW269" s="38"/>
      <c r="GX269" s="38"/>
      <c r="GY269" s="38"/>
      <c r="GZ269" s="38"/>
      <c r="HA269" s="38"/>
      <c r="HB269" s="38"/>
      <c r="HC269" s="38"/>
      <c r="HD269" s="38"/>
      <c r="HE269" s="38"/>
      <c r="HF269" s="38"/>
      <c r="HG269" s="38"/>
      <c r="HH269" s="38"/>
      <c r="HI269" s="38"/>
      <c r="HJ269" s="38"/>
      <c r="HK269" s="38"/>
      <c r="HL269" s="38"/>
      <c r="HM269" s="38"/>
      <c r="HN269" s="38"/>
      <c r="HO269" s="38"/>
      <c r="HP269" s="38"/>
      <c r="HQ269" s="38"/>
      <c r="HR269" s="38"/>
      <c r="HS269" s="38"/>
      <c r="HT269" s="38"/>
      <c r="HU269" s="38"/>
      <c r="HV269" s="38"/>
      <c r="HW269" s="38"/>
      <c r="HX269" s="38"/>
      <c r="HY269" s="38"/>
      <c r="HZ269" s="38"/>
      <c r="IA269" s="38"/>
      <c r="IB269" s="38"/>
      <c r="IC269" s="38"/>
      <c r="ID269" s="38"/>
      <c r="IE269" s="38"/>
      <c r="IF269" s="38"/>
      <c r="IG269" s="38"/>
      <c r="IH269" s="38"/>
      <c r="II269" s="38"/>
      <c r="IJ269" s="38"/>
      <c r="IK269" s="38"/>
      <c r="IL269" s="38"/>
      <c r="IM269" s="38"/>
      <c r="IN269" s="38"/>
      <c r="IO269" s="38"/>
      <c r="IP269" s="38"/>
      <c r="IQ269" s="38"/>
      <c r="IR269" s="38"/>
      <c r="IS269" s="38"/>
      <c r="IT269" s="38"/>
      <c r="IU269" s="38"/>
      <c r="IV269" s="38"/>
      <c r="IW269" s="38"/>
      <c r="IX269" s="38"/>
      <c r="IY269" s="38"/>
      <c r="IZ269" s="38"/>
      <c r="JA269" s="38"/>
      <c r="JB269" s="38"/>
      <c r="JC269" s="38"/>
      <c r="JD269" s="38"/>
      <c r="JE269" s="38"/>
      <c r="JF269" s="38"/>
      <c r="JG269" s="38"/>
      <c r="JH269" s="38"/>
      <c r="JI269" s="38"/>
      <c r="JJ269" s="38"/>
      <c r="JK269" s="38"/>
      <c r="JL269" s="38"/>
      <c r="JM269" s="38"/>
      <c r="JN269" s="38"/>
      <c r="JO269" s="38"/>
      <c r="JP269" s="38"/>
      <c r="JQ269" s="38"/>
      <c r="JR269" s="38"/>
      <c r="JS269" s="38"/>
      <c r="JT269" s="38"/>
      <c r="JU269" s="38"/>
      <c r="JV269" s="38"/>
      <c r="JW269" s="38"/>
      <c r="JX269" s="38"/>
      <c r="JY269" s="38"/>
      <c r="JZ269" s="38"/>
      <c r="KA269" s="38"/>
      <c r="KB269" s="38"/>
      <c r="KC269" s="38"/>
      <c r="KD269" s="38"/>
      <c r="KE269" s="38"/>
      <c r="KF269" s="38"/>
      <c r="KG269" s="38"/>
      <c r="KH269" s="38"/>
      <c r="KI269" s="38"/>
      <c r="KJ269" s="38"/>
      <c r="KK269" s="38"/>
      <c r="KL269" s="38"/>
      <c r="KM269" s="38"/>
      <c r="KN269" s="38"/>
      <c r="KO269" s="38"/>
      <c r="KP269" s="38"/>
      <c r="KQ269" s="38"/>
      <c r="KR269" s="38"/>
      <c r="KS269" s="38"/>
      <c r="KT269" s="38"/>
      <c r="KU269" s="38"/>
      <c r="KV269" s="38"/>
      <c r="KW269" s="38"/>
      <c r="KX269" s="38"/>
      <c r="KY269" s="38"/>
      <c r="KZ269" s="38"/>
      <c r="LA269" s="38"/>
      <c r="LB269" s="38"/>
      <c r="LC269" s="38"/>
      <c r="LD269" s="38"/>
      <c r="LE269" s="38"/>
      <c r="LF269" s="38"/>
      <c r="LG269" s="38"/>
      <c r="LH269" s="38"/>
      <c r="LI269" s="38"/>
      <c r="LJ269" s="38"/>
      <c r="LK269" s="38"/>
      <c r="LL269" s="38"/>
      <c r="LM269" s="38"/>
      <c r="LN269" s="38"/>
      <c r="LO269" s="38"/>
      <c r="LP269" s="38"/>
      <c r="LQ269" s="38"/>
      <c r="LR269" s="38"/>
      <c r="LS269" s="38"/>
      <c r="LT269" s="38"/>
      <c r="LU269" s="38"/>
      <c r="LV269" s="38"/>
      <c r="LW269" s="38"/>
      <c r="LX269" s="38"/>
      <c r="LY269" s="38"/>
      <c r="LZ269" s="38"/>
      <c r="MA269" s="38"/>
      <c r="MB269" s="38"/>
      <c r="MC269" s="38"/>
      <c r="MD269" s="38"/>
      <c r="ME269" s="38"/>
      <c r="MF269" s="38"/>
      <c r="MG269" s="38"/>
      <c r="MH269" s="38"/>
      <c r="MI269" s="38"/>
      <c r="MJ269" s="38"/>
      <c r="MK269" s="38"/>
      <c r="ML269" s="38"/>
      <c r="MM269" s="38"/>
      <c r="MN269" s="38"/>
      <c r="MO269" s="38"/>
      <c r="MP269" s="38"/>
      <c r="MQ269" s="38"/>
      <c r="MR269" s="38"/>
      <c r="MS269" s="38"/>
      <c r="MT269" s="38"/>
      <c r="MU269" s="38"/>
      <c r="MV269" s="38"/>
      <c r="MW269" s="38"/>
      <c r="MX269" s="38"/>
      <c r="MY269" s="38"/>
      <c r="MZ269" s="38"/>
      <c r="NA269" s="38"/>
      <c r="NB269" s="38"/>
      <c r="NC269" s="38"/>
      <c r="ND269" s="38"/>
      <c r="NE269" s="38"/>
      <c r="NF269" s="38"/>
      <c r="NG269" s="38"/>
      <c r="NH269" s="38"/>
      <c r="NI269" s="38"/>
      <c r="NJ269" s="38"/>
      <c r="NK269" s="38"/>
      <c r="NL269" s="38"/>
      <c r="NM269" s="38"/>
      <c r="NN269" s="38"/>
      <c r="NO269" s="38"/>
      <c r="NP269" s="38"/>
      <c r="NQ269" s="38"/>
      <c r="NR269" s="38"/>
      <c r="NS269" s="38"/>
      <c r="NT269" s="38"/>
      <c r="NU269" s="38"/>
      <c r="NV269" s="38"/>
      <c r="NW269" s="38"/>
      <c r="NX269" s="38"/>
      <c r="NY269" s="38"/>
      <c r="NZ269" s="38"/>
      <c r="OA269" s="38"/>
      <c r="OB269" s="38"/>
      <c r="OC269" s="38"/>
      <c r="OD269" s="38"/>
      <c r="OE269" s="38"/>
      <c r="OF269" s="38"/>
      <c r="OG269" s="38"/>
      <c r="OH269" s="38"/>
      <c r="OI269" s="38"/>
      <c r="OJ269" s="38"/>
      <c r="OK269" s="38"/>
      <c r="OL269" s="38"/>
      <c r="OM269" s="38"/>
      <c r="ON269" s="38"/>
      <c r="OO269" s="38"/>
      <c r="OP269" s="38"/>
      <c r="OQ269" s="38"/>
      <c r="OR269" s="38"/>
      <c r="OS269" s="38"/>
      <c r="OT269" s="38"/>
      <c r="OU269" s="38"/>
      <c r="OV269" s="38"/>
      <c r="OW269" s="38"/>
      <c r="OX269" s="38"/>
      <c r="OY269" s="38"/>
      <c r="OZ269" s="38"/>
      <c r="PA269" s="38"/>
      <c r="PB269" s="38"/>
      <c r="PC269" s="38"/>
      <c r="PD269" s="38"/>
      <c r="PE269" s="38"/>
      <c r="PF269" s="38"/>
      <c r="PG269" s="38"/>
      <c r="PH269" s="38"/>
      <c r="PI269" s="38"/>
      <c r="PJ269" s="38"/>
      <c r="PK269" s="38"/>
      <c r="PL269" s="38"/>
      <c r="PM269" s="38"/>
      <c r="PN269" s="38"/>
      <c r="PO269" s="38"/>
      <c r="PP269" s="38"/>
      <c r="PQ269" s="38"/>
      <c r="PR269" s="38"/>
      <c r="PS269" s="38"/>
      <c r="PT269" s="38"/>
      <c r="PU269" s="38"/>
      <c r="PV269" s="38"/>
      <c r="PW269" s="38"/>
      <c r="PX269" s="38"/>
      <c r="PY269" s="38"/>
      <c r="PZ269" s="38"/>
      <c r="QA269" s="38"/>
      <c r="QB269" s="38"/>
      <c r="QC269" s="38"/>
      <c r="QD269" s="38"/>
      <c r="QE269" s="38"/>
      <c r="QF269" s="38"/>
      <c r="QG269" s="38"/>
      <c r="QH269" s="38"/>
      <c r="QI269" s="38"/>
      <c r="QJ269" s="38"/>
      <c r="QK269" s="38"/>
      <c r="QL269" s="38"/>
      <c r="QM269" s="38"/>
      <c r="QN269" s="38"/>
      <c r="QO269" s="38"/>
      <c r="QP269" s="38"/>
      <c r="QQ269" s="38"/>
      <c r="QR269" s="38"/>
      <c r="QS269" s="38"/>
      <c r="QT269" s="38"/>
      <c r="QU269" s="38"/>
      <c r="QV269" s="38"/>
      <c r="QW269" s="38"/>
      <c r="QX269" s="38"/>
      <c r="QY269" s="38"/>
      <c r="QZ269" s="38"/>
      <c r="RA269" s="38"/>
      <c r="RB269" s="38"/>
      <c r="RC269" s="38"/>
      <c r="RD269" s="38"/>
      <c r="RE269" s="38"/>
      <c r="RF269" s="38"/>
      <c r="RG269" s="38"/>
      <c r="RH269" s="38"/>
      <c r="RI269" s="38"/>
      <c r="RJ269" s="38"/>
      <c r="RK269" s="38"/>
      <c r="RL269" s="38"/>
      <c r="RM269" s="38"/>
      <c r="RN269" s="38"/>
      <c r="RO269" s="38"/>
      <c r="RP269" s="38"/>
      <c r="RQ269" s="38"/>
      <c r="RR269" s="38"/>
      <c r="RS269" s="38"/>
      <c r="RT269" s="38"/>
      <c r="RU269" s="38"/>
      <c r="RV269" s="38"/>
      <c r="RW269" s="38"/>
      <c r="RX269" s="38"/>
      <c r="RY269" s="38"/>
      <c r="RZ269" s="38"/>
      <c r="SA269" s="38"/>
      <c r="SB269" s="38"/>
      <c r="SC269" s="38"/>
      <c r="SD269" s="38"/>
      <c r="SE269" s="38"/>
      <c r="SF269" s="38"/>
      <c r="SG269" s="38"/>
      <c r="SH269" s="38"/>
      <c r="SI269" s="38"/>
      <c r="SJ269" s="38"/>
      <c r="SK269" s="38"/>
      <c r="SL269" s="38"/>
      <c r="SM269" s="38"/>
      <c r="SN269" s="38"/>
      <c r="SO269" s="38"/>
      <c r="SP269" s="38"/>
      <c r="SQ269" s="38"/>
      <c r="SR269" s="38"/>
      <c r="SS269" s="38"/>
      <c r="ST269" s="38"/>
      <c r="SU269" s="38"/>
      <c r="SV269" s="38"/>
      <c r="SW269" s="38"/>
      <c r="SX269" s="38"/>
      <c r="SY269" s="38"/>
      <c r="SZ269" s="38"/>
      <c r="TA269" s="38"/>
      <c r="TB269" s="38"/>
      <c r="TC269" s="38"/>
      <c r="TD269" s="38"/>
      <c r="TE269" s="38"/>
      <c r="TF269" s="38"/>
      <c r="TG269" s="38"/>
      <c r="TH269" s="38"/>
      <c r="TI269" s="38"/>
    </row>
    <row r="270" spans="1:529" s="31" customFormat="1" ht="14.25" x14ac:dyDescent="0.2">
      <c r="A270" s="131"/>
      <c r="B270" s="132"/>
      <c r="C270" s="133"/>
      <c r="D270" s="134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  <c r="DG270" s="38"/>
      <c r="DH270" s="38"/>
      <c r="DI270" s="38"/>
      <c r="DJ270" s="38"/>
      <c r="DK270" s="38"/>
      <c r="DL270" s="38"/>
      <c r="DM270" s="38"/>
      <c r="DN270" s="38"/>
      <c r="DO270" s="38"/>
      <c r="DP270" s="38"/>
      <c r="DQ270" s="38"/>
      <c r="DR270" s="38"/>
      <c r="DS270" s="38"/>
      <c r="DT270" s="38"/>
      <c r="DU270" s="38"/>
      <c r="DV270" s="38"/>
      <c r="DW270" s="38"/>
      <c r="DX270" s="38"/>
      <c r="DY270" s="38"/>
      <c r="DZ270" s="38"/>
      <c r="EA270" s="38"/>
      <c r="EB270" s="38"/>
      <c r="EC270" s="38"/>
      <c r="ED270" s="38"/>
      <c r="EE270" s="38"/>
      <c r="EF270" s="38"/>
      <c r="EG270" s="38"/>
      <c r="EH270" s="38"/>
      <c r="EI270" s="38"/>
      <c r="EJ270" s="38"/>
      <c r="EK270" s="38"/>
      <c r="EL270" s="38"/>
      <c r="EM270" s="38"/>
      <c r="EN270" s="38"/>
      <c r="EO270" s="38"/>
      <c r="EP270" s="38"/>
      <c r="EQ270" s="38"/>
      <c r="ER270" s="38"/>
      <c r="ES270" s="38"/>
      <c r="ET270" s="38"/>
      <c r="EU270" s="38"/>
      <c r="EV270" s="38"/>
      <c r="EW270" s="38"/>
      <c r="EX270" s="38"/>
      <c r="EY270" s="38"/>
      <c r="EZ270" s="38"/>
      <c r="FA270" s="38"/>
      <c r="FB270" s="38"/>
      <c r="FC270" s="38"/>
      <c r="FD270" s="38"/>
      <c r="FE270" s="38"/>
      <c r="FF270" s="38"/>
      <c r="FG270" s="38"/>
      <c r="FH270" s="38"/>
      <c r="FI270" s="38"/>
      <c r="FJ270" s="38"/>
      <c r="FK270" s="38"/>
      <c r="FL270" s="38"/>
      <c r="FM270" s="38"/>
      <c r="FN270" s="38"/>
      <c r="FO270" s="38"/>
      <c r="FP270" s="38"/>
      <c r="FQ270" s="38"/>
      <c r="FR270" s="38"/>
      <c r="FS270" s="38"/>
      <c r="FT270" s="38"/>
      <c r="FU270" s="38"/>
      <c r="FV270" s="38"/>
      <c r="FW270" s="38"/>
      <c r="FX270" s="38"/>
      <c r="FY270" s="38"/>
      <c r="FZ270" s="38"/>
      <c r="GA270" s="38"/>
      <c r="GB270" s="38"/>
      <c r="GC270" s="38"/>
      <c r="GD270" s="38"/>
      <c r="GE270" s="38"/>
      <c r="GF270" s="38"/>
      <c r="GG270" s="38"/>
      <c r="GH270" s="38"/>
      <c r="GI270" s="38"/>
      <c r="GJ270" s="38"/>
      <c r="GK270" s="38"/>
      <c r="GL270" s="38"/>
      <c r="GM270" s="38"/>
      <c r="GN270" s="38"/>
      <c r="GO270" s="38"/>
      <c r="GP270" s="38"/>
      <c r="GQ270" s="38"/>
      <c r="GR270" s="38"/>
      <c r="GS270" s="38"/>
      <c r="GT270" s="38"/>
      <c r="GU270" s="38"/>
      <c r="GV270" s="38"/>
      <c r="GW270" s="38"/>
      <c r="GX270" s="38"/>
      <c r="GY270" s="38"/>
      <c r="GZ270" s="38"/>
      <c r="HA270" s="38"/>
      <c r="HB270" s="38"/>
      <c r="HC270" s="38"/>
      <c r="HD270" s="38"/>
      <c r="HE270" s="38"/>
      <c r="HF270" s="38"/>
      <c r="HG270" s="38"/>
      <c r="HH270" s="38"/>
      <c r="HI270" s="38"/>
      <c r="HJ270" s="38"/>
      <c r="HK270" s="38"/>
      <c r="HL270" s="38"/>
      <c r="HM270" s="38"/>
      <c r="HN270" s="38"/>
      <c r="HO270" s="38"/>
      <c r="HP270" s="38"/>
      <c r="HQ270" s="38"/>
      <c r="HR270" s="38"/>
      <c r="HS270" s="38"/>
      <c r="HT270" s="38"/>
      <c r="HU270" s="38"/>
      <c r="HV270" s="38"/>
      <c r="HW270" s="38"/>
      <c r="HX270" s="38"/>
      <c r="HY270" s="38"/>
      <c r="HZ270" s="38"/>
      <c r="IA270" s="38"/>
      <c r="IB270" s="38"/>
      <c r="IC270" s="38"/>
      <c r="ID270" s="38"/>
      <c r="IE270" s="38"/>
      <c r="IF270" s="38"/>
      <c r="IG270" s="38"/>
      <c r="IH270" s="38"/>
      <c r="II270" s="38"/>
      <c r="IJ270" s="38"/>
      <c r="IK270" s="38"/>
      <c r="IL270" s="38"/>
      <c r="IM270" s="38"/>
      <c r="IN270" s="38"/>
      <c r="IO270" s="38"/>
      <c r="IP270" s="38"/>
      <c r="IQ270" s="38"/>
      <c r="IR270" s="38"/>
      <c r="IS270" s="38"/>
      <c r="IT270" s="38"/>
      <c r="IU270" s="38"/>
      <c r="IV270" s="38"/>
      <c r="IW270" s="38"/>
      <c r="IX270" s="38"/>
      <c r="IY270" s="38"/>
      <c r="IZ270" s="38"/>
      <c r="JA270" s="38"/>
      <c r="JB270" s="38"/>
      <c r="JC270" s="38"/>
      <c r="JD270" s="38"/>
      <c r="JE270" s="38"/>
      <c r="JF270" s="38"/>
      <c r="JG270" s="38"/>
      <c r="JH270" s="38"/>
      <c r="JI270" s="38"/>
      <c r="JJ270" s="38"/>
      <c r="JK270" s="38"/>
      <c r="JL270" s="38"/>
      <c r="JM270" s="38"/>
      <c r="JN270" s="38"/>
      <c r="JO270" s="38"/>
      <c r="JP270" s="38"/>
      <c r="JQ270" s="38"/>
      <c r="JR270" s="38"/>
      <c r="JS270" s="38"/>
      <c r="JT270" s="38"/>
      <c r="JU270" s="38"/>
      <c r="JV270" s="38"/>
      <c r="JW270" s="38"/>
      <c r="JX270" s="38"/>
      <c r="JY270" s="38"/>
      <c r="JZ270" s="38"/>
      <c r="KA270" s="38"/>
      <c r="KB270" s="38"/>
      <c r="KC270" s="38"/>
      <c r="KD270" s="38"/>
      <c r="KE270" s="38"/>
      <c r="KF270" s="38"/>
      <c r="KG270" s="38"/>
      <c r="KH270" s="38"/>
      <c r="KI270" s="38"/>
      <c r="KJ270" s="38"/>
      <c r="KK270" s="38"/>
      <c r="KL270" s="38"/>
      <c r="KM270" s="38"/>
      <c r="KN270" s="38"/>
      <c r="KO270" s="38"/>
      <c r="KP270" s="38"/>
      <c r="KQ270" s="38"/>
      <c r="KR270" s="38"/>
      <c r="KS270" s="38"/>
      <c r="KT270" s="38"/>
      <c r="KU270" s="38"/>
      <c r="KV270" s="38"/>
      <c r="KW270" s="38"/>
      <c r="KX270" s="38"/>
      <c r="KY270" s="38"/>
      <c r="KZ270" s="38"/>
      <c r="LA270" s="38"/>
      <c r="LB270" s="38"/>
      <c r="LC270" s="38"/>
      <c r="LD270" s="38"/>
      <c r="LE270" s="38"/>
      <c r="LF270" s="38"/>
      <c r="LG270" s="38"/>
      <c r="LH270" s="38"/>
      <c r="LI270" s="38"/>
      <c r="LJ270" s="38"/>
      <c r="LK270" s="38"/>
      <c r="LL270" s="38"/>
      <c r="LM270" s="38"/>
      <c r="LN270" s="38"/>
      <c r="LO270" s="38"/>
      <c r="LP270" s="38"/>
      <c r="LQ270" s="38"/>
      <c r="LR270" s="38"/>
      <c r="LS270" s="38"/>
      <c r="LT270" s="38"/>
      <c r="LU270" s="38"/>
      <c r="LV270" s="38"/>
      <c r="LW270" s="38"/>
      <c r="LX270" s="38"/>
      <c r="LY270" s="38"/>
      <c r="LZ270" s="38"/>
      <c r="MA270" s="38"/>
      <c r="MB270" s="38"/>
      <c r="MC270" s="38"/>
      <c r="MD270" s="38"/>
      <c r="ME270" s="38"/>
      <c r="MF270" s="38"/>
      <c r="MG270" s="38"/>
      <c r="MH270" s="38"/>
      <c r="MI270" s="38"/>
      <c r="MJ270" s="38"/>
      <c r="MK270" s="38"/>
      <c r="ML270" s="38"/>
      <c r="MM270" s="38"/>
      <c r="MN270" s="38"/>
      <c r="MO270" s="38"/>
      <c r="MP270" s="38"/>
      <c r="MQ270" s="38"/>
      <c r="MR270" s="38"/>
      <c r="MS270" s="38"/>
      <c r="MT270" s="38"/>
      <c r="MU270" s="38"/>
      <c r="MV270" s="38"/>
      <c r="MW270" s="38"/>
      <c r="MX270" s="38"/>
      <c r="MY270" s="38"/>
      <c r="MZ270" s="38"/>
      <c r="NA270" s="38"/>
      <c r="NB270" s="38"/>
      <c r="NC270" s="38"/>
      <c r="ND270" s="38"/>
      <c r="NE270" s="38"/>
      <c r="NF270" s="38"/>
      <c r="NG270" s="38"/>
      <c r="NH270" s="38"/>
      <c r="NI270" s="38"/>
      <c r="NJ270" s="38"/>
      <c r="NK270" s="38"/>
      <c r="NL270" s="38"/>
      <c r="NM270" s="38"/>
      <c r="NN270" s="38"/>
      <c r="NO270" s="38"/>
      <c r="NP270" s="38"/>
      <c r="NQ270" s="38"/>
      <c r="NR270" s="38"/>
      <c r="NS270" s="38"/>
      <c r="NT270" s="38"/>
      <c r="NU270" s="38"/>
      <c r="NV270" s="38"/>
      <c r="NW270" s="38"/>
      <c r="NX270" s="38"/>
      <c r="NY270" s="38"/>
      <c r="NZ270" s="38"/>
      <c r="OA270" s="38"/>
      <c r="OB270" s="38"/>
      <c r="OC270" s="38"/>
      <c r="OD270" s="38"/>
      <c r="OE270" s="38"/>
      <c r="OF270" s="38"/>
      <c r="OG270" s="38"/>
      <c r="OH270" s="38"/>
      <c r="OI270" s="38"/>
      <c r="OJ270" s="38"/>
      <c r="OK270" s="38"/>
      <c r="OL270" s="38"/>
      <c r="OM270" s="38"/>
      <c r="ON270" s="38"/>
      <c r="OO270" s="38"/>
      <c r="OP270" s="38"/>
      <c r="OQ270" s="38"/>
      <c r="OR270" s="38"/>
      <c r="OS270" s="38"/>
      <c r="OT270" s="38"/>
      <c r="OU270" s="38"/>
      <c r="OV270" s="38"/>
      <c r="OW270" s="38"/>
      <c r="OX270" s="38"/>
      <c r="OY270" s="38"/>
      <c r="OZ270" s="38"/>
      <c r="PA270" s="38"/>
      <c r="PB270" s="38"/>
      <c r="PC270" s="38"/>
      <c r="PD270" s="38"/>
      <c r="PE270" s="38"/>
      <c r="PF270" s="38"/>
      <c r="PG270" s="38"/>
      <c r="PH270" s="38"/>
      <c r="PI270" s="38"/>
      <c r="PJ270" s="38"/>
      <c r="PK270" s="38"/>
      <c r="PL270" s="38"/>
      <c r="PM270" s="38"/>
      <c r="PN270" s="38"/>
      <c r="PO270" s="38"/>
      <c r="PP270" s="38"/>
      <c r="PQ270" s="38"/>
      <c r="PR270" s="38"/>
      <c r="PS270" s="38"/>
      <c r="PT270" s="38"/>
      <c r="PU270" s="38"/>
      <c r="PV270" s="38"/>
      <c r="PW270" s="38"/>
      <c r="PX270" s="38"/>
      <c r="PY270" s="38"/>
      <c r="PZ270" s="38"/>
      <c r="QA270" s="38"/>
      <c r="QB270" s="38"/>
      <c r="QC270" s="38"/>
      <c r="QD270" s="38"/>
      <c r="QE270" s="38"/>
      <c r="QF270" s="38"/>
      <c r="QG270" s="38"/>
      <c r="QH270" s="38"/>
      <c r="QI270" s="38"/>
      <c r="QJ270" s="38"/>
      <c r="QK270" s="38"/>
      <c r="QL270" s="38"/>
      <c r="QM270" s="38"/>
      <c r="QN270" s="38"/>
      <c r="QO270" s="38"/>
      <c r="QP270" s="38"/>
      <c r="QQ270" s="38"/>
      <c r="QR270" s="38"/>
      <c r="QS270" s="38"/>
      <c r="QT270" s="38"/>
      <c r="QU270" s="38"/>
      <c r="QV270" s="38"/>
      <c r="QW270" s="38"/>
      <c r="QX270" s="38"/>
      <c r="QY270" s="38"/>
      <c r="QZ270" s="38"/>
      <c r="RA270" s="38"/>
      <c r="RB270" s="38"/>
      <c r="RC270" s="38"/>
      <c r="RD270" s="38"/>
      <c r="RE270" s="38"/>
      <c r="RF270" s="38"/>
      <c r="RG270" s="38"/>
      <c r="RH270" s="38"/>
      <c r="RI270" s="38"/>
      <c r="RJ270" s="38"/>
      <c r="RK270" s="38"/>
      <c r="RL270" s="38"/>
      <c r="RM270" s="38"/>
      <c r="RN270" s="38"/>
      <c r="RO270" s="38"/>
      <c r="RP270" s="38"/>
      <c r="RQ270" s="38"/>
      <c r="RR270" s="38"/>
      <c r="RS270" s="38"/>
      <c r="RT270" s="38"/>
      <c r="RU270" s="38"/>
      <c r="RV270" s="38"/>
      <c r="RW270" s="38"/>
      <c r="RX270" s="38"/>
      <c r="RY270" s="38"/>
      <c r="RZ270" s="38"/>
      <c r="SA270" s="38"/>
      <c r="SB270" s="38"/>
      <c r="SC270" s="38"/>
      <c r="SD270" s="38"/>
      <c r="SE270" s="38"/>
      <c r="SF270" s="38"/>
      <c r="SG270" s="38"/>
      <c r="SH270" s="38"/>
      <c r="SI270" s="38"/>
      <c r="SJ270" s="38"/>
      <c r="SK270" s="38"/>
      <c r="SL270" s="38"/>
      <c r="SM270" s="38"/>
      <c r="SN270" s="38"/>
      <c r="SO270" s="38"/>
      <c r="SP270" s="38"/>
      <c r="SQ270" s="38"/>
      <c r="SR270" s="38"/>
      <c r="SS270" s="38"/>
      <c r="ST270" s="38"/>
      <c r="SU270" s="38"/>
      <c r="SV270" s="38"/>
      <c r="SW270" s="38"/>
      <c r="SX270" s="38"/>
      <c r="SY270" s="38"/>
      <c r="SZ270" s="38"/>
      <c r="TA270" s="38"/>
      <c r="TB270" s="38"/>
      <c r="TC270" s="38"/>
      <c r="TD270" s="38"/>
      <c r="TE270" s="38"/>
      <c r="TF270" s="38"/>
      <c r="TG270" s="38"/>
      <c r="TH270" s="38"/>
      <c r="TI270" s="38"/>
    </row>
    <row r="271" spans="1:529" s="31" customFormat="1" ht="14.25" x14ac:dyDescent="0.2">
      <c r="A271" s="131"/>
      <c r="B271" s="132"/>
      <c r="C271" s="133"/>
      <c r="D271" s="134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  <c r="DG271" s="38"/>
      <c r="DH271" s="38"/>
      <c r="DI271" s="38"/>
      <c r="DJ271" s="38"/>
      <c r="DK271" s="38"/>
      <c r="DL271" s="38"/>
      <c r="DM271" s="38"/>
      <c r="DN271" s="38"/>
      <c r="DO271" s="38"/>
      <c r="DP271" s="38"/>
      <c r="DQ271" s="38"/>
      <c r="DR271" s="38"/>
      <c r="DS271" s="38"/>
      <c r="DT271" s="38"/>
      <c r="DU271" s="38"/>
      <c r="DV271" s="38"/>
      <c r="DW271" s="38"/>
      <c r="DX271" s="38"/>
      <c r="DY271" s="38"/>
      <c r="DZ271" s="38"/>
      <c r="EA271" s="38"/>
      <c r="EB271" s="38"/>
      <c r="EC271" s="38"/>
      <c r="ED271" s="38"/>
      <c r="EE271" s="38"/>
      <c r="EF271" s="38"/>
      <c r="EG271" s="38"/>
      <c r="EH271" s="38"/>
      <c r="EI271" s="38"/>
      <c r="EJ271" s="38"/>
      <c r="EK271" s="38"/>
      <c r="EL271" s="38"/>
      <c r="EM271" s="38"/>
      <c r="EN271" s="38"/>
      <c r="EO271" s="38"/>
      <c r="EP271" s="38"/>
      <c r="EQ271" s="38"/>
      <c r="ER271" s="38"/>
      <c r="ES271" s="38"/>
      <c r="ET271" s="38"/>
      <c r="EU271" s="38"/>
      <c r="EV271" s="38"/>
      <c r="EW271" s="38"/>
      <c r="EX271" s="38"/>
      <c r="EY271" s="38"/>
      <c r="EZ271" s="38"/>
      <c r="FA271" s="38"/>
      <c r="FB271" s="38"/>
      <c r="FC271" s="38"/>
      <c r="FD271" s="38"/>
      <c r="FE271" s="38"/>
      <c r="FF271" s="38"/>
      <c r="FG271" s="38"/>
      <c r="FH271" s="38"/>
      <c r="FI271" s="38"/>
      <c r="FJ271" s="38"/>
      <c r="FK271" s="38"/>
      <c r="FL271" s="38"/>
      <c r="FM271" s="38"/>
      <c r="FN271" s="38"/>
      <c r="FO271" s="38"/>
      <c r="FP271" s="38"/>
      <c r="FQ271" s="38"/>
      <c r="FR271" s="38"/>
      <c r="FS271" s="38"/>
      <c r="FT271" s="38"/>
      <c r="FU271" s="38"/>
      <c r="FV271" s="38"/>
      <c r="FW271" s="38"/>
      <c r="FX271" s="38"/>
      <c r="FY271" s="38"/>
      <c r="FZ271" s="38"/>
      <c r="GA271" s="38"/>
      <c r="GB271" s="38"/>
      <c r="GC271" s="38"/>
      <c r="GD271" s="38"/>
      <c r="GE271" s="38"/>
      <c r="GF271" s="38"/>
      <c r="GG271" s="38"/>
      <c r="GH271" s="38"/>
      <c r="GI271" s="38"/>
      <c r="GJ271" s="38"/>
      <c r="GK271" s="38"/>
      <c r="GL271" s="38"/>
      <c r="GM271" s="38"/>
      <c r="GN271" s="38"/>
      <c r="GO271" s="38"/>
      <c r="GP271" s="38"/>
      <c r="GQ271" s="38"/>
      <c r="GR271" s="38"/>
      <c r="GS271" s="38"/>
      <c r="GT271" s="38"/>
      <c r="GU271" s="38"/>
      <c r="GV271" s="38"/>
      <c r="GW271" s="38"/>
      <c r="GX271" s="38"/>
      <c r="GY271" s="38"/>
      <c r="GZ271" s="38"/>
      <c r="HA271" s="38"/>
      <c r="HB271" s="38"/>
      <c r="HC271" s="38"/>
      <c r="HD271" s="38"/>
      <c r="HE271" s="38"/>
      <c r="HF271" s="38"/>
      <c r="HG271" s="38"/>
      <c r="HH271" s="38"/>
      <c r="HI271" s="38"/>
      <c r="HJ271" s="38"/>
      <c r="HK271" s="38"/>
      <c r="HL271" s="38"/>
      <c r="HM271" s="38"/>
      <c r="HN271" s="38"/>
      <c r="HO271" s="38"/>
      <c r="HP271" s="38"/>
      <c r="HQ271" s="38"/>
      <c r="HR271" s="38"/>
      <c r="HS271" s="38"/>
      <c r="HT271" s="38"/>
      <c r="HU271" s="38"/>
      <c r="HV271" s="38"/>
      <c r="HW271" s="38"/>
      <c r="HX271" s="38"/>
      <c r="HY271" s="38"/>
      <c r="HZ271" s="38"/>
      <c r="IA271" s="38"/>
      <c r="IB271" s="38"/>
      <c r="IC271" s="38"/>
      <c r="ID271" s="38"/>
      <c r="IE271" s="38"/>
      <c r="IF271" s="38"/>
      <c r="IG271" s="38"/>
      <c r="IH271" s="38"/>
      <c r="II271" s="38"/>
      <c r="IJ271" s="38"/>
      <c r="IK271" s="38"/>
      <c r="IL271" s="38"/>
      <c r="IM271" s="38"/>
      <c r="IN271" s="38"/>
      <c r="IO271" s="38"/>
      <c r="IP271" s="38"/>
      <c r="IQ271" s="38"/>
      <c r="IR271" s="38"/>
      <c r="IS271" s="38"/>
      <c r="IT271" s="38"/>
      <c r="IU271" s="38"/>
      <c r="IV271" s="38"/>
      <c r="IW271" s="38"/>
      <c r="IX271" s="38"/>
      <c r="IY271" s="38"/>
      <c r="IZ271" s="38"/>
      <c r="JA271" s="38"/>
      <c r="JB271" s="38"/>
      <c r="JC271" s="38"/>
      <c r="JD271" s="38"/>
      <c r="JE271" s="38"/>
      <c r="JF271" s="38"/>
      <c r="JG271" s="38"/>
      <c r="JH271" s="38"/>
      <c r="JI271" s="38"/>
      <c r="JJ271" s="38"/>
      <c r="JK271" s="38"/>
      <c r="JL271" s="38"/>
      <c r="JM271" s="38"/>
      <c r="JN271" s="38"/>
      <c r="JO271" s="38"/>
      <c r="JP271" s="38"/>
      <c r="JQ271" s="38"/>
      <c r="JR271" s="38"/>
      <c r="JS271" s="38"/>
      <c r="JT271" s="38"/>
      <c r="JU271" s="38"/>
      <c r="JV271" s="38"/>
      <c r="JW271" s="38"/>
      <c r="JX271" s="38"/>
      <c r="JY271" s="38"/>
      <c r="JZ271" s="38"/>
      <c r="KA271" s="38"/>
      <c r="KB271" s="38"/>
      <c r="KC271" s="38"/>
      <c r="KD271" s="38"/>
      <c r="KE271" s="38"/>
      <c r="KF271" s="38"/>
      <c r="KG271" s="38"/>
      <c r="KH271" s="38"/>
      <c r="KI271" s="38"/>
      <c r="KJ271" s="38"/>
      <c r="KK271" s="38"/>
      <c r="KL271" s="38"/>
      <c r="KM271" s="38"/>
      <c r="KN271" s="38"/>
      <c r="KO271" s="38"/>
      <c r="KP271" s="38"/>
      <c r="KQ271" s="38"/>
      <c r="KR271" s="38"/>
      <c r="KS271" s="38"/>
      <c r="KT271" s="38"/>
      <c r="KU271" s="38"/>
      <c r="KV271" s="38"/>
      <c r="KW271" s="38"/>
      <c r="KX271" s="38"/>
      <c r="KY271" s="38"/>
      <c r="KZ271" s="38"/>
      <c r="LA271" s="38"/>
      <c r="LB271" s="38"/>
      <c r="LC271" s="38"/>
      <c r="LD271" s="38"/>
      <c r="LE271" s="38"/>
      <c r="LF271" s="38"/>
      <c r="LG271" s="38"/>
      <c r="LH271" s="38"/>
      <c r="LI271" s="38"/>
      <c r="LJ271" s="38"/>
      <c r="LK271" s="38"/>
      <c r="LL271" s="38"/>
      <c r="LM271" s="38"/>
      <c r="LN271" s="38"/>
      <c r="LO271" s="38"/>
      <c r="LP271" s="38"/>
      <c r="LQ271" s="38"/>
      <c r="LR271" s="38"/>
      <c r="LS271" s="38"/>
      <c r="LT271" s="38"/>
      <c r="LU271" s="38"/>
      <c r="LV271" s="38"/>
      <c r="LW271" s="38"/>
      <c r="LX271" s="38"/>
      <c r="LY271" s="38"/>
      <c r="LZ271" s="38"/>
      <c r="MA271" s="38"/>
      <c r="MB271" s="38"/>
      <c r="MC271" s="38"/>
      <c r="MD271" s="38"/>
      <c r="ME271" s="38"/>
      <c r="MF271" s="38"/>
      <c r="MG271" s="38"/>
      <c r="MH271" s="38"/>
      <c r="MI271" s="38"/>
      <c r="MJ271" s="38"/>
      <c r="MK271" s="38"/>
      <c r="ML271" s="38"/>
      <c r="MM271" s="38"/>
      <c r="MN271" s="38"/>
      <c r="MO271" s="38"/>
      <c r="MP271" s="38"/>
      <c r="MQ271" s="38"/>
      <c r="MR271" s="38"/>
      <c r="MS271" s="38"/>
      <c r="MT271" s="38"/>
      <c r="MU271" s="38"/>
      <c r="MV271" s="38"/>
      <c r="MW271" s="38"/>
      <c r="MX271" s="38"/>
      <c r="MY271" s="38"/>
      <c r="MZ271" s="38"/>
      <c r="NA271" s="38"/>
      <c r="NB271" s="38"/>
      <c r="NC271" s="38"/>
      <c r="ND271" s="38"/>
      <c r="NE271" s="38"/>
      <c r="NF271" s="38"/>
      <c r="NG271" s="38"/>
      <c r="NH271" s="38"/>
      <c r="NI271" s="38"/>
      <c r="NJ271" s="38"/>
      <c r="NK271" s="38"/>
      <c r="NL271" s="38"/>
      <c r="NM271" s="38"/>
      <c r="NN271" s="38"/>
      <c r="NO271" s="38"/>
      <c r="NP271" s="38"/>
      <c r="NQ271" s="38"/>
      <c r="NR271" s="38"/>
      <c r="NS271" s="38"/>
      <c r="NT271" s="38"/>
      <c r="NU271" s="38"/>
      <c r="NV271" s="38"/>
      <c r="NW271" s="38"/>
      <c r="NX271" s="38"/>
      <c r="NY271" s="38"/>
      <c r="NZ271" s="38"/>
      <c r="OA271" s="38"/>
      <c r="OB271" s="38"/>
      <c r="OC271" s="38"/>
      <c r="OD271" s="38"/>
      <c r="OE271" s="38"/>
      <c r="OF271" s="38"/>
      <c r="OG271" s="38"/>
      <c r="OH271" s="38"/>
      <c r="OI271" s="38"/>
      <c r="OJ271" s="38"/>
      <c r="OK271" s="38"/>
      <c r="OL271" s="38"/>
      <c r="OM271" s="38"/>
      <c r="ON271" s="38"/>
      <c r="OO271" s="38"/>
      <c r="OP271" s="38"/>
      <c r="OQ271" s="38"/>
      <c r="OR271" s="38"/>
      <c r="OS271" s="38"/>
      <c r="OT271" s="38"/>
      <c r="OU271" s="38"/>
      <c r="OV271" s="38"/>
      <c r="OW271" s="38"/>
      <c r="OX271" s="38"/>
      <c r="OY271" s="38"/>
      <c r="OZ271" s="38"/>
      <c r="PA271" s="38"/>
      <c r="PB271" s="38"/>
      <c r="PC271" s="38"/>
      <c r="PD271" s="38"/>
      <c r="PE271" s="38"/>
      <c r="PF271" s="38"/>
      <c r="PG271" s="38"/>
      <c r="PH271" s="38"/>
      <c r="PI271" s="38"/>
      <c r="PJ271" s="38"/>
      <c r="PK271" s="38"/>
      <c r="PL271" s="38"/>
      <c r="PM271" s="38"/>
      <c r="PN271" s="38"/>
      <c r="PO271" s="38"/>
      <c r="PP271" s="38"/>
      <c r="PQ271" s="38"/>
      <c r="PR271" s="38"/>
      <c r="PS271" s="38"/>
      <c r="PT271" s="38"/>
      <c r="PU271" s="38"/>
      <c r="PV271" s="38"/>
      <c r="PW271" s="38"/>
      <c r="PX271" s="38"/>
      <c r="PY271" s="38"/>
      <c r="PZ271" s="38"/>
      <c r="QA271" s="38"/>
      <c r="QB271" s="38"/>
      <c r="QC271" s="38"/>
      <c r="QD271" s="38"/>
      <c r="QE271" s="38"/>
      <c r="QF271" s="38"/>
      <c r="QG271" s="38"/>
      <c r="QH271" s="38"/>
      <c r="QI271" s="38"/>
      <c r="QJ271" s="38"/>
      <c r="QK271" s="38"/>
      <c r="QL271" s="38"/>
      <c r="QM271" s="38"/>
      <c r="QN271" s="38"/>
      <c r="QO271" s="38"/>
      <c r="QP271" s="38"/>
      <c r="QQ271" s="38"/>
      <c r="QR271" s="38"/>
      <c r="QS271" s="38"/>
      <c r="QT271" s="38"/>
      <c r="QU271" s="38"/>
      <c r="QV271" s="38"/>
      <c r="QW271" s="38"/>
      <c r="QX271" s="38"/>
      <c r="QY271" s="38"/>
      <c r="QZ271" s="38"/>
      <c r="RA271" s="38"/>
      <c r="RB271" s="38"/>
      <c r="RC271" s="38"/>
      <c r="RD271" s="38"/>
      <c r="RE271" s="38"/>
      <c r="RF271" s="38"/>
      <c r="RG271" s="38"/>
      <c r="RH271" s="38"/>
      <c r="RI271" s="38"/>
      <c r="RJ271" s="38"/>
      <c r="RK271" s="38"/>
      <c r="RL271" s="38"/>
      <c r="RM271" s="38"/>
      <c r="RN271" s="38"/>
      <c r="RO271" s="38"/>
      <c r="RP271" s="38"/>
      <c r="RQ271" s="38"/>
      <c r="RR271" s="38"/>
      <c r="RS271" s="38"/>
      <c r="RT271" s="38"/>
      <c r="RU271" s="38"/>
      <c r="RV271" s="38"/>
      <c r="RW271" s="38"/>
      <c r="RX271" s="38"/>
      <c r="RY271" s="38"/>
      <c r="RZ271" s="38"/>
      <c r="SA271" s="38"/>
      <c r="SB271" s="38"/>
      <c r="SC271" s="38"/>
      <c r="SD271" s="38"/>
      <c r="SE271" s="38"/>
      <c r="SF271" s="38"/>
      <c r="SG271" s="38"/>
      <c r="SH271" s="38"/>
      <c r="SI271" s="38"/>
      <c r="SJ271" s="38"/>
      <c r="SK271" s="38"/>
      <c r="SL271" s="38"/>
      <c r="SM271" s="38"/>
      <c r="SN271" s="38"/>
      <c r="SO271" s="38"/>
      <c r="SP271" s="38"/>
      <c r="SQ271" s="38"/>
      <c r="SR271" s="38"/>
      <c r="SS271" s="38"/>
      <c r="ST271" s="38"/>
      <c r="SU271" s="38"/>
      <c r="SV271" s="38"/>
      <c r="SW271" s="38"/>
      <c r="SX271" s="38"/>
      <c r="SY271" s="38"/>
      <c r="SZ271" s="38"/>
      <c r="TA271" s="38"/>
      <c r="TB271" s="38"/>
      <c r="TC271" s="38"/>
      <c r="TD271" s="38"/>
      <c r="TE271" s="38"/>
      <c r="TF271" s="38"/>
      <c r="TG271" s="38"/>
      <c r="TH271" s="38"/>
      <c r="TI271" s="38"/>
    </row>
    <row r="272" spans="1:529" s="34" customFormat="1" ht="31.5" customHeight="1" x14ac:dyDescent="0.45">
      <c r="A272" s="119" t="s">
        <v>426</v>
      </c>
      <c r="B272" s="119"/>
      <c r="C272" s="119"/>
      <c r="D272" s="119"/>
      <c r="E272" s="119"/>
      <c r="F272" s="119"/>
      <c r="G272" s="119"/>
      <c r="H272" s="119"/>
      <c r="I272" s="120"/>
      <c r="J272" s="120"/>
      <c r="K272" s="120"/>
      <c r="L272" s="121"/>
      <c r="M272" s="121"/>
      <c r="N272" s="179" t="s">
        <v>427</v>
      </c>
      <c r="O272" s="179"/>
      <c r="P272" s="174"/>
    </row>
    <row r="273" spans="1:24" s="34" customFormat="1" ht="21" customHeight="1" x14ac:dyDescent="0.5">
      <c r="A273" s="122"/>
      <c r="B273" s="122"/>
      <c r="C273" s="122"/>
      <c r="D273" s="123"/>
      <c r="E273" s="124"/>
      <c r="F273" s="124"/>
      <c r="G273" s="124"/>
      <c r="H273" s="124"/>
      <c r="I273" s="124"/>
      <c r="J273" s="124"/>
      <c r="K273" s="125"/>
      <c r="L273" s="124"/>
      <c r="M273" s="124"/>
      <c r="Q273" s="85"/>
      <c r="R273" s="85"/>
      <c r="S273" s="85"/>
      <c r="T273" s="85"/>
      <c r="U273" s="85"/>
    </row>
    <row r="274" spans="1:24" s="100" customFormat="1" ht="26.25" x14ac:dyDescent="0.4">
      <c r="A274" s="126" t="s">
        <v>527</v>
      </c>
      <c r="B274" s="101"/>
      <c r="C274" s="101"/>
      <c r="D274" s="98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</row>
    <row r="275" spans="1:24" s="111" customFormat="1" ht="35.25" x14ac:dyDescent="0.5">
      <c r="A275" s="126" t="s">
        <v>428</v>
      </c>
      <c r="B275" s="101"/>
      <c r="C275" s="101"/>
      <c r="D275" s="98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112"/>
      <c r="R275" s="112"/>
      <c r="S275" s="112"/>
      <c r="T275" s="112"/>
      <c r="U275" s="112"/>
      <c r="V275" s="112"/>
      <c r="W275" s="113"/>
      <c r="X275" s="114"/>
    </row>
    <row r="276" spans="1:24" s="34" customFormat="1" ht="16.5" customHeight="1" x14ac:dyDescent="0.25">
      <c r="A276" s="83"/>
      <c r="B276" s="97"/>
      <c r="C276" s="97"/>
      <c r="D276" s="41"/>
      <c r="E276" s="171">
        <f>E268-'дод 4'!D203</f>
        <v>0</v>
      </c>
      <c r="F276" s="171">
        <f>F268-'дод 4'!E203</f>
        <v>0</v>
      </c>
      <c r="G276" s="171">
        <f>G268-'дод 4'!F203</f>
        <v>0</v>
      </c>
      <c r="H276" s="171">
        <f>H268-'дод 4'!G203</f>
        <v>0</v>
      </c>
      <c r="I276" s="171">
        <f>I268-'дод 4'!H203</f>
        <v>0</v>
      </c>
      <c r="J276" s="171">
        <f>J268-'дод 4'!I203</f>
        <v>0</v>
      </c>
      <c r="K276" s="171">
        <f>K268-'дод 4'!J203</f>
        <v>0</v>
      </c>
      <c r="L276" s="171">
        <f>L268-'дод 4'!K203</f>
        <v>0</v>
      </c>
      <c r="M276" s="171">
        <f>M268-'дод 4'!L203</f>
        <v>0</v>
      </c>
      <c r="N276" s="171">
        <f>N268-'дод 4'!M203</f>
        <v>0</v>
      </c>
      <c r="O276" s="171">
        <f>O268-'дод 4'!N203</f>
        <v>0</v>
      </c>
      <c r="P276" s="171">
        <f>P268-'дод 4'!O203</f>
        <v>0</v>
      </c>
    </row>
    <row r="277" spans="1:24" s="34" customFormat="1" ht="18.75" customHeight="1" x14ac:dyDescent="0.25">
      <c r="A277" s="83"/>
      <c r="B277" s="97"/>
      <c r="C277" s="97"/>
      <c r="D277" s="41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</row>
    <row r="282" spans="1:24" s="93" customFormat="1" ht="14.25" x14ac:dyDescent="0.2">
      <c r="A282" s="89"/>
      <c r="B282" s="90"/>
      <c r="C282" s="90"/>
      <c r="D282" s="91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1:24" s="93" customFormat="1" ht="14.25" x14ac:dyDescent="0.2">
      <c r="A283" s="89"/>
      <c r="B283" s="90"/>
      <c r="C283" s="90"/>
      <c r="D283" s="91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1:24" s="34" customFormat="1" x14ac:dyDescent="0.25">
      <c r="A284" s="83"/>
      <c r="B284" s="97"/>
      <c r="C284" s="97"/>
      <c r="D284" s="41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172"/>
    </row>
    <row r="285" spans="1:24" s="34" customFormat="1" x14ac:dyDescent="0.25">
      <c r="A285" s="83"/>
      <c r="B285" s="97"/>
      <c r="C285" s="97"/>
      <c r="D285" s="41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172"/>
    </row>
    <row r="286" spans="1:24" s="34" customFormat="1" x14ac:dyDescent="0.25">
      <c r="A286" s="83"/>
      <c r="B286" s="97"/>
      <c r="C286" s="97"/>
      <c r="D286" s="41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172"/>
    </row>
    <row r="287" spans="1:24" s="34" customFormat="1" x14ac:dyDescent="0.25">
      <c r="A287" s="83"/>
      <c r="B287" s="97"/>
      <c r="C287" s="97"/>
      <c r="D287" s="41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172"/>
    </row>
    <row r="288" spans="1:24" s="34" customFormat="1" x14ac:dyDescent="0.25">
      <c r="A288" s="83"/>
      <c r="B288" s="97"/>
      <c r="C288" s="97"/>
      <c r="D288" s="41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172"/>
    </row>
    <row r="289" spans="1:16" s="34" customFormat="1" x14ac:dyDescent="0.25">
      <c r="A289" s="83"/>
      <c r="B289" s="97"/>
      <c r="C289" s="97"/>
      <c r="D289" s="41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172"/>
    </row>
    <row r="290" spans="1:16" s="34" customFormat="1" x14ac:dyDescent="0.25">
      <c r="A290" s="83"/>
      <c r="B290" s="97"/>
      <c r="C290" s="97"/>
      <c r="D290" s="41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172"/>
    </row>
    <row r="291" spans="1:16" s="34" customFormat="1" x14ac:dyDescent="0.25">
      <c r="A291" s="83"/>
      <c r="B291" s="97"/>
      <c r="C291" s="97"/>
      <c r="D291" s="41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172"/>
    </row>
    <row r="292" spans="1:16" s="34" customFormat="1" x14ac:dyDescent="0.25">
      <c r="A292" s="83"/>
      <c r="B292" s="97"/>
      <c r="C292" s="97"/>
      <c r="D292" s="41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172"/>
    </row>
    <row r="293" spans="1:16" s="34" customFormat="1" x14ac:dyDescent="0.25">
      <c r="A293" s="83"/>
      <c r="B293" s="97"/>
      <c r="C293" s="97"/>
      <c r="D293" s="41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172"/>
    </row>
    <row r="294" spans="1:16" s="34" customFormat="1" x14ac:dyDescent="0.25">
      <c r="A294" s="83"/>
      <c r="B294" s="97"/>
      <c r="C294" s="97"/>
      <c r="D294" s="41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172"/>
    </row>
    <row r="295" spans="1:16" s="34" customFormat="1" x14ac:dyDescent="0.25">
      <c r="A295" s="83"/>
      <c r="B295" s="97"/>
      <c r="C295" s="97"/>
      <c r="D295" s="41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172"/>
    </row>
    <row r="296" spans="1:16" s="34" customFormat="1" x14ac:dyDescent="0.25">
      <c r="A296" s="83"/>
      <c r="B296" s="97"/>
      <c r="C296" s="97"/>
      <c r="D296" s="41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172"/>
    </row>
    <row r="297" spans="1:16" s="34" customFormat="1" x14ac:dyDescent="0.25">
      <c r="A297" s="83"/>
      <c r="B297" s="97"/>
      <c r="C297" s="97"/>
      <c r="D297" s="41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172"/>
    </row>
    <row r="298" spans="1:16" s="34" customFormat="1" x14ac:dyDescent="0.25">
      <c r="A298" s="83"/>
      <c r="B298" s="97"/>
      <c r="C298" s="97"/>
      <c r="D298" s="41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172"/>
    </row>
    <row r="299" spans="1:16" s="34" customFormat="1" x14ac:dyDescent="0.25">
      <c r="A299" s="83"/>
      <c r="B299" s="97"/>
      <c r="C299" s="97"/>
      <c r="D299" s="41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172"/>
    </row>
    <row r="300" spans="1:16" s="34" customFormat="1" x14ac:dyDescent="0.25">
      <c r="A300" s="83"/>
      <c r="B300" s="97"/>
      <c r="C300" s="97"/>
      <c r="D300" s="41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172"/>
    </row>
    <row r="301" spans="1:16" s="34" customFormat="1" x14ac:dyDescent="0.25">
      <c r="A301" s="83"/>
      <c r="B301" s="97"/>
      <c r="C301" s="97"/>
      <c r="D301" s="41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172"/>
    </row>
    <row r="302" spans="1:16" s="34" customFormat="1" x14ac:dyDescent="0.25">
      <c r="A302" s="83"/>
      <c r="B302" s="97"/>
      <c r="C302" s="97"/>
      <c r="D302" s="41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172"/>
    </row>
    <row r="303" spans="1:16" s="34" customFormat="1" x14ac:dyDescent="0.25">
      <c r="A303" s="83"/>
      <c r="B303" s="97"/>
      <c r="C303" s="97"/>
      <c r="D303" s="41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172"/>
    </row>
    <row r="304" spans="1:16" s="34" customFormat="1" x14ac:dyDescent="0.25">
      <c r="A304" s="83"/>
      <c r="B304" s="97"/>
      <c r="C304" s="97"/>
      <c r="D304" s="41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172"/>
    </row>
    <row r="305" spans="1:16" s="34" customFormat="1" x14ac:dyDescent="0.25">
      <c r="A305" s="83"/>
      <c r="B305" s="97"/>
      <c r="C305" s="97"/>
      <c r="D305" s="41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172"/>
    </row>
    <row r="306" spans="1:16" s="34" customFormat="1" x14ac:dyDescent="0.25">
      <c r="A306" s="83"/>
      <c r="B306" s="97"/>
      <c r="C306" s="97"/>
      <c r="D306" s="41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172"/>
    </row>
    <row r="307" spans="1:16" s="34" customFormat="1" x14ac:dyDescent="0.25">
      <c r="A307" s="83"/>
      <c r="B307" s="97"/>
      <c r="C307" s="97"/>
      <c r="D307" s="41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172"/>
    </row>
    <row r="308" spans="1:16" s="34" customFormat="1" x14ac:dyDescent="0.25">
      <c r="A308" s="83"/>
      <c r="B308" s="97"/>
      <c r="C308" s="97"/>
      <c r="D308" s="41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172"/>
    </row>
    <row r="309" spans="1:16" s="34" customFormat="1" x14ac:dyDescent="0.25">
      <c r="A309" s="83"/>
      <c r="B309" s="97"/>
      <c r="C309" s="97"/>
      <c r="D309" s="41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172"/>
    </row>
    <row r="310" spans="1:16" s="34" customFormat="1" x14ac:dyDescent="0.25">
      <c r="A310" s="83"/>
      <c r="B310" s="97"/>
      <c r="C310" s="97"/>
      <c r="D310" s="41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172"/>
    </row>
    <row r="311" spans="1:16" s="34" customFormat="1" x14ac:dyDescent="0.25">
      <c r="A311" s="83"/>
      <c r="B311" s="97"/>
      <c r="C311" s="97"/>
      <c r="D311" s="41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172"/>
    </row>
    <row r="312" spans="1:16" s="34" customFormat="1" x14ac:dyDescent="0.25">
      <c r="A312" s="83"/>
      <c r="B312" s="97"/>
      <c r="C312" s="97"/>
      <c r="D312" s="41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172"/>
    </row>
    <row r="313" spans="1:16" s="34" customFormat="1" x14ac:dyDescent="0.25">
      <c r="A313" s="83"/>
      <c r="B313" s="97"/>
      <c r="C313" s="97"/>
      <c r="D313" s="41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172"/>
    </row>
    <row r="314" spans="1:16" s="34" customFormat="1" x14ac:dyDescent="0.25">
      <c r="A314" s="83"/>
      <c r="B314" s="97"/>
      <c r="C314" s="97"/>
      <c r="D314" s="41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172"/>
    </row>
    <row r="315" spans="1:16" s="34" customFormat="1" x14ac:dyDescent="0.25">
      <c r="A315" s="83"/>
      <c r="B315" s="97"/>
      <c r="C315" s="97"/>
      <c r="D315" s="41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172"/>
    </row>
    <row r="316" spans="1:16" s="34" customFormat="1" x14ac:dyDescent="0.25">
      <c r="A316" s="83"/>
      <c r="B316" s="97"/>
      <c r="C316" s="97"/>
      <c r="D316" s="41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172"/>
    </row>
    <row r="317" spans="1:16" s="34" customFormat="1" x14ac:dyDescent="0.25">
      <c r="A317" s="83"/>
      <c r="B317" s="97"/>
      <c r="C317" s="97"/>
      <c r="D317" s="41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172"/>
    </row>
    <row r="318" spans="1:16" s="34" customFormat="1" x14ac:dyDescent="0.25">
      <c r="A318" s="83"/>
      <c r="B318" s="97"/>
      <c r="C318" s="97"/>
      <c r="D318" s="41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172"/>
    </row>
    <row r="319" spans="1:16" s="34" customFormat="1" x14ac:dyDescent="0.25">
      <c r="A319" s="83"/>
      <c r="B319" s="97"/>
      <c r="C319" s="97"/>
      <c r="D319" s="41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172"/>
    </row>
    <row r="320" spans="1:16" s="34" customFormat="1" x14ac:dyDescent="0.25">
      <c r="A320" s="83"/>
      <c r="B320" s="97"/>
      <c r="C320" s="97"/>
      <c r="D320" s="41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172"/>
    </row>
    <row r="321" spans="1:16" s="34" customFormat="1" x14ac:dyDescent="0.25">
      <c r="A321" s="83"/>
      <c r="B321" s="97"/>
      <c r="C321" s="97"/>
      <c r="D321" s="41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172"/>
    </row>
    <row r="322" spans="1:16" s="34" customFormat="1" x14ac:dyDescent="0.25">
      <c r="A322" s="83"/>
      <c r="B322" s="97"/>
      <c r="C322" s="97"/>
      <c r="D322" s="41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172"/>
    </row>
    <row r="323" spans="1:16" s="34" customFormat="1" x14ac:dyDescent="0.25">
      <c r="A323" s="83"/>
      <c r="B323" s="97"/>
      <c r="C323" s="97"/>
      <c r="D323" s="41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172"/>
    </row>
    <row r="324" spans="1:16" s="34" customFormat="1" x14ac:dyDescent="0.25">
      <c r="A324" s="83"/>
      <c r="B324" s="97"/>
      <c r="C324" s="97"/>
      <c r="D324" s="41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172"/>
    </row>
    <row r="325" spans="1:16" s="34" customFormat="1" x14ac:dyDescent="0.25">
      <c r="A325" s="83"/>
      <c r="B325" s="97"/>
      <c r="C325" s="97"/>
      <c r="D325" s="41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172"/>
    </row>
    <row r="326" spans="1:16" s="34" customFormat="1" x14ac:dyDescent="0.25">
      <c r="A326" s="83"/>
      <c r="B326" s="97"/>
      <c r="C326" s="97"/>
      <c r="D326" s="41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172"/>
    </row>
    <row r="327" spans="1:16" s="34" customFormat="1" x14ac:dyDescent="0.25">
      <c r="A327" s="83"/>
      <c r="B327" s="97"/>
      <c r="C327" s="97"/>
      <c r="D327" s="41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172"/>
    </row>
    <row r="328" spans="1:16" s="34" customFormat="1" x14ac:dyDescent="0.25">
      <c r="A328" s="83"/>
      <c r="B328" s="97"/>
      <c r="C328" s="97"/>
      <c r="D328" s="41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172"/>
    </row>
    <row r="329" spans="1:16" s="34" customFormat="1" x14ac:dyDescent="0.25">
      <c r="A329" s="83"/>
      <c r="B329" s="97"/>
      <c r="C329" s="97"/>
      <c r="D329" s="41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172"/>
    </row>
    <row r="330" spans="1:16" s="34" customFormat="1" x14ac:dyDescent="0.25">
      <c r="A330" s="83"/>
      <c r="B330" s="97"/>
      <c r="C330" s="97"/>
      <c r="D330" s="41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172"/>
    </row>
    <row r="331" spans="1:16" s="34" customFormat="1" x14ac:dyDescent="0.25">
      <c r="A331" s="83"/>
      <c r="B331" s="97"/>
      <c r="C331" s="97"/>
      <c r="D331" s="41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172"/>
    </row>
    <row r="332" spans="1:16" s="34" customFormat="1" x14ac:dyDescent="0.25">
      <c r="A332" s="83"/>
      <c r="B332" s="97"/>
      <c r="C332" s="97"/>
      <c r="D332" s="41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172"/>
    </row>
    <row r="333" spans="1:16" s="34" customFormat="1" x14ac:dyDescent="0.25">
      <c r="A333" s="83"/>
      <c r="B333" s="97"/>
      <c r="C333" s="97"/>
      <c r="D333" s="41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172"/>
    </row>
    <row r="334" spans="1:16" s="34" customFormat="1" x14ac:dyDescent="0.25">
      <c r="A334" s="83"/>
      <c r="B334" s="97"/>
      <c r="C334" s="97"/>
      <c r="D334" s="41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172"/>
    </row>
    <row r="335" spans="1:16" s="34" customFormat="1" x14ac:dyDescent="0.25">
      <c r="A335" s="83"/>
      <c r="B335" s="97"/>
      <c r="C335" s="97"/>
      <c r="D335" s="41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172"/>
    </row>
    <row r="336" spans="1:16" s="34" customFormat="1" x14ac:dyDescent="0.25">
      <c r="A336" s="83"/>
      <c r="B336" s="97"/>
      <c r="C336" s="97"/>
      <c r="D336" s="41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172"/>
    </row>
    <row r="337" spans="1:16" s="34" customFormat="1" x14ac:dyDescent="0.25">
      <c r="A337" s="83"/>
      <c r="B337" s="97"/>
      <c r="C337" s="97"/>
      <c r="D337" s="41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172"/>
    </row>
    <row r="338" spans="1:16" s="34" customFormat="1" x14ac:dyDescent="0.25">
      <c r="A338" s="83"/>
      <c r="B338" s="97"/>
      <c r="C338" s="97"/>
      <c r="D338" s="41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172"/>
    </row>
    <row r="339" spans="1:16" s="34" customFormat="1" x14ac:dyDescent="0.25">
      <c r="A339" s="83"/>
      <c r="B339" s="97"/>
      <c r="C339" s="97"/>
      <c r="D339" s="41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172"/>
    </row>
    <row r="340" spans="1:16" s="34" customFormat="1" x14ac:dyDescent="0.25">
      <c r="A340" s="83"/>
      <c r="B340" s="97"/>
      <c r="C340" s="97"/>
      <c r="D340" s="41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172"/>
    </row>
    <row r="341" spans="1:16" s="34" customFormat="1" x14ac:dyDescent="0.25">
      <c r="A341" s="83"/>
      <c r="B341" s="97"/>
      <c r="C341" s="97"/>
      <c r="D341" s="41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172"/>
    </row>
    <row r="342" spans="1:16" s="34" customFormat="1" x14ac:dyDescent="0.25">
      <c r="A342" s="83"/>
      <c r="B342" s="97"/>
      <c r="C342" s="97"/>
      <c r="D342" s="41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172"/>
    </row>
    <row r="343" spans="1:16" s="34" customFormat="1" x14ac:dyDescent="0.25">
      <c r="A343" s="83"/>
      <c r="B343" s="97"/>
      <c r="C343" s="97"/>
      <c r="D343" s="41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172"/>
    </row>
    <row r="344" spans="1:16" s="34" customFormat="1" x14ac:dyDescent="0.25">
      <c r="A344" s="83"/>
      <c r="B344" s="97"/>
      <c r="C344" s="97"/>
      <c r="D344" s="41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172"/>
    </row>
    <row r="345" spans="1:16" s="34" customFormat="1" x14ac:dyDescent="0.25">
      <c r="A345" s="83"/>
      <c r="B345" s="97"/>
      <c r="C345" s="97"/>
      <c r="D345" s="41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172"/>
    </row>
    <row r="346" spans="1:16" s="34" customFormat="1" x14ac:dyDescent="0.25">
      <c r="A346" s="83"/>
      <c r="B346" s="97"/>
      <c r="C346" s="97"/>
      <c r="D346" s="41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172"/>
    </row>
    <row r="347" spans="1:16" s="34" customFormat="1" x14ac:dyDescent="0.25">
      <c r="A347" s="83"/>
      <c r="B347" s="97"/>
      <c r="C347" s="97"/>
      <c r="D347" s="41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172"/>
    </row>
    <row r="348" spans="1:16" s="34" customFormat="1" x14ac:dyDescent="0.25">
      <c r="A348" s="83"/>
      <c r="B348" s="97"/>
      <c r="C348" s="97"/>
      <c r="D348" s="41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172"/>
    </row>
    <row r="349" spans="1:16" s="34" customFormat="1" x14ac:dyDescent="0.25">
      <c r="A349" s="83"/>
      <c r="B349" s="97"/>
      <c r="C349" s="97"/>
      <c r="D349" s="41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172"/>
    </row>
    <row r="350" spans="1:16" s="34" customFormat="1" x14ac:dyDescent="0.25">
      <c r="A350" s="83"/>
      <c r="B350" s="97"/>
      <c r="C350" s="97"/>
      <c r="D350" s="41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172"/>
    </row>
    <row r="351" spans="1:16" s="34" customFormat="1" x14ac:dyDescent="0.25">
      <c r="A351" s="83"/>
      <c r="B351" s="97"/>
      <c r="C351" s="97"/>
      <c r="D351" s="41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172"/>
    </row>
    <row r="352" spans="1:16" s="34" customFormat="1" x14ac:dyDescent="0.25">
      <c r="A352" s="83"/>
      <c r="B352" s="97"/>
      <c r="C352" s="97"/>
      <c r="D352" s="41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172"/>
    </row>
    <row r="353" spans="1:16" s="34" customFormat="1" x14ac:dyDescent="0.25">
      <c r="A353" s="83"/>
      <c r="B353" s="97"/>
      <c r="C353" s="97"/>
      <c r="D353" s="41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172"/>
    </row>
    <row r="354" spans="1:16" s="34" customFormat="1" x14ac:dyDescent="0.25">
      <c r="A354" s="83"/>
      <c r="B354" s="97"/>
      <c r="C354" s="97"/>
      <c r="D354" s="41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172"/>
    </row>
    <row r="355" spans="1:16" s="34" customFormat="1" x14ac:dyDescent="0.25">
      <c r="A355" s="83"/>
      <c r="B355" s="97"/>
      <c r="C355" s="97"/>
      <c r="D355" s="41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172"/>
    </row>
    <row r="356" spans="1:16" s="34" customFormat="1" x14ac:dyDescent="0.25">
      <c r="A356" s="83"/>
      <c r="B356" s="97"/>
      <c r="C356" s="97"/>
      <c r="D356" s="41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172"/>
    </row>
    <row r="357" spans="1:16" s="34" customFormat="1" x14ac:dyDescent="0.25">
      <c r="A357" s="83"/>
      <c r="B357" s="97"/>
      <c r="C357" s="97"/>
      <c r="D357" s="41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172"/>
    </row>
    <row r="358" spans="1:16" s="34" customFormat="1" x14ac:dyDescent="0.25">
      <c r="A358" s="83"/>
      <c r="B358" s="97"/>
      <c r="C358" s="97"/>
      <c r="D358" s="41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172"/>
    </row>
    <row r="359" spans="1:16" s="34" customFormat="1" x14ac:dyDescent="0.25">
      <c r="A359" s="83"/>
      <c r="B359" s="97"/>
      <c r="C359" s="97"/>
      <c r="D359" s="41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172"/>
    </row>
    <row r="360" spans="1:16" s="34" customFormat="1" x14ac:dyDescent="0.25">
      <c r="A360" s="83"/>
      <c r="B360" s="97"/>
      <c r="C360" s="97"/>
      <c r="D360" s="41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172"/>
    </row>
    <row r="361" spans="1:16" s="34" customFormat="1" x14ac:dyDescent="0.25">
      <c r="A361" s="83"/>
      <c r="B361" s="97"/>
      <c r="C361" s="97"/>
      <c r="D361" s="41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172"/>
    </row>
    <row r="362" spans="1:16" s="34" customFormat="1" x14ac:dyDescent="0.25">
      <c r="A362" s="83"/>
      <c r="B362" s="97"/>
      <c r="C362" s="97"/>
      <c r="D362" s="41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172"/>
    </row>
    <row r="363" spans="1:16" s="34" customFormat="1" x14ac:dyDescent="0.25">
      <c r="A363" s="83"/>
      <c r="B363" s="97"/>
      <c r="C363" s="97"/>
      <c r="D363" s="41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172"/>
    </row>
    <row r="364" spans="1:16" s="34" customFormat="1" x14ac:dyDescent="0.25">
      <c r="A364" s="83"/>
      <c r="B364" s="97"/>
      <c r="C364" s="97"/>
      <c r="D364" s="41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172"/>
    </row>
    <row r="365" spans="1:16" s="34" customFormat="1" x14ac:dyDescent="0.25">
      <c r="A365" s="83"/>
      <c r="B365" s="97"/>
      <c r="C365" s="97"/>
      <c r="D365" s="41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172"/>
    </row>
    <row r="366" spans="1:16" s="34" customFormat="1" x14ac:dyDescent="0.25">
      <c r="A366" s="83"/>
      <c r="B366" s="97"/>
      <c r="C366" s="97"/>
      <c r="D366" s="41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172"/>
    </row>
    <row r="367" spans="1:16" s="34" customFormat="1" x14ac:dyDescent="0.25">
      <c r="A367" s="83"/>
      <c r="B367" s="97"/>
      <c r="C367" s="97"/>
      <c r="D367" s="41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172"/>
    </row>
    <row r="368" spans="1:16" s="34" customFormat="1" x14ac:dyDescent="0.25">
      <c r="A368" s="83"/>
      <c r="B368" s="97"/>
      <c r="C368" s="97"/>
      <c r="D368" s="41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172"/>
    </row>
    <row r="369" spans="1:16" s="34" customFormat="1" x14ac:dyDescent="0.25">
      <c r="A369" s="83"/>
      <c r="B369" s="97"/>
      <c r="C369" s="97"/>
      <c r="D369" s="41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172"/>
    </row>
    <row r="370" spans="1:16" s="34" customFormat="1" x14ac:dyDescent="0.25">
      <c r="A370" s="83"/>
      <c r="B370" s="97"/>
      <c r="C370" s="97"/>
      <c r="D370" s="41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172"/>
    </row>
    <row r="371" spans="1:16" s="34" customFormat="1" x14ac:dyDescent="0.25">
      <c r="A371" s="83"/>
      <c r="B371" s="97"/>
      <c r="C371" s="97"/>
      <c r="D371" s="41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172"/>
    </row>
    <row r="372" spans="1:16" s="34" customFormat="1" x14ac:dyDescent="0.25">
      <c r="A372" s="83"/>
      <c r="B372" s="97"/>
      <c r="C372" s="97"/>
      <c r="D372" s="41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172"/>
    </row>
    <row r="373" spans="1:16" s="34" customFormat="1" x14ac:dyDescent="0.25">
      <c r="A373" s="83"/>
      <c r="B373" s="97"/>
      <c r="C373" s="97"/>
      <c r="D373" s="41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172"/>
    </row>
    <row r="374" spans="1:16" s="34" customFormat="1" x14ac:dyDescent="0.25">
      <c r="A374" s="83"/>
      <c r="B374" s="97"/>
      <c r="C374" s="97"/>
      <c r="D374" s="41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172"/>
    </row>
    <row r="375" spans="1:16" s="34" customFormat="1" x14ac:dyDescent="0.25">
      <c r="A375" s="83"/>
      <c r="B375" s="97"/>
      <c r="C375" s="97"/>
      <c r="D375" s="41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172"/>
    </row>
    <row r="376" spans="1:16" s="34" customFormat="1" x14ac:dyDescent="0.25">
      <c r="A376" s="83"/>
      <c r="B376" s="97"/>
      <c r="C376" s="97"/>
      <c r="D376" s="41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172"/>
    </row>
    <row r="377" spans="1:16" s="34" customFormat="1" x14ac:dyDescent="0.25">
      <c r="A377" s="83"/>
      <c r="B377" s="97"/>
      <c r="C377" s="97"/>
      <c r="D377" s="41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172"/>
    </row>
    <row r="378" spans="1:16" s="34" customFormat="1" x14ac:dyDescent="0.25">
      <c r="A378" s="83"/>
      <c r="B378" s="97"/>
      <c r="C378" s="97"/>
      <c r="D378" s="41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172"/>
    </row>
    <row r="379" spans="1:16" s="34" customFormat="1" x14ac:dyDescent="0.25">
      <c r="A379" s="83"/>
      <c r="B379" s="97"/>
      <c r="C379" s="97"/>
      <c r="D379" s="41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172"/>
    </row>
    <row r="380" spans="1:16" s="34" customFormat="1" x14ac:dyDescent="0.25">
      <c r="A380" s="83"/>
      <c r="B380" s="97"/>
      <c r="C380" s="97"/>
      <c r="D380" s="41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172"/>
    </row>
    <row r="381" spans="1:16" s="34" customFormat="1" x14ac:dyDescent="0.25">
      <c r="A381" s="83"/>
      <c r="B381" s="97"/>
      <c r="C381" s="97"/>
      <c r="D381" s="41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172"/>
    </row>
    <row r="382" spans="1:16" s="34" customFormat="1" x14ac:dyDescent="0.25">
      <c r="A382" s="83"/>
      <c r="B382" s="97"/>
      <c r="C382" s="97"/>
      <c r="D382" s="41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172"/>
    </row>
    <row r="383" spans="1:16" s="34" customFormat="1" x14ac:dyDescent="0.25">
      <c r="A383" s="83"/>
      <c r="B383" s="97"/>
      <c r="C383" s="97"/>
      <c r="D383" s="41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172"/>
    </row>
    <row r="384" spans="1:16" s="34" customFormat="1" x14ac:dyDescent="0.25">
      <c r="A384" s="83"/>
      <c r="B384" s="97"/>
      <c r="C384" s="97"/>
      <c r="D384" s="41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172"/>
    </row>
    <row r="385" spans="1:16" s="34" customFormat="1" x14ac:dyDescent="0.25">
      <c r="A385" s="83"/>
      <c r="B385" s="97"/>
      <c r="C385" s="97"/>
      <c r="D385" s="41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172"/>
    </row>
    <row r="386" spans="1:16" s="34" customFormat="1" x14ac:dyDescent="0.25">
      <c r="A386" s="83"/>
      <c r="B386" s="97"/>
      <c r="C386" s="97"/>
      <c r="D386" s="41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172"/>
    </row>
    <row r="387" spans="1:16" s="34" customFormat="1" x14ac:dyDescent="0.25">
      <c r="A387" s="83"/>
      <c r="B387" s="97"/>
      <c r="C387" s="97"/>
      <c r="D387" s="41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172"/>
    </row>
    <row r="388" spans="1:16" s="34" customFormat="1" x14ac:dyDescent="0.25">
      <c r="A388" s="83"/>
      <c r="B388" s="97"/>
      <c r="C388" s="97"/>
      <c r="D388" s="41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172"/>
    </row>
    <row r="389" spans="1:16" s="34" customFormat="1" x14ac:dyDescent="0.25">
      <c r="A389" s="83"/>
      <c r="B389" s="97"/>
      <c r="C389" s="97"/>
      <c r="D389" s="41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172"/>
    </row>
    <row r="390" spans="1:16" s="34" customFormat="1" x14ac:dyDescent="0.25">
      <c r="A390" s="83"/>
      <c r="B390" s="97"/>
      <c r="C390" s="97"/>
      <c r="D390" s="41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172"/>
    </row>
    <row r="391" spans="1:16" s="34" customFormat="1" x14ac:dyDescent="0.25">
      <c r="A391" s="83"/>
      <c r="B391" s="97"/>
      <c r="C391" s="97"/>
      <c r="D391" s="41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172"/>
    </row>
    <row r="392" spans="1:16" s="34" customFormat="1" x14ac:dyDescent="0.25">
      <c r="A392" s="83"/>
      <c r="B392" s="97"/>
      <c r="C392" s="97"/>
      <c r="D392" s="41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172"/>
    </row>
    <row r="393" spans="1:16" s="34" customFormat="1" x14ac:dyDescent="0.25">
      <c r="A393" s="83"/>
      <c r="B393" s="97"/>
      <c r="C393" s="97"/>
      <c r="D393" s="41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172"/>
    </row>
    <row r="394" spans="1:16" s="34" customFormat="1" x14ac:dyDescent="0.25">
      <c r="A394" s="83"/>
      <c r="B394" s="97"/>
      <c r="C394" s="97"/>
      <c r="D394" s="41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172"/>
    </row>
    <row r="395" spans="1:16" s="34" customFormat="1" x14ac:dyDescent="0.25">
      <c r="A395" s="83"/>
      <c r="B395" s="97"/>
      <c r="C395" s="97"/>
      <c r="D395" s="41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172"/>
    </row>
    <row r="396" spans="1:16" s="34" customFormat="1" x14ac:dyDescent="0.25">
      <c r="A396" s="83"/>
      <c r="B396" s="97"/>
      <c r="C396" s="97"/>
      <c r="D396" s="41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172"/>
    </row>
    <row r="397" spans="1:16" s="34" customFormat="1" x14ac:dyDescent="0.25">
      <c r="A397" s="83"/>
      <c r="B397" s="97"/>
      <c r="C397" s="97"/>
      <c r="D397" s="41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172"/>
    </row>
    <row r="398" spans="1:16" s="34" customFormat="1" x14ac:dyDescent="0.25">
      <c r="A398" s="83"/>
      <c r="B398" s="97"/>
      <c r="C398" s="97"/>
      <c r="D398" s="41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172"/>
    </row>
    <row r="399" spans="1:16" s="34" customFormat="1" x14ac:dyDescent="0.25">
      <c r="A399" s="83"/>
      <c r="B399" s="97"/>
      <c r="C399" s="97"/>
      <c r="D399" s="41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172"/>
    </row>
    <row r="400" spans="1:16" s="34" customFormat="1" x14ac:dyDescent="0.25">
      <c r="A400" s="83"/>
      <c r="B400" s="97"/>
      <c r="C400" s="97"/>
      <c r="D400" s="41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172"/>
    </row>
    <row r="401" spans="1:16" s="34" customFormat="1" x14ac:dyDescent="0.25">
      <c r="A401" s="83"/>
      <c r="B401" s="97"/>
      <c r="C401" s="97"/>
      <c r="D401" s="41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172"/>
    </row>
    <row r="402" spans="1:16" s="34" customFormat="1" x14ac:dyDescent="0.25">
      <c r="A402" s="83"/>
      <c r="B402" s="97"/>
      <c r="C402" s="97"/>
      <c r="D402" s="41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172"/>
    </row>
    <row r="403" spans="1:16" s="34" customFormat="1" x14ac:dyDescent="0.25">
      <c r="A403" s="83"/>
      <c r="B403" s="97"/>
      <c r="C403" s="97"/>
      <c r="D403" s="41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172"/>
    </row>
    <row r="404" spans="1:16" s="34" customFormat="1" x14ac:dyDescent="0.25">
      <c r="A404" s="83"/>
      <c r="B404" s="97"/>
      <c r="C404" s="97"/>
      <c r="D404" s="41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172"/>
    </row>
    <row r="405" spans="1:16" s="34" customFormat="1" x14ac:dyDescent="0.25">
      <c r="A405" s="83"/>
      <c r="B405" s="97"/>
      <c r="C405" s="97"/>
      <c r="D405" s="41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172"/>
    </row>
    <row r="406" spans="1:16" s="34" customFormat="1" x14ac:dyDescent="0.25">
      <c r="A406" s="83"/>
      <c r="B406" s="97"/>
      <c r="C406" s="97"/>
      <c r="D406" s="41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172"/>
    </row>
    <row r="407" spans="1:16" s="34" customFormat="1" x14ac:dyDescent="0.25">
      <c r="A407" s="83"/>
      <c r="B407" s="97"/>
      <c r="C407" s="97"/>
      <c r="D407" s="41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172"/>
    </row>
    <row r="408" spans="1:16" s="34" customFormat="1" x14ac:dyDescent="0.25">
      <c r="A408" s="83"/>
      <c r="B408" s="97"/>
      <c r="C408" s="97"/>
      <c r="D408" s="41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172"/>
    </row>
    <row r="409" spans="1:16" s="34" customFormat="1" x14ac:dyDescent="0.25">
      <c r="A409" s="83"/>
      <c r="B409" s="97"/>
      <c r="C409" s="97"/>
      <c r="D409" s="41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172"/>
    </row>
    <row r="410" spans="1:16" s="34" customFormat="1" x14ac:dyDescent="0.25">
      <c r="A410" s="83"/>
      <c r="B410" s="97"/>
      <c r="C410" s="97"/>
      <c r="D410" s="41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172"/>
    </row>
    <row r="411" spans="1:16" s="34" customFormat="1" x14ac:dyDescent="0.25">
      <c r="A411" s="83"/>
      <c r="B411" s="97"/>
      <c r="C411" s="97"/>
      <c r="D411" s="41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172"/>
    </row>
    <row r="412" spans="1:16" s="34" customFormat="1" x14ac:dyDescent="0.25">
      <c r="A412" s="83"/>
      <c r="B412" s="97"/>
      <c r="C412" s="97"/>
      <c r="D412" s="41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172"/>
    </row>
    <row r="413" spans="1:16" s="34" customFormat="1" x14ac:dyDescent="0.25">
      <c r="A413" s="83"/>
      <c r="B413" s="97"/>
      <c r="C413" s="97"/>
      <c r="D413" s="41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172"/>
    </row>
    <row r="414" spans="1:16" s="34" customFormat="1" x14ac:dyDescent="0.25">
      <c r="A414" s="83"/>
      <c r="B414" s="97"/>
      <c r="C414" s="97"/>
      <c r="D414" s="41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172"/>
    </row>
    <row r="415" spans="1:16" s="34" customFormat="1" x14ac:dyDescent="0.25">
      <c r="A415" s="83"/>
      <c r="B415" s="97"/>
      <c r="C415" s="97"/>
      <c r="D415" s="41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172"/>
    </row>
    <row r="416" spans="1:16" s="34" customFormat="1" x14ac:dyDescent="0.25">
      <c r="A416" s="83"/>
      <c r="B416" s="97"/>
      <c r="C416" s="97"/>
      <c r="D416" s="41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172"/>
    </row>
    <row r="417" spans="1:16" s="34" customFormat="1" x14ac:dyDescent="0.25">
      <c r="A417" s="83"/>
      <c r="B417" s="97"/>
      <c r="C417" s="97"/>
      <c r="D417" s="41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172"/>
    </row>
    <row r="418" spans="1:16" s="34" customFormat="1" x14ac:dyDescent="0.25">
      <c r="A418" s="83"/>
      <c r="B418" s="97"/>
      <c r="C418" s="97"/>
      <c r="D418" s="41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172"/>
    </row>
    <row r="419" spans="1:16" s="34" customFormat="1" x14ac:dyDescent="0.25">
      <c r="A419" s="83"/>
      <c r="B419" s="97"/>
      <c r="C419" s="97"/>
      <c r="D419" s="41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172"/>
    </row>
    <row r="420" spans="1:16" s="34" customFormat="1" x14ac:dyDescent="0.25">
      <c r="A420" s="83"/>
      <c r="B420" s="97"/>
      <c r="C420" s="97"/>
      <c r="D420" s="41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172"/>
    </row>
    <row r="421" spans="1:16" s="34" customFormat="1" x14ac:dyDescent="0.25">
      <c r="A421" s="83"/>
      <c r="B421" s="97"/>
      <c r="C421" s="97"/>
      <c r="D421" s="41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172"/>
    </row>
    <row r="422" spans="1:16" s="34" customFormat="1" x14ac:dyDescent="0.25">
      <c r="A422" s="83"/>
      <c r="B422" s="97"/>
      <c r="C422" s="97"/>
      <c r="D422" s="41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172"/>
    </row>
    <row r="423" spans="1:16" s="34" customFormat="1" x14ac:dyDescent="0.25">
      <c r="A423" s="83"/>
      <c r="B423" s="97"/>
      <c r="C423" s="97"/>
      <c r="D423" s="41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172"/>
    </row>
    <row r="424" spans="1:16" s="34" customFormat="1" x14ac:dyDescent="0.25">
      <c r="A424" s="83"/>
      <c r="B424" s="97"/>
      <c r="C424" s="97"/>
      <c r="D424" s="41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172"/>
    </row>
    <row r="425" spans="1:16" s="34" customFormat="1" x14ac:dyDescent="0.25">
      <c r="A425" s="83"/>
      <c r="B425" s="97"/>
      <c r="C425" s="97"/>
      <c r="D425" s="41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172"/>
    </row>
    <row r="426" spans="1:16" s="34" customFormat="1" x14ac:dyDescent="0.25">
      <c r="A426" s="83"/>
      <c r="B426" s="97"/>
      <c r="C426" s="97"/>
      <c r="D426" s="41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172"/>
    </row>
    <row r="427" spans="1:16" s="34" customFormat="1" x14ac:dyDescent="0.25">
      <c r="A427" s="83"/>
      <c r="B427" s="97"/>
      <c r="C427" s="97"/>
      <c r="D427" s="41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172"/>
    </row>
    <row r="428" spans="1:16" s="34" customFormat="1" x14ac:dyDescent="0.25">
      <c r="A428" s="83"/>
      <c r="B428" s="97"/>
      <c r="C428" s="97"/>
      <c r="D428" s="41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172"/>
    </row>
    <row r="429" spans="1:16" s="34" customFormat="1" x14ac:dyDescent="0.25">
      <c r="A429" s="83"/>
      <c r="B429" s="97"/>
      <c r="C429" s="97"/>
      <c r="D429" s="41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172"/>
    </row>
    <row r="430" spans="1:16" s="34" customFormat="1" x14ac:dyDescent="0.25">
      <c r="A430" s="83"/>
      <c r="B430" s="97"/>
      <c r="C430" s="97"/>
      <c r="D430" s="41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172"/>
    </row>
    <row r="431" spans="1:16" s="34" customFormat="1" x14ac:dyDescent="0.25">
      <c r="A431" s="83"/>
      <c r="B431" s="97"/>
      <c r="C431" s="97"/>
      <c r="D431" s="41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172"/>
    </row>
    <row r="432" spans="1:16" s="34" customFormat="1" x14ac:dyDescent="0.25">
      <c r="A432" s="83"/>
      <c r="B432" s="97"/>
      <c r="C432" s="97"/>
      <c r="D432" s="41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172"/>
    </row>
    <row r="433" spans="1:16" s="34" customFormat="1" x14ac:dyDescent="0.25">
      <c r="A433" s="83"/>
      <c r="B433" s="97"/>
      <c r="C433" s="97"/>
      <c r="D433" s="41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172"/>
    </row>
    <row r="434" spans="1:16" s="34" customFormat="1" x14ac:dyDescent="0.25">
      <c r="A434" s="83"/>
      <c r="B434" s="97"/>
      <c r="C434" s="97"/>
      <c r="D434" s="41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172"/>
    </row>
    <row r="435" spans="1:16" s="34" customFormat="1" x14ac:dyDescent="0.25">
      <c r="A435" s="83"/>
      <c r="B435" s="97"/>
      <c r="C435" s="97"/>
      <c r="D435" s="41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172"/>
    </row>
    <row r="436" spans="1:16" s="34" customFormat="1" x14ac:dyDescent="0.25">
      <c r="A436" s="83"/>
      <c r="B436" s="97"/>
      <c r="C436" s="97"/>
      <c r="D436" s="41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172"/>
    </row>
    <row r="437" spans="1:16" s="34" customFormat="1" x14ac:dyDescent="0.25">
      <c r="A437" s="83"/>
      <c r="B437" s="97"/>
      <c r="C437" s="97"/>
      <c r="D437" s="41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172"/>
    </row>
    <row r="438" spans="1:16" s="34" customFormat="1" x14ac:dyDescent="0.25">
      <c r="A438" s="83"/>
      <c r="B438" s="97"/>
      <c r="C438" s="97"/>
      <c r="D438" s="41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172"/>
    </row>
    <row r="439" spans="1:16" s="34" customFormat="1" x14ac:dyDescent="0.25">
      <c r="A439" s="83"/>
      <c r="B439" s="97"/>
      <c r="C439" s="97"/>
      <c r="D439" s="41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172"/>
    </row>
    <row r="440" spans="1:16" s="34" customFormat="1" x14ac:dyDescent="0.25">
      <c r="A440" s="83"/>
      <c r="B440" s="97"/>
      <c r="C440" s="97"/>
      <c r="D440" s="41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172"/>
    </row>
    <row r="441" spans="1:16" s="34" customFormat="1" x14ac:dyDescent="0.25">
      <c r="A441" s="83"/>
      <c r="B441" s="97"/>
      <c r="C441" s="97"/>
      <c r="D441" s="41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172"/>
    </row>
    <row r="442" spans="1:16" s="34" customFormat="1" x14ac:dyDescent="0.25">
      <c r="A442" s="83"/>
      <c r="B442" s="97"/>
      <c r="C442" s="97"/>
      <c r="D442" s="41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172"/>
    </row>
    <row r="443" spans="1:16" s="34" customFormat="1" x14ac:dyDescent="0.25">
      <c r="A443" s="83"/>
      <c r="B443" s="97"/>
      <c r="C443" s="97"/>
      <c r="D443" s="41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172"/>
    </row>
    <row r="444" spans="1:16" s="34" customFormat="1" x14ac:dyDescent="0.25">
      <c r="A444" s="83"/>
      <c r="B444" s="97"/>
      <c r="C444" s="97"/>
      <c r="D444" s="41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172"/>
    </row>
    <row r="445" spans="1:16" s="34" customFormat="1" x14ac:dyDescent="0.25">
      <c r="A445" s="83"/>
      <c r="B445" s="97"/>
      <c r="C445" s="97"/>
      <c r="D445" s="41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172"/>
    </row>
    <row r="446" spans="1:16" s="34" customFormat="1" x14ac:dyDescent="0.25">
      <c r="A446" s="83"/>
      <c r="B446" s="97"/>
      <c r="C446" s="97"/>
      <c r="D446" s="41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172"/>
    </row>
    <row r="447" spans="1:16" s="34" customFormat="1" x14ac:dyDescent="0.25">
      <c r="A447" s="83"/>
      <c r="B447" s="97"/>
      <c r="C447" s="97"/>
      <c r="D447" s="41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172"/>
    </row>
    <row r="448" spans="1:16" s="34" customFormat="1" x14ac:dyDescent="0.25">
      <c r="A448" s="83"/>
      <c r="B448" s="97"/>
      <c r="C448" s="97"/>
      <c r="D448" s="41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172"/>
    </row>
    <row r="449" spans="1:16" s="34" customFormat="1" x14ac:dyDescent="0.25">
      <c r="A449" s="83"/>
      <c r="B449" s="97"/>
      <c r="C449" s="97"/>
      <c r="D449" s="41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172"/>
    </row>
    <row r="450" spans="1:16" s="34" customFormat="1" x14ac:dyDescent="0.25">
      <c r="A450" s="83"/>
      <c r="B450" s="97"/>
      <c r="C450" s="97"/>
      <c r="D450" s="41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172"/>
    </row>
    <row r="451" spans="1:16" s="34" customFormat="1" x14ac:dyDescent="0.25">
      <c r="A451" s="83"/>
      <c r="B451" s="97"/>
      <c r="C451" s="97"/>
      <c r="D451" s="41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172"/>
    </row>
    <row r="452" spans="1:16" s="34" customFormat="1" x14ac:dyDescent="0.25">
      <c r="A452" s="83"/>
      <c r="B452" s="97"/>
      <c r="C452" s="97"/>
      <c r="D452" s="41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172"/>
    </row>
    <row r="453" spans="1:16" s="34" customFormat="1" x14ac:dyDescent="0.25">
      <c r="A453" s="83"/>
      <c r="B453" s="97"/>
      <c r="C453" s="97"/>
      <c r="D453" s="41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172"/>
    </row>
    <row r="454" spans="1:16" s="34" customFormat="1" x14ac:dyDescent="0.25">
      <c r="A454" s="83"/>
      <c r="B454" s="97"/>
      <c r="C454" s="97"/>
      <c r="D454" s="41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172"/>
    </row>
    <row r="455" spans="1:16" s="34" customFormat="1" x14ac:dyDescent="0.25">
      <c r="A455" s="83"/>
      <c r="B455" s="97"/>
      <c r="C455" s="97"/>
      <c r="D455" s="41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172"/>
    </row>
    <row r="456" spans="1:16" s="34" customFormat="1" x14ac:dyDescent="0.25">
      <c r="A456" s="83"/>
      <c r="B456" s="97"/>
      <c r="C456" s="97"/>
      <c r="D456" s="41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172"/>
    </row>
    <row r="457" spans="1:16" s="34" customFormat="1" x14ac:dyDescent="0.25">
      <c r="A457" s="83"/>
      <c r="B457" s="97"/>
      <c r="C457" s="97"/>
      <c r="D457" s="41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172"/>
    </row>
    <row r="458" spans="1:16" s="34" customFormat="1" x14ac:dyDescent="0.25">
      <c r="A458" s="83"/>
      <c r="B458" s="97"/>
      <c r="C458" s="97"/>
      <c r="D458" s="41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172"/>
    </row>
    <row r="459" spans="1:16" s="34" customFormat="1" x14ac:dyDescent="0.25">
      <c r="A459" s="83"/>
      <c r="B459" s="97"/>
      <c r="C459" s="97"/>
      <c r="D459" s="41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172"/>
    </row>
    <row r="460" spans="1:16" s="34" customFormat="1" x14ac:dyDescent="0.25">
      <c r="A460" s="83"/>
      <c r="B460" s="97"/>
      <c r="C460" s="97"/>
      <c r="D460" s="41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172"/>
    </row>
    <row r="461" spans="1:16" s="34" customFormat="1" x14ac:dyDescent="0.25">
      <c r="A461" s="83"/>
      <c r="B461" s="97"/>
      <c r="C461" s="97"/>
      <c r="D461" s="41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172"/>
    </row>
    <row r="462" spans="1:16" s="34" customFormat="1" x14ac:dyDescent="0.25">
      <c r="A462" s="83"/>
      <c r="B462" s="97"/>
      <c r="C462" s="97"/>
      <c r="D462" s="41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172"/>
    </row>
    <row r="463" spans="1:16" s="34" customFormat="1" x14ac:dyDescent="0.25">
      <c r="A463" s="83"/>
      <c r="B463" s="97"/>
      <c r="C463" s="97"/>
      <c r="D463" s="41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172"/>
    </row>
    <row r="464" spans="1:16" s="34" customFormat="1" x14ac:dyDescent="0.25">
      <c r="A464" s="83"/>
      <c r="B464" s="97"/>
      <c r="C464" s="97"/>
      <c r="D464" s="41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172"/>
    </row>
    <row r="465" spans="1:16" s="34" customFormat="1" x14ac:dyDescent="0.25">
      <c r="A465" s="83"/>
      <c r="B465" s="97"/>
      <c r="C465" s="97"/>
      <c r="D465" s="41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172"/>
    </row>
    <row r="466" spans="1:16" s="34" customFormat="1" x14ac:dyDescent="0.25">
      <c r="A466" s="83"/>
      <c r="B466" s="97"/>
      <c r="C466" s="97"/>
      <c r="D466" s="41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172"/>
    </row>
    <row r="467" spans="1:16" s="34" customFormat="1" x14ac:dyDescent="0.25">
      <c r="A467" s="83"/>
      <c r="B467" s="97"/>
      <c r="C467" s="97"/>
      <c r="D467" s="41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172"/>
    </row>
    <row r="468" spans="1:16" s="34" customFormat="1" x14ac:dyDescent="0.25">
      <c r="A468" s="83"/>
      <c r="B468" s="97"/>
      <c r="C468" s="97"/>
      <c r="D468" s="41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172"/>
    </row>
    <row r="469" spans="1:16" s="34" customFormat="1" x14ac:dyDescent="0.25">
      <c r="A469" s="83"/>
      <c r="B469" s="97"/>
      <c r="C469" s="97"/>
      <c r="D469" s="41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172"/>
    </row>
    <row r="470" spans="1:16" s="34" customFormat="1" x14ac:dyDescent="0.25">
      <c r="A470" s="83"/>
      <c r="B470" s="97"/>
      <c r="C470" s="97"/>
      <c r="D470" s="41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172"/>
    </row>
    <row r="471" spans="1:16" s="34" customFormat="1" x14ac:dyDescent="0.25">
      <c r="A471" s="83"/>
      <c r="B471" s="97"/>
      <c r="C471" s="97"/>
      <c r="D471" s="41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172"/>
    </row>
    <row r="472" spans="1:16" s="34" customFormat="1" x14ac:dyDescent="0.25">
      <c r="A472" s="83"/>
      <c r="B472" s="97"/>
      <c r="C472" s="97"/>
      <c r="D472" s="41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172"/>
    </row>
    <row r="473" spans="1:16" s="34" customFormat="1" x14ac:dyDescent="0.25">
      <c r="A473" s="83"/>
      <c r="B473" s="97"/>
      <c r="C473" s="97"/>
      <c r="D473" s="41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172"/>
    </row>
    <row r="474" spans="1:16" s="34" customFormat="1" x14ac:dyDescent="0.25">
      <c r="A474" s="83"/>
      <c r="B474" s="97"/>
      <c r="C474" s="97"/>
      <c r="D474" s="41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172"/>
    </row>
    <row r="475" spans="1:16" s="34" customFormat="1" x14ac:dyDescent="0.25">
      <c r="A475" s="83"/>
      <c r="B475" s="97"/>
      <c r="C475" s="97"/>
      <c r="D475" s="41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172"/>
    </row>
    <row r="476" spans="1:16" s="34" customFormat="1" x14ac:dyDescent="0.25">
      <c r="A476" s="83"/>
      <c r="B476" s="97"/>
      <c r="C476" s="97"/>
      <c r="D476" s="41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172"/>
    </row>
    <row r="477" spans="1:16" s="34" customFormat="1" x14ac:dyDescent="0.25">
      <c r="A477" s="83"/>
      <c r="B477" s="97"/>
      <c r="C477" s="97"/>
      <c r="D477" s="41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172"/>
    </row>
    <row r="478" spans="1:16" s="34" customFormat="1" x14ac:dyDescent="0.25">
      <c r="A478" s="83"/>
      <c r="B478" s="97"/>
      <c r="C478" s="97"/>
      <c r="D478" s="41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172"/>
    </row>
    <row r="479" spans="1:16" s="34" customFormat="1" x14ac:dyDescent="0.25">
      <c r="A479" s="83"/>
      <c r="B479" s="97"/>
      <c r="C479" s="97"/>
      <c r="D479" s="41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172"/>
    </row>
    <row r="480" spans="1:16" s="34" customFormat="1" x14ac:dyDescent="0.25">
      <c r="A480" s="83"/>
      <c r="B480" s="97"/>
      <c r="C480" s="97"/>
      <c r="D480" s="41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172"/>
    </row>
    <row r="481" spans="1:16" s="34" customFormat="1" x14ac:dyDescent="0.25">
      <c r="A481" s="83"/>
      <c r="B481" s="97"/>
      <c r="C481" s="97"/>
      <c r="D481" s="41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172"/>
    </row>
    <row r="482" spans="1:16" s="34" customFormat="1" x14ac:dyDescent="0.25">
      <c r="A482" s="83"/>
      <c r="B482" s="97"/>
      <c r="C482" s="97"/>
      <c r="D482" s="41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172"/>
    </row>
    <row r="483" spans="1:16" s="34" customFormat="1" x14ac:dyDescent="0.25">
      <c r="A483" s="83"/>
      <c r="B483" s="97"/>
      <c r="C483" s="97"/>
      <c r="D483" s="41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172"/>
    </row>
    <row r="484" spans="1:16" s="34" customFormat="1" x14ac:dyDescent="0.25">
      <c r="A484" s="83"/>
      <c r="B484" s="97"/>
      <c r="C484" s="97"/>
      <c r="D484" s="41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172"/>
    </row>
    <row r="485" spans="1:16" s="34" customFormat="1" x14ac:dyDescent="0.25">
      <c r="A485" s="83"/>
      <c r="B485" s="97"/>
      <c r="C485" s="97"/>
      <c r="D485" s="41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172"/>
    </row>
    <row r="486" spans="1:16" s="34" customFormat="1" x14ac:dyDescent="0.25">
      <c r="A486" s="83"/>
      <c r="B486" s="97"/>
      <c r="C486" s="97"/>
      <c r="D486" s="41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172"/>
    </row>
    <row r="487" spans="1:16" s="34" customFormat="1" x14ac:dyDescent="0.25">
      <c r="A487" s="83"/>
      <c r="B487" s="97"/>
      <c r="C487" s="97"/>
      <c r="D487" s="41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172"/>
    </row>
    <row r="488" spans="1:16" s="34" customFormat="1" x14ac:dyDescent="0.25">
      <c r="A488" s="83"/>
      <c r="B488" s="97"/>
      <c r="C488" s="97"/>
      <c r="D488" s="41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172"/>
    </row>
    <row r="489" spans="1:16" s="34" customFormat="1" x14ac:dyDescent="0.25">
      <c r="A489" s="83"/>
      <c r="B489" s="97"/>
      <c r="C489" s="97"/>
      <c r="D489" s="41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172"/>
    </row>
    <row r="490" spans="1:16" s="34" customFormat="1" x14ac:dyDescent="0.25">
      <c r="A490" s="83"/>
      <c r="B490" s="97"/>
      <c r="C490" s="97"/>
      <c r="D490" s="41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172"/>
    </row>
    <row r="491" spans="1:16" s="34" customFormat="1" x14ac:dyDescent="0.25">
      <c r="A491" s="83"/>
      <c r="B491" s="97"/>
      <c r="C491" s="97"/>
      <c r="D491" s="41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172"/>
    </row>
    <row r="492" spans="1:16" s="34" customFormat="1" x14ac:dyDescent="0.25">
      <c r="A492" s="83"/>
      <c r="B492" s="97"/>
      <c r="C492" s="97"/>
      <c r="D492" s="41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172"/>
    </row>
    <row r="493" spans="1:16" s="34" customFormat="1" x14ac:dyDescent="0.25">
      <c r="A493" s="83"/>
      <c r="B493" s="97"/>
      <c r="C493" s="97"/>
      <c r="D493" s="41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172"/>
    </row>
    <row r="494" spans="1:16" s="34" customFormat="1" x14ac:dyDescent="0.25">
      <c r="A494" s="83"/>
      <c r="B494" s="97"/>
      <c r="C494" s="97"/>
      <c r="D494" s="41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172"/>
    </row>
    <row r="495" spans="1:16" s="34" customFormat="1" x14ac:dyDescent="0.25">
      <c r="A495" s="83"/>
      <c r="B495" s="97"/>
      <c r="C495" s="97"/>
      <c r="D495" s="41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172"/>
    </row>
    <row r="496" spans="1:16" s="34" customFormat="1" x14ac:dyDescent="0.25">
      <c r="A496" s="83"/>
      <c r="B496" s="97"/>
      <c r="C496" s="97"/>
      <c r="D496" s="41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172"/>
    </row>
    <row r="497" spans="1:16" s="34" customFormat="1" x14ac:dyDescent="0.25">
      <c r="A497" s="83"/>
      <c r="B497" s="97"/>
      <c r="C497" s="97"/>
      <c r="D497" s="41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172"/>
    </row>
    <row r="498" spans="1:16" s="34" customFormat="1" x14ac:dyDescent="0.25">
      <c r="A498" s="83"/>
      <c r="B498" s="97"/>
      <c r="C498" s="97"/>
      <c r="D498" s="41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172"/>
    </row>
    <row r="499" spans="1:16" s="34" customFormat="1" x14ac:dyDescent="0.25">
      <c r="A499" s="83"/>
      <c r="B499" s="97"/>
      <c r="C499" s="97"/>
      <c r="D499" s="41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172"/>
    </row>
    <row r="500" spans="1:16" s="34" customFormat="1" x14ac:dyDescent="0.25">
      <c r="A500" s="83"/>
      <c r="B500" s="97"/>
      <c r="C500" s="97"/>
      <c r="D500" s="41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172"/>
    </row>
    <row r="501" spans="1:16" s="34" customFormat="1" x14ac:dyDescent="0.25">
      <c r="A501" s="83"/>
      <c r="B501" s="97"/>
      <c r="C501" s="97"/>
      <c r="D501" s="41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172"/>
    </row>
    <row r="502" spans="1:16" s="34" customFormat="1" x14ac:dyDescent="0.25">
      <c r="A502" s="83"/>
      <c r="B502" s="97"/>
      <c r="C502" s="97"/>
      <c r="D502" s="41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172"/>
    </row>
    <row r="503" spans="1:16" s="34" customFormat="1" x14ac:dyDescent="0.25">
      <c r="A503" s="83"/>
      <c r="B503" s="97"/>
      <c r="C503" s="97"/>
      <c r="D503" s="41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172"/>
    </row>
    <row r="504" spans="1:16" s="34" customFormat="1" x14ac:dyDescent="0.25">
      <c r="A504" s="83"/>
      <c r="B504" s="97"/>
      <c r="C504" s="97"/>
      <c r="D504" s="41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172"/>
    </row>
    <row r="505" spans="1:16" s="34" customFormat="1" x14ac:dyDescent="0.25">
      <c r="A505" s="83"/>
      <c r="B505" s="97"/>
      <c r="C505" s="97"/>
      <c r="D505" s="41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172"/>
    </row>
    <row r="506" spans="1:16" s="34" customFormat="1" x14ac:dyDescent="0.25">
      <c r="A506" s="83"/>
      <c r="B506" s="97"/>
      <c r="C506" s="97"/>
      <c r="D506" s="41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172"/>
    </row>
    <row r="507" spans="1:16" s="34" customFormat="1" x14ac:dyDescent="0.25">
      <c r="A507" s="83"/>
      <c r="B507" s="97"/>
      <c r="C507" s="97"/>
      <c r="D507" s="41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172"/>
    </row>
    <row r="508" spans="1:16" s="34" customFormat="1" x14ac:dyDescent="0.25">
      <c r="A508" s="83"/>
      <c r="B508" s="97"/>
      <c r="C508" s="97"/>
      <c r="D508" s="41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172"/>
    </row>
    <row r="509" spans="1:16" s="34" customFormat="1" x14ac:dyDescent="0.25">
      <c r="A509" s="83"/>
      <c r="B509" s="97"/>
      <c r="C509" s="97"/>
      <c r="D509" s="41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172"/>
    </row>
    <row r="510" spans="1:16" s="34" customFormat="1" x14ac:dyDescent="0.25">
      <c r="A510" s="83"/>
      <c r="B510" s="97"/>
      <c r="C510" s="97"/>
      <c r="D510" s="41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172"/>
    </row>
    <row r="511" spans="1:16" s="34" customFormat="1" x14ac:dyDescent="0.25">
      <c r="A511" s="83"/>
      <c r="B511" s="97"/>
      <c r="C511" s="97"/>
      <c r="D511" s="41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172"/>
    </row>
    <row r="512" spans="1:16" s="34" customFormat="1" x14ac:dyDescent="0.25">
      <c r="A512" s="83"/>
      <c r="B512" s="97"/>
      <c r="C512" s="97"/>
      <c r="D512" s="41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172"/>
    </row>
    <row r="513" spans="1:16" s="34" customFormat="1" x14ac:dyDescent="0.25">
      <c r="A513" s="83"/>
      <c r="B513" s="97"/>
      <c r="C513" s="97"/>
      <c r="D513" s="41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172"/>
    </row>
    <row r="514" spans="1:16" s="34" customFormat="1" x14ac:dyDescent="0.25">
      <c r="A514" s="83"/>
      <c r="B514" s="97"/>
      <c r="C514" s="97"/>
      <c r="D514" s="41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172"/>
    </row>
    <row r="515" spans="1:16" s="34" customFormat="1" x14ac:dyDescent="0.25">
      <c r="A515" s="83"/>
      <c r="B515" s="97"/>
      <c r="C515" s="97"/>
      <c r="D515" s="41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172"/>
    </row>
    <row r="516" spans="1:16" s="34" customFormat="1" x14ac:dyDescent="0.25">
      <c r="A516" s="83"/>
      <c r="B516" s="97"/>
      <c r="C516" s="97"/>
      <c r="D516" s="41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172"/>
    </row>
    <row r="517" spans="1:16" s="34" customFormat="1" x14ac:dyDescent="0.25">
      <c r="A517" s="83"/>
      <c r="B517" s="97"/>
      <c r="C517" s="97"/>
      <c r="D517" s="41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172"/>
    </row>
    <row r="518" spans="1:16" s="34" customFormat="1" x14ac:dyDescent="0.25">
      <c r="A518" s="83"/>
      <c r="B518" s="97"/>
      <c r="C518" s="97"/>
      <c r="D518" s="41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172"/>
    </row>
    <row r="519" spans="1:16" s="34" customFormat="1" x14ac:dyDescent="0.25">
      <c r="A519" s="83"/>
      <c r="B519" s="97"/>
      <c r="C519" s="97"/>
      <c r="D519" s="41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172"/>
    </row>
    <row r="520" spans="1:16" s="34" customFormat="1" x14ac:dyDescent="0.25">
      <c r="A520" s="83"/>
      <c r="B520" s="97"/>
      <c r="C520" s="97"/>
      <c r="D520" s="41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172"/>
    </row>
    <row r="521" spans="1:16" s="34" customFormat="1" x14ac:dyDescent="0.25">
      <c r="A521" s="83"/>
      <c r="B521" s="97"/>
      <c r="C521" s="97"/>
      <c r="D521" s="41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172"/>
    </row>
    <row r="522" spans="1:16" s="34" customFormat="1" x14ac:dyDescent="0.25">
      <c r="A522" s="83"/>
      <c r="B522" s="97"/>
      <c r="C522" s="97"/>
      <c r="D522" s="41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172"/>
    </row>
    <row r="523" spans="1:16" s="34" customFormat="1" x14ac:dyDescent="0.25">
      <c r="A523" s="83"/>
      <c r="B523" s="97"/>
      <c r="C523" s="97"/>
      <c r="D523" s="41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172"/>
    </row>
    <row r="524" spans="1:16" s="34" customFormat="1" x14ac:dyDescent="0.25">
      <c r="A524" s="83"/>
      <c r="B524" s="97"/>
      <c r="C524" s="97"/>
      <c r="D524" s="41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172"/>
    </row>
    <row r="525" spans="1:16" s="34" customFormat="1" x14ac:dyDescent="0.25">
      <c r="A525" s="83"/>
      <c r="B525" s="97"/>
      <c r="C525" s="97"/>
      <c r="D525" s="41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172"/>
    </row>
    <row r="526" spans="1:16" s="34" customFormat="1" x14ac:dyDescent="0.25">
      <c r="A526" s="83"/>
      <c r="B526" s="97"/>
      <c r="C526" s="97"/>
      <c r="D526" s="41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172"/>
    </row>
    <row r="527" spans="1:16" s="34" customFormat="1" x14ac:dyDescent="0.25">
      <c r="A527" s="83"/>
      <c r="B527" s="97"/>
      <c r="C527" s="97"/>
      <c r="D527" s="41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172"/>
    </row>
    <row r="528" spans="1:16" s="34" customFormat="1" x14ac:dyDescent="0.25">
      <c r="A528" s="83"/>
      <c r="B528" s="97"/>
      <c r="C528" s="97"/>
      <c r="D528" s="41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172"/>
    </row>
    <row r="529" spans="1:16" s="34" customFormat="1" x14ac:dyDescent="0.25">
      <c r="A529" s="83"/>
      <c r="B529" s="97"/>
      <c r="C529" s="97"/>
      <c r="D529" s="41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172"/>
    </row>
    <row r="530" spans="1:16" s="34" customFormat="1" x14ac:dyDescent="0.25">
      <c r="A530" s="83"/>
      <c r="B530" s="97"/>
      <c r="C530" s="97"/>
      <c r="D530" s="41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172"/>
    </row>
    <row r="531" spans="1:16" s="34" customFormat="1" x14ac:dyDescent="0.25">
      <c r="A531" s="83"/>
      <c r="B531" s="97"/>
      <c r="C531" s="97"/>
      <c r="D531" s="41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172"/>
    </row>
    <row r="532" spans="1:16" s="34" customFormat="1" x14ac:dyDescent="0.25">
      <c r="A532" s="83"/>
      <c r="B532" s="97"/>
      <c r="C532" s="97"/>
      <c r="D532" s="41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172"/>
    </row>
    <row r="533" spans="1:16" s="34" customFormat="1" x14ac:dyDescent="0.25">
      <c r="A533" s="83"/>
      <c r="B533" s="97"/>
      <c r="C533" s="97"/>
      <c r="D533" s="41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172"/>
    </row>
    <row r="534" spans="1:16" s="34" customFormat="1" x14ac:dyDescent="0.25">
      <c r="A534" s="83"/>
      <c r="B534" s="97"/>
      <c r="C534" s="97"/>
      <c r="D534" s="41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172"/>
    </row>
    <row r="535" spans="1:16" s="34" customFormat="1" x14ac:dyDescent="0.25">
      <c r="A535" s="83"/>
      <c r="B535" s="97"/>
      <c r="C535" s="97"/>
      <c r="D535" s="41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172"/>
    </row>
    <row r="536" spans="1:16" s="34" customFormat="1" x14ac:dyDescent="0.25">
      <c r="A536" s="83"/>
      <c r="B536" s="97"/>
      <c r="C536" s="97"/>
      <c r="D536" s="41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172"/>
    </row>
    <row r="537" spans="1:16" s="34" customFormat="1" x14ac:dyDescent="0.25">
      <c r="A537" s="83"/>
      <c r="B537" s="97"/>
      <c r="C537" s="97"/>
      <c r="D537" s="41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172"/>
    </row>
    <row r="538" spans="1:16" s="34" customFormat="1" x14ac:dyDescent="0.25">
      <c r="A538" s="83"/>
      <c r="B538" s="97"/>
      <c r="C538" s="97"/>
      <c r="D538" s="41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172"/>
    </row>
    <row r="539" spans="1:16" s="34" customFormat="1" x14ac:dyDescent="0.25">
      <c r="A539" s="83"/>
      <c r="B539" s="97"/>
      <c r="C539" s="97"/>
      <c r="D539" s="41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172"/>
    </row>
    <row r="540" spans="1:16" s="34" customFormat="1" x14ac:dyDescent="0.25">
      <c r="A540" s="83"/>
      <c r="B540" s="97"/>
      <c r="C540" s="97"/>
      <c r="D540" s="41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172"/>
    </row>
    <row r="541" spans="1:16" s="34" customFormat="1" x14ac:dyDescent="0.25">
      <c r="A541" s="83"/>
      <c r="B541" s="97"/>
      <c r="C541" s="97"/>
      <c r="D541" s="41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172"/>
    </row>
    <row r="542" spans="1:16" s="34" customFormat="1" x14ac:dyDescent="0.25">
      <c r="A542" s="83"/>
      <c r="B542" s="97"/>
      <c r="C542" s="97"/>
      <c r="D542" s="41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172"/>
    </row>
    <row r="543" spans="1:16" s="34" customFormat="1" x14ac:dyDescent="0.25">
      <c r="A543" s="83"/>
      <c r="B543" s="97"/>
      <c r="C543" s="97"/>
      <c r="D543" s="41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172"/>
    </row>
    <row r="544" spans="1:16" s="34" customFormat="1" x14ac:dyDescent="0.25">
      <c r="A544" s="83"/>
      <c r="B544" s="97"/>
      <c r="C544" s="97"/>
      <c r="D544" s="41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172"/>
    </row>
    <row r="545" spans="1:16" s="34" customFormat="1" x14ac:dyDescent="0.25">
      <c r="A545" s="83"/>
      <c r="B545" s="97"/>
      <c r="C545" s="97"/>
      <c r="D545" s="41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172"/>
    </row>
    <row r="546" spans="1:16" s="34" customFormat="1" x14ac:dyDescent="0.25">
      <c r="A546" s="83"/>
      <c r="B546" s="97"/>
      <c r="C546" s="97"/>
      <c r="D546" s="41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172"/>
    </row>
    <row r="547" spans="1:16" s="34" customFormat="1" x14ac:dyDescent="0.25">
      <c r="A547" s="83"/>
      <c r="B547" s="97"/>
      <c r="C547" s="97"/>
      <c r="D547" s="41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172"/>
    </row>
    <row r="548" spans="1:16" s="34" customFormat="1" x14ac:dyDescent="0.25">
      <c r="A548" s="83"/>
      <c r="B548" s="97"/>
      <c r="C548" s="97"/>
      <c r="D548" s="41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172"/>
    </row>
    <row r="549" spans="1:16" s="34" customFormat="1" x14ac:dyDescent="0.25">
      <c r="A549" s="83"/>
      <c r="B549" s="97"/>
      <c r="C549" s="97"/>
      <c r="D549" s="41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172"/>
    </row>
    <row r="550" spans="1:16" s="34" customFormat="1" x14ac:dyDescent="0.25">
      <c r="A550" s="83"/>
      <c r="B550" s="97"/>
      <c r="C550" s="97"/>
      <c r="D550" s="41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172"/>
    </row>
    <row r="551" spans="1:16" s="34" customFormat="1" x14ac:dyDescent="0.25">
      <c r="A551" s="83"/>
      <c r="B551" s="97"/>
      <c r="C551" s="97"/>
      <c r="D551" s="41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172"/>
    </row>
    <row r="552" spans="1:16" s="34" customFormat="1" x14ac:dyDescent="0.25">
      <c r="A552" s="83"/>
      <c r="B552" s="97"/>
      <c r="C552" s="97"/>
      <c r="D552" s="41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172"/>
    </row>
    <row r="553" spans="1:16" s="34" customFormat="1" x14ac:dyDescent="0.25">
      <c r="A553" s="83"/>
      <c r="B553" s="97"/>
      <c r="C553" s="97"/>
      <c r="D553" s="41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172"/>
    </row>
    <row r="554" spans="1:16" s="34" customFormat="1" x14ac:dyDescent="0.25">
      <c r="A554" s="83"/>
      <c r="B554" s="97"/>
      <c r="C554" s="97"/>
      <c r="D554" s="41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172"/>
    </row>
    <row r="555" spans="1:16" s="34" customFormat="1" x14ac:dyDescent="0.25">
      <c r="A555" s="83"/>
      <c r="B555" s="97"/>
      <c r="C555" s="97"/>
      <c r="D555" s="41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172"/>
    </row>
    <row r="556" spans="1:16" s="34" customFormat="1" x14ac:dyDescent="0.25">
      <c r="A556" s="83"/>
      <c r="B556" s="97"/>
      <c r="C556" s="97"/>
      <c r="D556" s="41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172"/>
    </row>
    <row r="557" spans="1:16" s="34" customFormat="1" x14ac:dyDescent="0.25">
      <c r="A557" s="83"/>
      <c r="B557" s="97"/>
      <c r="C557" s="97"/>
      <c r="D557" s="41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172"/>
    </row>
    <row r="558" spans="1:16" s="34" customFormat="1" x14ac:dyDescent="0.25">
      <c r="A558" s="83"/>
      <c r="B558" s="97"/>
      <c r="C558" s="97"/>
      <c r="D558" s="41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172"/>
    </row>
    <row r="559" spans="1:16" s="34" customFormat="1" x14ac:dyDescent="0.25">
      <c r="A559" s="83"/>
      <c r="B559" s="97"/>
      <c r="C559" s="97"/>
      <c r="D559" s="41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172"/>
    </row>
    <row r="560" spans="1:16" s="34" customFormat="1" x14ac:dyDescent="0.25">
      <c r="A560" s="83"/>
      <c r="B560" s="97"/>
      <c r="C560" s="97"/>
      <c r="D560" s="41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172"/>
    </row>
    <row r="561" spans="1:16" s="34" customFormat="1" x14ac:dyDescent="0.25">
      <c r="A561" s="83"/>
      <c r="B561" s="97"/>
      <c r="C561" s="97"/>
      <c r="D561" s="41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172"/>
    </row>
    <row r="562" spans="1:16" s="34" customFormat="1" x14ac:dyDescent="0.25">
      <c r="A562" s="83"/>
      <c r="B562" s="97"/>
      <c r="C562" s="97"/>
      <c r="D562" s="41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172"/>
    </row>
    <row r="563" spans="1:16" s="34" customFormat="1" x14ac:dyDescent="0.25">
      <c r="A563" s="83"/>
      <c r="B563" s="97"/>
      <c r="C563" s="97"/>
      <c r="D563" s="41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172"/>
    </row>
    <row r="564" spans="1:16" s="34" customFormat="1" x14ac:dyDescent="0.25">
      <c r="A564" s="83"/>
      <c r="B564" s="97"/>
      <c r="C564" s="97"/>
      <c r="D564" s="41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172"/>
    </row>
    <row r="565" spans="1:16" s="34" customFormat="1" x14ac:dyDescent="0.25">
      <c r="A565" s="83"/>
      <c r="B565" s="97"/>
      <c r="C565" s="97"/>
      <c r="D565" s="41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172"/>
    </row>
    <row r="566" spans="1:16" s="34" customFormat="1" x14ac:dyDescent="0.25">
      <c r="A566" s="83"/>
      <c r="B566" s="97"/>
      <c r="C566" s="97"/>
      <c r="D566" s="41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172"/>
    </row>
    <row r="567" spans="1:16" s="34" customFormat="1" x14ac:dyDescent="0.25">
      <c r="A567" s="83"/>
      <c r="B567" s="97"/>
      <c r="C567" s="97"/>
      <c r="D567" s="41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172"/>
    </row>
    <row r="568" spans="1:16" s="34" customFormat="1" x14ac:dyDescent="0.25">
      <c r="A568" s="83"/>
      <c r="B568" s="97"/>
      <c r="C568" s="97"/>
      <c r="D568" s="41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172"/>
    </row>
    <row r="569" spans="1:16" s="34" customFormat="1" x14ac:dyDescent="0.25">
      <c r="A569" s="83"/>
      <c r="B569" s="97"/>
      <c r="C569" s="97"/>
      <c r="D569" s="41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172"/>
    </row>
    <row r="570" spans="1:16" s="34" customFormat="1" x14ac:dyDescent="0.25">
      <c r="A570" s="83"/>
      <c r="B570" s="97"/>
      <c r="C570" s="97"/>
      <c r="D570" s="41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172"/>
    </row>
    <row r="571" spans="1:16" s="34" customFormat="1" x14ac:dyDescent="0.25">
      <c r="A571" s="83"/>
      <c r="B571" s="97"/>
      <c r="C571" s="97"/>
      <c r="D571" s="41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172"/>
    </row>
    <row r="572" spans="1:16" s="34" customFormat="1" x14ac:dyDescent="0.25">
      <c r="A572" s="83"/>
      <c r="B572" s="97"/>
      <c r="C572" s="97"/>
      <c r="D572" s="41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172"/>
    </row>
    <row r="573" spans="1:16" s="34" customFormat="1" x14ac:dyDescent="0.25">
      <c r="A573" s="83"/>
      <c r="B573" s="97"/>
      <c r="C573" s="97"/>
      <c r="D573" s="41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172"/>
    </row>
    <row r="574" spans="1:16" s="34" customFormat="1" x14ac:dyDescent="0.25">
      <c r="A574" s="83"/>
      <c r="B574" s="97"/>
      <c r="C574" s="97"/>
      <c r="D574" s="41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172"/>
    </row>
    <row r="575" spans="1:16" s="34" customFormat="1" x14ac:dyDescent="0.25">
      <c r="A575" s="83"/>
      <c r="B575" s="97"/>
      <c r="C575" s="97"/>
      <c r="D575" s="41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172"/>
    </row>
    <row r="576" spans="1:16" s="34" customFormat="1" x14ac:dyDescent="0.25">
      <c r="A576" s="83"/>
      <c r="B576" s="97"/>
      <c r="C576" s="97"/>
      <c r="D576" s="41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172"/>
    </row>
    <row r="577" spans="1:16" s="34" customFormat="1" x14ac:dyDescent="0.25">
      <c r="A577" s="83"/>
      <c r="B577" s="97"/>
      <c r="C577" s="97"/>
      <c r="D577" s="41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172"/>
    </row>
    <row r="578" spans="1:16" s="34" customFormat="1" x14ac:dyDescent="0.25">
      <c r="A578" s="83"/>
      <c r="B578" s="97"/>
      <c r="C578" s="97"/>
      <c r="D578" s="41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172"/>
    </row>
    <row r="579" spans="1:16" s="34" customFormat="1" x14ac:dyDescent="0.25">
      <c r="A579" s="83"/>
      <c r="B579" s="97"/>
      <c r="C579" s="97"/>
      <c r="D579" s="41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172"/>
    </row>
    <row r="580" spans="1:16" s="34" customFormat="1" x14ac:dyDescent="0.25">
      <c r="A580" s="83"/>
      <c r="B580" s="97"/>
      <c r="C580" s="97"/>
      <c r="D580" s="41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172"/>
    </row>
    <row r="581" spans="1:16" s="34" customFormat="1" x14ac:dyDescent="0.25">
      <c r="A581" s="83"/>
      <c r="B581" s="97"/>
      <c r="C581" s="97"/>
      <c r="D581" s="41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172"/>
    </row>
    <row r="582" spans="1:16" s="34" customFormat="1" x14ac:dyDescent="0.25">
      <c r="A582" s="83"/>
      <c r="B582" s="97"/>
      <c r="C582" s="97"/>
      <c r="D582" s="41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172"/>
    </row>
    <row r="583" spans="1:16" s="34" customFormat="1" x14ac:dyDescent="0.25">
      <c r="A583" s="83"/>
      <c r="B583" s="97"/>
      <c r="C583" s="97"/>
      <c r="D583" s="41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172"/>
    </row>
    <row r="584" spans="1:16" s="34" customFormat="1" x14ac:dyDescent="0.25">
      <c r="A584" s="83"/>
      <c r="B584" s="97"/>
      <c r="C584" s="97"/>
      <c r="D584" s="41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172"/>
    </row>
    <row r="585" spans="1:16" s="34" customFormat="1" x14ac:dyDescent="0.25">
      <c r="A585" s="83"/>
      <c r="B585" s="97"/>
      <c r="C585" s="97"/>
      <c r="D585" s="41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172"/>
    </row>
    <row r="586" spans="1:16" s="34" customFormat="1" x14ac:dyDescent="0.25">
      <c r="A586" s="83"/>
      <c r="B586" s="97"/>
      <c r="C586" s="97"/>
      <c r="D586" s="41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172"/>
    </row>
    <row r="587" spans="1:16" s="34" customFormat="1" x14ac:dyDescent="0.25">
      <c r="A587" s="83"/>
      <c r="B587" s="97"/>
      <c r="C587" s="97"/>
      <c r="D587" s="41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172"/>
    </row>
    <row r="588" spans="1:16" s="34" customFormat="1" x14ac:dyDescent="0.25">
      <c r="A588" s="83"/>
      <c r="B588" s="97"/>
      <c r="C588" s="97"/>
      <c r="D588" s="41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172"/>
    </row>
    <row r="589" spans="1:16" s="34" customFormat="1" x14ac:dyDescent="0.25">
      <c r="A589" s="83"/>
      <c r="B589" s="97"/>
      <c r="C589" s="97"/>
      <c r="D589" s="41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172"/>
    </row>
    <row r="590" spans="1:16" s="34" customFormat="1" x14ac:dyDescent="0.25">
      <c r="A590" s="83"/>
      <c r="B590" s="97"/>
      <c r="C590" s="97"/>
      <c r="D590" s="41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172"/>
    </row>
    <row r="591" spans="1:16" s="34" customFormat="1" x14ac:dyDescent="0.25">
      <c r="A591" s="83"/>
      <c r="B591" s="97"/>
      <c r="C591" s="97"/>
      <c r="D591" s="41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172"/>
    </row>
    <row r="592" spans="1:16" s="34" customFormat="1" x14ac:dyDescent="0.25">
      <c r="A592" s="83"/>
      <c r="B592" s="97"/>
      <c r="C592" s="97"/>
      <c r="D592" s="41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172"/>
    </row>
    <row r="593" spans="1:16" s="34" customFormat="1" x14ac:dyDescent="0.25">
      <c r="A593" s="83"/>
      <c r="B593" s="97"/>
      <c r="C593" s="97"/>
      <c r="D593" s="41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172"/>
    </row>
    <row r="594" spans="1:16" s="34" customFormat="1" x14ac:dyDescent="0.25">
      <c r="A594" s="83"/>
      <c r="B594" s="97"/>
      <c r="C594" s="97"/>
      <c r="D594" s="41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172"/>
    </row>
    <row r="595" spans="1:16" s="34" customFormat="1" x14ac:dyDescent="0.25">
      <c r="A595" s="83"/>
      <c r="B595" s="97"/>
      <c r="C595" s="97"/>
      <c r="D595" s="41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172"/>
    </row>
    <row r="596" spans="1:16" s="34" customFormat="1" x14ac:dyDescent="0.25">
      <c r="A596" s="83"/>
      <c r="B596" s="97"/>
      <c r="C596" s="97"/>
      <c r="D596" s="41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172"/>
    </row>
    <row r="597" spans="1:16" s="34" customFormat="1" x14ac:dyDescent="0.25">
      <c r="A597" s="83"/>
      <c r="B597" s="97"/>
      <c r="C597" s="97"/>
      <c r="D597" s="41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172"/>
    </row>
    <row r="598" spans="1:16" s="34" customFormat="1" x14ac:dyDescent="0.25">
      <c r="A598" s="83"/>
      <c r="B598" s="97"/>
      <c r="C598" s="97"/>
      <c r="D598" s="41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172"/>
    </row>
    <row r="599" spans="1:16" s="34" customFormat="1" x14ac:dyDescent="0.25">
      <c r="A599" s="83"/>
      <c r="B599" s="97"/>
      <c r="C599" s="97"/>
      <c r="D599" s="41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172"/>
    </row>
    <row r="600" spans="1:16" s="34" customFormat="1" x14ac:dyDescent="0.25">
      <c r="A600" s="83"/>
      <c r="B600" s="97"/>
      <c r="C600" s="97"/>
      <c r="D600" s="41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172"/>
    </row>
    <row r="601" spans="1:16" s="34" customFormat="1" x14ac:dyDescent="0.25">
      <c r="A601" s="83"/>
      <c r="B601" s="97"/>
      <c r="C601" s="97"/>
      <c r="D601" s="41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172"/>
    </row>
    <row r="602" spans="1:16" s="34" customFormat="1" x14ac:dyDescent="0.25">
      <c r="A602" s="83"/>
      <c r="B602" s="97"/>
      <c r="C602" s="97"/>
      <c r="D602" s="41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172"/>
    </row>
    <row r="603" spans="1:16" s="34" customFormat="1" x14ac:dyDescent="0.25">
      <c r="A603" s="83"/>
      <c r="B603" s="97"/>
      <c r="C603" s="97"/>
      <c r="D603" s="41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172"/>
    </row>
    <row r="604" spans="1:16" s="34" customFormat="1" x14ac:dyDescent="0.25">
      <c r="A604" s="83"/>
      <c r="B604" s="97"/>
      <c r="C604" s="97"/>
      <c r="D604" s="41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172"/>
    </row>
    <row r="605" spans="1:16" s="34" customFormat="1" x14ac:dyDescent="0.25">
      <c r="A605" s="83"/>
      <c r="B605" s="97"/>
      <c r="C605" s="97"/>
      <c r="D605" s="41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172"/>
    </row>
    <row r="606" spans="1:16" s="34" customFormat="1" x14ac:dyDescent="0.25">
      <c r="A606" s="83"/>
      <c r="B606" s="97"/>
      <c r="C606" s="97"/>
      <c r="D606" s="41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172"/>
    </row>
    <row r="607" spans="1:16" s="34" customFormat="1" x14ac:dyDescent="0.25">
      <c r="A607" s="83"/>
      <c r="B607" s="97"/>
      <c r="C607" s="97"/>
      <c r="D607" s="41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172"/>
    </row>
    <row r="608" spans="1:16" s="34" customFormat="1" x14ac:dyDescent="0.25">
      <c r="A608" s="83"/>
      <c r="B608" s="97"/>
      <c r="C608" s="97"/>
      <c r="D608" s="41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172"/>
    </row>
    <row r="609" spans="1:16" s="34" customFormat="1" x14ac:dyDescent="0.25">
      <c r="A609" s="83"/>
      <c r="B609" s="97"/>
      <c r="C609" s="97"/>
      <c r="D609" s="41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172"/>
    </row>
    <row r="610" spans="1:16" s="34" customFormat="1" x14ac:dyDescent="0.25">
      <c r="A610" s="83"/>
      <c r="B610" s="97"/>
      <c r="C610" s="97"/>
      <c r="D610" s="41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172"/>
    </row>
    <row r="611" spans="1:16" s="34" customFormat="1" x14ac:dyDescent="0.25">
      <c r="A611" s="83"/>
      <c r="B611" s="97"/>
      <c r="C611" s="97"/>
      <c r="D611" s="41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172"/>
    </row>
    <row r="612" spans="1:16" s="34" customFormat="1" x14ac:dyDescent="0.25">
      <c r="A612" s="83"/>
      <c r="B612" s="97"/>
      <c r="C612" s="97"/>
      <c r="D612" s="41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172"/>
    </row>
    <row r="613" spans="1:16" s="34" customFormat="1" x14ac:dyDescent="0.25">
      <c r="A613" s="83"/>
      <c r="B613" s="97"/>
      <c r="C613" s="97"/>
      <c r="D613" s="41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172"/>
    </row>
    <row r="614" spans="1:16" s="34" customFormat="1" x14ac:dyDescent="0.25">
      <c r="A614" s="83"/>
      <c r="B614" s="97"/>
      <c r="C614" s="97"/>
      <c r="D614" s="41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172"/>
    </row>
    <row r="615" spans="1:16" s="34" customFormat="1" x14ac:dyDescent="0.25">
      <c r="A615" s="83"/>
      <c r="B615" s="97"/>
      <c r="C615" s="97"/>
      <c r="D615" s="41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172"/>
    </row>
    <row r="616" spans="1:16" s="34" customFormat="1" x14ac:dyDescent="0.25">
      <c r="A616" s="83"/>
      <c r="B616" s="97"/>
      <c r="C616" s="97"/>
      <c r="D616" s="41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172"/>
    </row>
    <row r="617" spans="1:16" s="34" customFormat="1" x14ac:dyDescent="0.25">
      <c r="A617" s="83"/>
      <c r="B617" s="97"/>
      <c r="C617" s="97"/>
      <c r="D617" s="41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172"/>
    </row>
    <row r="618" spans="1:16" s="34" customFormat="1" x14ac:dyDescent="0.25">
      <c r="A618" s="83"/>
      <c r="B618" s="97"/>
      <c r="C618" s="97"/>
      <c r="D618" s="41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172"/>
    </row>
    <row r="619" spans="1:16" s="34" customFormat="1" x14ac:dyDescent="0.25">
      <c r="A619" s="83"/>
      <c r="B619" s="97"/>
      <c r="C619" s="97"/>
      <c r="D619" s="41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172"/>
    </row>
    <row r="620" spans="1:16" s="34" customFormat="1" x14ac:dyDescent="0.25">
      <c r="A620" s="83"/>
      <c r="B620" s="97"/>
      <c r="C620" s="97"/>
      <c r="D620" s="41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172"/>
    </row>
    <row r="621" spans="1:16" s="34" customFormat="1" x14ac:dyDescent="0.25">
      <c r="A621" s="83"/>
      <c r="B621" s="97"/>
      <c r="C621" s="97"/>
      <c r="D621" s="41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172"/>
    </row>
    <row r="622" spans="1:16" s="34" customFormat="1" x14ac:dyDescent="0.25">
      <c r="A622" s="83"/>
      <c r="B622" s="97"/>
      <c r="C622" s="97"/>
      <c r="D622" s="41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172"/>
    </row>
    <row r="623" spans="1:16" s="34" customFormat="1" x14ac:dyDescent="0.25">
      <c r="A623" s="83"/>
      <c r="B623" s="97"/>
      <c r="C623" s="97"/>
      <c r="D623" s="41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172"/>
    </row>
    <row r="624" spans="1:16" s="34" customFormat="1" x14ac:dyDescent="0.25">
      <c r="A624" s="83"/>
      <c r="B624" s="97"/>
      <c r="C624" s="97"/>
      <c r="D624" s="41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172"/>
    </row>
    <row r="625" spans="1:16" s="34" customFormat="1" x14ac:dyDescent="0.25">
      <c r="A625" s="83"/>
      <c r="B625" s="97"/>
      <c r="C625" s="97"/>
      <c r="D625" s="41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172"/>
    </row>
    <row r="626" spans="1:16" s="34" customFormat="1" x14ac:dyDescent="0.25">
      <c r="A626" s="83"/>
      <c r="B626" s="97"/>
      <c r="C626" s="97"/>
      <c r="D626" s="41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172"/>
    </row>
    <row r="627" spans="1:16" s="34" customFormat="1" x14ac:dyDescent="0.25">
      <c r="A627" s="83"/>
      <c r="B627" s="97"/>
      <c r="C627" s="97"/>
      <c r="D627" s="41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172"/>
    </row>
    <row r="628" spans="1:16" s="34" customFormat="1" x14ac:dyDescent="0.25">
      <c r="A628" s="83"/>
      <c r="B628" s="97"/>
      <c r="C628" s="97"/>
      <c r="D628" s="41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172"/>
    </row>
    <row r="629" spans="1:16" s="34" customFormat="1" x14ac:dyDescent="0.25">
      <c r="A629" s="83"/>
      <c r="B629" s="97"/>
      <c r="C629" s="97"/>
      <c r="D629" s="41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172"/>
    </row>
    <row r="630" spans="1:16" s="34" customFormat="1" x14ac:dyDescent="0.25">
      <c r="A630" s="83"/>
      <c r="B630" s="97"/>
      <c r="C630" s="97"/>
      <c r="D630" s="41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172"/>
    </row>
    <row r="631" spans="1:16" s="34" customFormat="1" x14ac:dyDescent="0.25">
      <c r="A631" s="83"/>
      <c r="B631" s="97"/>
      <c r="C631" s="97"/>
      <c r="D631" s="41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172"/>
    </row>
    <row r="632" spans="1:16" s="34" customFormat="1" x14ac:dyDescent="0.25">
      <c r="A632" s="83"/>
      <c r="B632" s="97"/>
      <c r="C632" s="97"/>
      <c r="D632" s="41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172"/>
    </row>
    <row r="633" spans="1:16" s="34" customFormat="1" x14ac:dyDescent="0.25">
      <c r="A633" s="83"/>
      <c r="B633" s="97"/>
      <c r="C633" s="97"/>
      <c r="D633" s="41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172"/>
    </row>
    <row r="634" spans="1:16" s="34" customFormat="1" x14ac:dyDescent="0.25">
      <c r="A634" s="83"/>
      <c r="B634" s="97"/>
      <c r="C634" s="97"/>
      <c r="D634" s="41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172"/>
    </row>
    <row r="635" spans="1:16" s="34" customFormat="1" x14ac:dyDescent="0.25">
      <c r="A635" s="83"/>
      <c r="B635" s="97"/>
      <c r="C635" s="97"/>
      <c r="D635" s="41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172"/>
    </row>
    <row r="636" spans="1:16" s="34" customFormat="1" x14ac:dyDescent="0.25">
      <c r="A636" s="83"/>
      <c r="B636" s="97"/>
      <c r="C636" s="97"/>
      <c r="D636" s="41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172"/>
    </row>
    <row r="637" spans="1:16" s="34" customFormat="1" x14ac:dyDescent="0.25">
      <c r="A637" s="83"/>
      <c r="B637" s="97"/>
      <c r="C637" s="97"/>
      <c r="D637" s="41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172"/>
    </row>
    <row r="638" spans="1:16" s="34" customFormat="1" x14ac:dyDescent="0.25">
      <c r="A638" s="83"/>
      <c r="B638" s="97"/>
      <c r="C638" s="97"/>
      <c r="D638" s="41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172"/>
    </row>
    <row r="639" spans="1:16" s="34" customFormat="1" x14ac:dyDescent="0.25">
      <c r="A639" s="83"/>
      <c r="B639" s="97"/>
      <c r="C639" s="97"/>
      <c r="D639" s="41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172"/>
    </row>
    <row r="640" spans="1:16" s="34" customFormat="1" x14ac:dyDescent="0.25">
      <c r="A640" s="83"/>
      <c r="B640" s="97"/>
      <c r="C640" s="97"/>
      <c r="D640" s="41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172"/>
    </row>
    <row r="641" spans="1:16" s="34" customFormat="1" x14ac:dyDescent="0.25">
      <c r="A641" s="83"/>
      <c r="B641" s="97"/>
      <c r="C641" s="97"/>
      <c r="D641" s="41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172"/>
    </row>
    <row r="642" spans="1:16" s="34" customFormat="1" x14ac:dyDescent="0.25">
      <c r="A642" s="83"/>
      <c r="B642" s="97"/>
      <c r="C642" s="97"/>
      <c r="D642" s="41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172"/>
    </row>
    <row r="643" spans="1:16" s="34" customFormat="1" x14ac:dyDescent="0.25">
      <c r="A643" s="83"/>
      <c r="B643" s="97"/>
      <c r="C643" s="97"/>
      <c r="D643" s="41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172"/>
    </row>
    <row r="644" spans="1:16" s="34" customFormat="1" x14ac:dyDescent="0.25">
      <c r="A644" s="83"/>
      <c r="B644" s="97"/>
      <c r="C644" s="97"/>
      <c r="D644" s="41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172"/>
    </row>
    <row r="645" spans="1:16" s="34" customFormat="1" x14ac:dyDescent="0.25">
      <c r="A645" s="83"/>
      <c r="B645" s="97"/>
      <c r="C645" s="97"/>
      <c r="D645" s="41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172"/>
    </row>
    <row r="646" spans="1:16" s="34" customFormat="1" x14ac:dyDescent="0.25">
      <c r="A646" s="83"/>
      <c r="B646" s="97"/>
      <c r="C646" s="97"/>
      <c r="D646" s="41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172"/>
    </row>
    <row r="647" spans="1:16" s="34" customFormat="1" x14ac:dyDescent="0.25">
      <c r="A647" s="83"/>
      <c r="B647" s="97"/>
      <c r="C647" s="97"/>
      <c r="D647" s="41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172"/>
    </row>
    <row r="648" spans="1:16" s="34" customFormat="1" x14ac:dyDescent="0.25">
      <c r="A648" s="83"/>
      <c r="B648" s="97"/>
      <c r="C648" s="97"/>
      <c r="D648" s="41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172"/>
    </row>
    <row r="649" spans="1:16" s="34" customFormat="1" x14ac:dyDescent="0.25">
      <c r="A649" s="83"/>
      <c r="B649" s="97"/>
      <c r="C649" s="97"/>
      <c r="D649" s="41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172"/>
    </row>
    <row r="650" spans="1:16" s="34" customFormat="1" x14ac:dyDescent="0.25">
      <c r="A650" s="83"/>
      <c r="B650" s="97"/>
      <c r="C650" s="97"/>
      <c r="D650" s="41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172"/>
    </row>
    <row r="651" spans="1:16" s="34" customFormat="1" x14ac:dyDescent="0.25">
      <c r="A651" s="83"/>
      <c r="B651" s="97"/>
      <c r="C651" s="97"/>
      <c r="D651" s="41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172"/>
    </row>
    <row r="652" spans="1:16" s="34" customFormat="1" x14ac:dyDescent="0.25">
      <c r="A652" s="83"/>
      <c r="B652" s="97"/>
      <c r="C652" s="97"/>
      <c r="D652" s="41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172"/>
    </row>
    <row r="653" spans="1:16" s="34" customFormat="1" x14ac:dyDescent="0.25">
      <c r="A653" s="83"/>
      <c r="B653" s="97"/>
      <c r="C653" s="97"/>
      <c r="D653" s="41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172"/>
    </row>
    <row r="654" spans="1:16" s="34" customFormat="1" x14ac:dyDescent="0.25">
      <c r="A654" s="83"/>
      <c r="B654" s="97"/>
      <c r="C654" s="97"/>
      <c r="D654" s="41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172"/>
    </row>
    <row r="655" spans="1:16" s="34" customFormat="1" x14ac:dyDescent="0.25">
      <c r="A655" s="83"/>
      <c r="B655" s="97"/>
      <c r="C655" s="97"/>
      <c r="D655" s="41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172"/>
    </row>
    <row r="656" spans="1:16" s="34" customFormat="1" x14ac:dyDescent="0.25">
      <c r="A656" s="83"/>
      <c r="B656" s="97"/>
      <c r="C656" s="97"/>
      <c r="D656" s="41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172"/>
    </row>
    <row r="657" spans="1:16" s="34" customFormat="1" x14ac:dyDescent="0.25">
      <c r="A657" s="83"/>
      <c r="B657" s="97"/>
      <c r="C657" s="97"/>
      <c r="D657" s="41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172"/>
    </row>
    <row r="658" spans="1:16" s="34" customFormat="1" x14ac:dyDescent="0.25">
      <c r="A658" s="83"/>
      <c r="B658" s="97"/>
      <c r="C658" s="97"/>
      <c r="D658" s="41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172"/>
    </row>
    <row r="659" spans="1:16" s="34" customFormat="1" x14ac:dyDescent="0.25">
      <c r="A659" s="83"/>
      <c r="B659" s="97"/>
      <c r="C659" s="97"/>
      <c r="D659" s="41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172"/>
    </row>
    <row r="660" spans="1:16" s="34" customFormat="1" x14ac:dyDescent="0.25">
      <c r="A660" s="83"/>
      <c r="B660" s="97"/>
      <c r="C660" s="97"/>
      <c r="D660" s="41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172"/>
    </row>
    <row r="661" spans="1:16" s="34" customFormat="1" x14ac:dyDescent="0.25">
      <c r="A661" s="83"/>
      <c r="B661" s="97"/>
      <c r="C661" s="97"/>
      <c r="D661" s="41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172"/>
    </row>
    <row r="662" spans="1:16" s="34" customFormat="1" x14ac:dyDescent="0.25">
      <c r="A662" s="83"/>
      <c r="B662" s="97"/>
      <c r="C662" s="97"/>
      <c r="D662" s="41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172"/>
    </row>
    <row r="663" spans="1:16" s="34" customFormat="1" x14ac:dyDescent="0.25">
      <c r="A663" s="83"/>
      <c r="B663" s="97"/>
      <c r="C663" s="97"/>
      <c r="D663" s="41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172"/>
    </row>
    <row r="664" spans="1:16" s="34" customFormat="1" x14ac:dyDescent="0.25">
      <c r="A664" s="83"/>
      <c r="B664" s="97"/>
      <c r="C664" s="97"/>
      <c r="D664" s="41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172"/>
    </row>
    <row r="665" spans="1:16" s="34" customFormat="1" x14ac:dyDescent="0.25">
      <c r="A665" s="83"/>
      <c r="B665" s="97"/>
      <c r="C665" s="97"/>
      <c r="D665" s="41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172"/>
    </row>
    <row r="666" spans="1:16" s="34" customFormat="1" x14ac:dyDescent="0.25">
      <c r="A666" s="83"/>
      <c r="B666" s="97"/>
      <c r="C666" s="97"/>
      <c r="D666" s="41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172"/>
    </row>
    <row r="667" spans="1:16" s="34" customFormat="1" x14ac:dyDescent="0.25">
      <c r="A667" s="83"/>
      <c r="B667" s="97"/>
      <c r="C667" s="97"/>
      <c r="D667" s="41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172"/>
    </row>
    <row r="668" spans="1:16" s="34" customFormat="1" x14ac:dyDescent="0.25">
      <c r="A668" s="83"/>
      <c r="B668" s="97"/>
      <c r="C668" s="97"/>
      <c r="D668" s="41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172"/>
    </row>
    <row r="669" spans="1:16" s="34" customFormat="1" x14ac:dyDescent="0.25">
      <c r="A669" s="83"/>
      <c r="B669" s="97"/>
      <c r="C669" s="97"/>
      <c r="D669" s="41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172"/>
    </row>
    <row r="670" spans="1:16" s="34" customFormat="1" x14ac:dyDescent="0.25">
      <c r="A670" s="83"/>
      <c r="B670" s="97"/>
      <c r="C670" s="97"/>
      <c r="D670" s="41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172"/>
    </row>
    <row r="671" spans="1:16" s="34" customFormat="1" x14ac:dyDescent="0.25">
      <c r="A671" s="83"/>
      <c r="B671" s="97"/>
      <c r="C671" s="97"/>
      <c r="D671" s="41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172"/>
    </row>
    <row r="672" spans="1:16" s="34" customFormat="1" x14ac:dyDescent="0.25">
      <c r="A672" s="83"/>
      <c r="B672" s="97"/>
      <c r="C672" s="97"/>
      <c r="D672" s="41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172"/>
    </row>
    <row r="673" spans="1:16" s="34" customFormat="1" x14ac:dyDescent="0.25">
      <c r="A673" s="83"/>
      <c r="B673" s="97"/>
      <c r="C673" s="97"/>
      <c r="D673" s="41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172"/>
    </row>
    <row r="674" spans="1:16" s="34" customFormat="1" x14ac:dyDescent="0.25">
      <c r="A674" s="83"/>
      <c r="B674" s="97"/>
      <c r="C674" s="97"/>
      <c r="D674" s="41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172"/>
    </row>
    <row r="675" spans="1:16" s="34" customFormat="1" x14ac:dyDescent="0.25">
      <c r="A675" s="83"/>
      <c r="B675" s="97"/>
      <c r="C675" s="97"/>
      <c r="D675" s="41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172"/>
    </row>
    <row r="676" spans="1:16" s="34" customFormat="1" x14ac:dyDescent="0.25">
      <c r="A676" s="83"/>
      <c r="B676" s="97"/>
      <c r="C676" s="97"/>
      <c r="D676" s="41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172"/>
    </row>
    <row r="677" spans="1:16" s="34" customFormat="1" x14ac:dyDescent="0.25">
      <c r="A677" s="83"/>
      <c r="B677" s="97"/>
      <c r="C677" s="97"/>
      <c r="D677" s="41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172"/>
    </row>
    <row r="678" spans="1:16" s="34" customFormat="1" x14ac:dyDescent="0.25">
      <c r="A678" s="83"/>
      <c r="B678" s="97"/>
      <c r="C678" s="97"/>
      <c r="D678" s="41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172"/>
    </row>
    <row r="679" spans="1:16" s="34" customFormat="1" x14ac:dyDescent="0.25">
      <c r="A679" s="83"/>
      <c r="B679" s="97"/>
      <c r="C679" s="97"/>
      <c r="D679" s="41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172"/>
    </row>
    <row r="680" spans="1:16" s="34" customFormat="1" x14ac:dyDescent="0.25">
      <c r="A680" s="83"/>
      <c r="B680" s="97"/>
      <c r="C680" s="97"/>
      <c r="D680" s="41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172"/>
    </row>
    <row r="681" spans="1:16" s="34" customFormat="1" x14ac:dyDescent="0.25">
      <c r="A681" s="83"/>
      <c r="B681" s="97"/>
      <c r="C681" s="97"/>
      <c r="D681" s="41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172"/>
    </row>
    <row r="682" spans="1:16" s="34" customFormat="1" x14ac:dyDescent="0.25">
      <c r="A682" s="83"/>
      <c r="B682" s="97"/>
      <c r="C682" s="97"/>
      <c r="D682" s="41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172"/>
    </row>
    <row r="683" spans="1:16" s="34" customFormat="1" x14ac:dyDescent="0.25">
      <c r="A683" s="83"/>
      <c r="B683" s="97"/>
      <c r="C683" s="97"/>
      <c r="D683" s="41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172"/>
    </row>
    <row r="684" spans="1:16" s="34" customFormat="1" x14ac:dyDescent="0.25">
      <c r="A684" s="83"/>
      <c r="B684" s="97"/>
      <c r="C684" s="97"/>
      <c r="D684" s="41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172"/>
    </row>
    <row r="685" spans="1:16" s="34" customFormat="1" x14ac:dyDescent="0.25">
      <c r="A685" s="83"/>
      <c r="B685" s="97"/>
      <c r="C685" s="97"/>
      <c r="D685" s="41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172"/>
    </row>
    <row r="686" spans="1:16" s="34" customFormat="1" x14ac:dyDescent="0.25">
      <c r="A686" s="83"/>
      <c r="B686" s="97"/>
      <c r="C686" s="97"/>
      <c r="D686" s="41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172"/>
    </row>
    <row r="687" spans="1:16" s="34" customFormat="1" x14ac:dyDescent="0.25">
      <c r="A687" s="83"/>
      <c r="B687" s="97"/>
      <c r="C687" s="97"/>
      <c r="D687" s="41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172"/>
    </row>
    <row r="688" spans="1:16" s="34" customFormat="1" x14ac:dyDescent="0.25">
      <c r="A688" s="83"/>
      <c r="B688" s="97"/>
      <c r="C688" s="97"/>
      <c r="D688" s="41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172"/>
    </row>
    <row r="689" spans="1:16" s="34" customFormat="1" x14ac:dyDescent="0.25">
      <c r="A689" s="83"/>
      <c r="B689" s="97"/>
      <c r="C689" s="97"/>
      <c r="D689" s="41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172"/>
    </row>
    <row r="690" spans="1:16" s="34" customFormat="1" x14ac:dyDescent="0.25">
      <c r="A690" s="83"/>
      <c r="B690" s="97"/>
      <c r="C690" s="97"/>
      <c r="D690" s="41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172"/>
    </row>
    <row r="691" spans="1:16" s="34" customFormat="1" x14ac:dyDescent="0.25">
      <c r="A691" s="83"/>
      <c r="B691" s="97"/>
      <c r="C691" s="97"/>
      <c r="D691" s="41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172"/>
    </row>
    <row r="692" spans="1:16" s="34" customFormat="1" x14ac:dyDescent="0.25">
      <c r="A692" s="83"/>
      <c r="B692" s="97"/>
      <c r="C692" s="97"/>
      <c r="D692" s="41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172"/>
    </row>
    <row r="693" spans="1:16" s="34" customFormat="1" x14ac:dyDescent="0.25">
      <c r="A693" s="83"/>
      <c r="B693" s="97"/>
      <c r="C693" s="97"/>
      <c r="D693" s="41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172"/>
    </row>
    <row r="694" spans="1:16" s="34" customFormat="1" x14ac:dyDescent="0.25">
      <c r="A694" s="83"/>
      <c r="B694" s="97"/>
      <c r="C694" s="97"/>
      <c r="D694" s="41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172"/>
    </row>
    <row r="695" spans="1:16" s="34" customFormat="1" x14ac:dyDescent="0.25">
      <c r="A695" s="83"/>
      <c r="B695" s="97"/>
      <c r="C695" s="97"/>
      <c r="D695" s="41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172"/>
    </row>
    <row r="696" spans="1:16" s="34" customFormat="1" x14ac:dyDescent="0.25">
      <c r="A696" s="83"/>
      <c r="B696" s="97"/>
      <c r="C696" s="97"/>
      <c r="D696" s="41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172"/>
    </row>
    <row r="697" spans="1:16" s="34" customFormat="1" x14ac:dyDescent="0.25">
      <c r="A697" s="83"/>
      <c r="B697" s="97"/>
      <c r="C697" s="97"/>
      <c r="D697" s="41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172"/>
    </row>
    <row r="698" spans="1:16" s="34" customFormat="1" x14ac:dyDescent="0.25">
      <c r="A698" s="83"/>
      <c r="B698" s="97"/>
      <c r="C698" s="97"/>
      <c r="D698" s="41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172"/>
    </row>
    <row r="699" spans="1:16" s="34" customFormat="1" x14ac:dyDescent="0.25">
      <c r="A699" s="83"/>
      <c r="B699" s="97"/>
      <c r="C699" s="97"/>
      <c r="D699" s="41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172"/>
    </row>
    <row r="700" spans="1:16" s="34" customFormat="1" x14ac:dyDescent="0.25">
      <c r="A700" s="83"/>
      <c r="B700" s="97"/>
      <c r="C700" s="97"/>
      <c r="D700" s="41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172"/>
    </row>
    <row r="701" spans="1:16" s="34" customFormat="1" x14ac:dyDescent="0.25">
      <c r="A701" s="83"/>
      <c r="B701" s="97"/>
      <c r="C701" s="97"/>
      <c r="D701" s="41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172"/>
    </row>
    <row r="702" spans="1:16" s="34" customFormat="1" x14ac:dyDescent="0.25">
      <c r="A702" s="83"/>
      <c r="B702" s="97"/>
      <c r="C702" s="97"/>
      <c r="D702" s="41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172"/>
    </row>
    <row r="703" spans="1:16" s="34" customFormat="1" x14ac:dyDescent="0.25">
      <c r="A703" s="83"/>
      <c r="B703" s="97"/>
      <c r="C703" s="97"/>
      <c r="D703" s="41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172"/>
    </row>
    <row r="704" spans="1:16" s="34" customFormat="1" x14ac:dyDescent="0.25">
      <c r="A704" s="83"/>
      <c r="B704" s="97"/>
      <c r="C704" s="97"/>
      <c r="D704" s="41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172"/>
    </row>
    <row r="705" spans="1:16" s="34" customFormat="1" x14ac:dyDescent="0.25">
      <c r="A705" s="83"/>
      <c r="B705" s="97"/>
      <c r="C705" s="97"/>
      <c r="D705" s="41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172"/>
    </row>
    <row r="706" spans="1:16" s="34" customFormat="1" x14ac:dyDescent="0.25">
      <c r="A706" s="83"/>
      <c r="B706" s="97"/>
      <c r="C706" s="97"/>
      <c r="D706" s="41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172"/>
    </row>
    <row r="707" spans="1:16" s="34" customFormat="1" x14ac:dyDescent="0.25">
      <c r="A707" s="83"/>
      <c r="B707" s="97"/>
      <c r="C707" s="97"/>
      <c r="D707" s="41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172"/>
    </row>
    <row r="708" spans="1:16" s="34" customFormat="1" x14ac:dyDescent="0.25">
      <c r="A708" s="83"/>
      <c r="B708" s="97"/>
      <c r="C708" s="97"/>
      <c r="D708" s="41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172"/>
    </row>
    <row r="709" spans="1:16" s="34" customFormat="1" x14ac:dyDescent="0.25">
      <c r="A709" s="83"/>
      <c r="B709" s="97"/>
      <c r="C709" s="97"/>
      <c r="D709" s="41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172"/>
    </row>
    <row r="710" spans="1:16" s="34" customFormat="1" x14ac:dyDescent="0.25">
      <c r="A710" s="83"/>
      <c r="B710" s="97"/>
      <c r="C710" s="97"/>
      <c r="D710" s="41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172"/>
    </row>
    <row r="711" spans="1:16" s="34" customFormat="1" x14ac:dyDescent="0.25">
      <c r="A711" s="83"/>
      <c r="B711" s="97"/>
      <c r="C711" s="97"/>
      <c r="D711" s="41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172"/>
    </row>
    <row r="712" spans="1:16" s="34" customFormat="1" x14ac:dyDescent="0.25">
      <c r="A712" s="83"/>
      <c r="B712" s="97"/>
      <c r="C712" s="97"/>
      <c r="D712" s="41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172"/>
    </row>
    <row r="713" spans="1:16" s="34" customFormat="1" x14ac:dyDescent="0.25">
      <c r="A713" s="83"/>
      <c r="B713" s="97"/>
      <c r="C713" s="97"/>
      <c r="D713" s="41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172"/>
    </row>
    <row r="714" spans="1:16" s="34" customFormat="1" x14ac:dyDescent="0.25">
      <c r="A714" s="83"/>
      <c r="B714" s="97"/>
      <c r="C714" s="97"/>
      <c r="D714" s="41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172"/>
    </row>
    <row r="715" spans="1:16" s="34" customFormat="1" x14ac:dyDescent="0.25">
      <c r="A715" s="83"/>
      <c r="B715" s="97"/>
      <c r="C715" s="97"/>
      <c r="D715" s="41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172"/>
    </row>
    <row r="716" spans="1:16" s="34" customFormat="1" x14ac:dyDescent="0.25">
      <c r="A716" s="83"/>
      <c r="B716" s="97"/>
      <c r="C716" s="97"/>
      <c r="D716" s="41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172"/>
    </row>
    <row r="717" spans="1:16" s="34" customFormat="1" x14ac:dyDescent="0.25">
      <c r="A717" s="83"/>
      <c r="B717" s="97"/>
      <c r="C717" s="97"/>
      <c r="D717" s="41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172"/>
    </row>
    <row r="718" spans="1:16" s="34" customFormat="1" x14ac:dyDescent="0.25">
      <c r="A718" s="83"/>
      <c r="B718" s="97"/>
      <c r="C718" s="97"/>
      <c r="D718" s="41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172"/>
    </row>
    <row r="719" spans="1:16" s="34" customFormat="1" x14ac:dyDescent="0.25">
      <c r="A719" s="83"/>
      <c r="B719" s="97"/>
      <c r="C719" s="97"/>
      <c r="D719" s="41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172"/>
    </row>
    <row r="720" spans="1:16" s="34" customFormat="1" x14ac:dyDescent="0.25">
      <c r="A720" s="83"/>
      <c r="B720" s="97"/>
      <c r="C720" s="97"/>
      <c r="D720" s="41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172"/>
    </row>
    <row r="721" spans="1:16" s="34" customFormat="1" x14ac:dyDescent="0.25">
      <c r="A721" s="83"/>
      <c r="B721" s="97"/>
      <c r="C721" s="97"/>
      <c r="D721" s="41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172"/>
    </row>
    <row r="722" spans="1:16" s="34" customFormat="1" x14ac:dyDescent="0.25">
      <c r="A722" s="83"/>
      <c r="B722" s="97"/>
      <c r="C722" s="97"/>
      <c r="D722" s="41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172"/>
    </row>
    <row r="723" spans="1:16" s="34" customFormat="1" x14ac:dyDescent="0.25">
      <c r="A723" s="83"/>
      <c r="B723" s="97"/>
      <c r="C723" s="97"/>
      <c r="D723" s="41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172"/>
    </row>
    <row r="724" spans="1:16" s="34" customFormat="1" x14ac:dyDescent="0.25">
      <c r="A724" s="83"/>
      <c r="B724" s="97"/>
      <c r="C724" s="97"/>
      <c r="D724" s="41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172"/>
    </row>
    <row r="725" spans="1:16" s="34" customFormat="1" x14ac:dyDescent="0.25">
      <c r="A725" s="83"/>
      <c r="B725" s="97"/>
      <c r="C725" s="97"/>
      <c r="D725" s="41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172"/>
    </row>
    <row r="726" spans="1:16" s="34" customFormat="1" x14ac:dyDescent="0.25">
      <c r="A726" s="83"/>
      <c r="B726" s="97"/>
      <c r="C726" s="97"/>
      <c r="D726" s="41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172"/>
    </row>
    <row r="727" spans="1:16" s="34" customFormat="1" x14ac:dyDescent="0.25">
      <c r="A727" s="83"/>
      <c r="B727" s="97"/>
      <c r="C727" s="97"/>
      <c r="D727" s="41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172"/>
    </row>
    <row r="728" spans="1:16" s="34" customFormat="1" x14ac:dyDescent="0.25">
      <c r="A728" s="83"/>
      <c r="B728" s="97"/>
      <c r="C728" s="97"/>
      <c r="D728" s="41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172"/>
    </row>
    <row r="729" spans="1:16" s="34" customFormat="1" x14ac:dyDescent="0.25">
      <c r="A729" s="83"/>
      <c r="B729" s="97"/>
      <c r="C729" s="97"/>
      <c r="D729" s="41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172"/>
    </row>
    <row r="730" spans="1:16" s="34" customFormat="1" x14ac:dyDescent="0.25">
      <c r="A730" s="83"/>
      <c r="B730" s="97"/>
      <c r="C730" s="97"/>
      <c r="D730" s="41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172"/>
    </row>
    <row r="731" spans="1:16" s="34" customFormat="1" x14ac:dyDescent="0.25">
      <c r="A731" s="83"/>
      <c r="B731" s="97"/>
      <c r="C731" s="97"/>
      <c r="D731" s="41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172"/>
    </row>
    <row r="732" spans="1:16" s="34" customFormat="1" x14ac:dyDescent="0.25">
      <c r="A732" s="83"/>
      <c r="B732" s="97"/>
      <c r="C732" s="97"/>
      <c r="D732" s="41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172"/>
    </row>
    <row r="733" spans="1:16" s="34" customFormat="1" x14ac:dyDescent="0.25">
      <c r="A733" s="83"/>
      <c r="B733" s="97"/>
      <c r="C733" s="97"/>
      <c r="D733" s="41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172"/>
    </row>
    <row r="734" spans="1:16" s="34" customFormat="1" x14ac:dyDescent="0.25">
      <c r="A734" s="83"/>
      <c r="B734" s="97"/>
      <c r="C734" s="97"/>
      <c r="D734" s="41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172"/>
    </row>
    <row r="735" spans="1:16" s="34" customFormat="1" x14ac:dyDescent="0.25">
      <c r="A735" s="83"/>
      <c r="B735" s="97"/>
      <c r="C735" s="97"/>
      <c r="D735" s="41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172"/>
    </row>
    <row r="736" spans="1:16" s="34" customFormat="1" x14ac:dyDescent="0.25">
      <c r="A736" s="83"/>
      <c r="B736" s="97"/>
      <c r="C736" s="97"/>
      <c r="D736" s="41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172"/>
    </row>
    <row r="737" spans="1:16" s="34" customFormat="1" x14ac:dyDescent="0.25">
      <c r="A737" s="83"/>
      <c r="B737" s="97"/>
      <c r="C737" s="97"/>
      <c r="D737" s="41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172"/>
    </row>
    <row r="738" spans="1:16" s="34" customFormat="1" x14ac:dyDescent="0.25">
      <c r="A738" s="83"/>
      <c r="B738" s="97"/>
      <c r="C738" s="97"/>
      <c r="D738" s="41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172"/>
    </row>
    <row r="739" spans="1:16" s="34" customFormat="1" x14ac:dyDescent="0.25">
      <c r="A739" s="83"/>
      <c r="B739" s="97"/>
      <c r="C739" s="97"/>
      <c r="D739" s="41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172"/>
    </row>
    <row r="740" spans="1:16" s="34" customFormat="1" x14ac:dyDescent="0.25">
      <c r="A740" s="83"/>
      <c r="B740" s="97"/>
      <c r="C740" s="97"/>
      <c r="D740" s="41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172"/>
    </row>
    <row r="741" spans="1:16" s="34" customFormat="1" x14ac:dyDescent="0.25">
      <c r="A741" s="83"/>
      <c r="B741" s="97"/>
      <c r="C741" s="97"/>
      <c r="D741" s="41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172"/>
    </row>
    <row r="742" spans="1:16" s="34" customFormat="1" x14ac:dyDescent="0.25">
      <c r="A742" s="83"/>
      <c r="B742" s="97"/>
      <c r="C742" s="97"/>
      <c r="D742" s="41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172"/>
    </row>
    <row r="743" spans="1:16" s="34" customFormat="1" x14ac:dyDescent="0.25">
      <c r="A743" s="83"/>
      <c r="B743" s="97"/>
      <c r="C743" s="97"/>
      <c r="D743" s="41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172"/>
    </row>
    <row r="744" spans="1:16" s="34" customFormat="1" x14ac:dyDescent="0.25">
      <c r="A744" s="83"/>
      <c r="B744" s="97"/>
      <c r="C744" s="97"/>
      <c r="D744" s="41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172"/>
    </row>
    <row r="745" spans="1:16" s="34" customFormat="1" x14ac:dyDescent="0.25">
      <c r="A745" s="83"/>
      <c r="B745" s="97"/>
      <c r="C745" s="97"/>
      <c r="D745" s="41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172"/>
    </row>
    <row r="746" spans="1:16" s="34" customFormat="1" x14ac:dyDescent="0.25">
      <c r="A746" s="83"/>
      <c r="B746" s="97"/>
      <c r="C746" s="97"/>
      <c r="D746" s="41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172"/>
    </row>
    <row r="747" spans="1:16" s="34" customFormat="1" x14ac:dyDescent="0.25">
      <c r="A747" s="83"/>
      <c r="B747" s="97"/>
      <c r="C747" s="97"/>
      <c r="D747" s="41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172"/>
    </row>
    <row r="748" spans="1:16" s="34" customFormat="1" x14ac:dyDescent="0.25">
      <c r="A748" s="83"/>
      <c r="B748" s="97"/>
      <c r="C748" s="97"/>
      <c r="D748" s="41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172"/>
    </row>
    <row r="749" spans="1:16" s="34" customFormat="1" x14ac:dyDescent="0.25">
      <c r="A749" s="83"/>
      <c r="B749" s="97"/>
      <c r="C749" s="97"/>
      <c r="D749" s="41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172"/>
    </row>
    <row r="750" spans="1:16" s="34" customFormat="1" x14ac:dyDescent="0.25">
      <c r="A750" s="83"/>
      <c r="B750" s="97"/>
      <c r="C750" s="97"/>
      <c r="D750" s="41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172"/>
    </row>
    <row r="751" spans="1:16" s="34" customFormat="1" x14ac:dyDescent="0.25">
      <c r="A751" s="83"/>
      <c r="B751" s="97"/>
      <c r="C751" s="97"/>
      <c r="D751" s="41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172"/>
    </row>
    <row r="752" spans="1:16" s="34" customFormat="1" x14ac:dyDescent="0.25">
      <c r="A752" s="83"/>
      <c r="B752" s="97"/>
      <c r="C752" s="97"/>
      <c r="D752" s="41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172"/>
    </row>
    <row r="753" spans="1:16" s="34" customFormat="1" x14ac:dyDescent="0.25">
      <c r="A753" s="83"/>
      <c r="B753" s="97"/>
      <c r="C753" s="97"/>
      <c r="D753" s="41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172"/>
    </row>
    <row r="754" spans="1:16" s="34" customFormat="1" x14ac:dyDescent="0.25">
      <c r="A754" s="83"/>
      <c r="B754" s="97"/>
      <c r="C754" s="97"/>
      <c r="D754" s="41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172"/>
    </row>
    <row r="755" spans="1:16" s="34" customFormat="1" x14ac:dyDescent="0.25">
      <c r="A755" s="83"/>
      <c r="B755" s="97"/>
      <c r="C755" s="97"/>
      <c r="D755" s="41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172"/>
    </row>
    <row r="756" spans="1:16" s="34" customFormat="1" x14ac:dyDescent="0.25">
      <c r="A756" s="83"/>
      <c r="B756" s="97"/>
      <c r="C756" s="97"/>
      <c r="D756" s="41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172"/>
    </row>
    <row r="757" spans="1:16" s="34" customFormat="1" x14ac:dyDescent="0.25">
      <c r="A757" s="83"/>
      <c r="B757" s="97"/>
      <c r="C757" s="97"/>
      <c r="D757" s="41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172"/>
    </row>
    <row r="758" spans="1:16" s="34" customFormat="1" x14ac:dyDescent="0.25">
      <c r="A758" s="83"/>
      <c r="B758" s="97"/>
      <c r="C758" s="97"/>
      <c r="D758" s="41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172"/>
    </row>
    <row r="759" spans="1:16" s="34" customFormat="1" x14ac:dyDescent="0.25">
      <c r="A759" s="83"/>
      <c r="B759" s="97"/>
      <c r="C759" s="97"/>
      <c r="D759" s="41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172"/>
    </row>
    <row r="760" spans="1:16" s="34" customFormat="1" x14ac:dyDescent="0.25">
      <c r="A760" s="83"/>
      <c r="B760" s="97"/>
      <c r="C760" s="97"/>
      <c r="D760" s="41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172"/>
    </row>
    <row r="761" spans="1:16" s="34" customFormat="1" x14ac:dyDescent="0.25">
      <c r="A761" s="83"/>
      <c r="B761" s="97"/>
      <c r="C761" s="97"/>
      <c r="D761" s="41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172"/>
    </row>
    <row r="762" spans="1:16" s="34" customFormat="1" x14ac:dyDescent="0.25">
      <c r="A762" s="83"/>
      <c r="B762" s="97"/>
      <c r="C762" s="97"/>
      <c r="D762" s="41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172"/>
    </row>
    <row r="763" spans="1:16" s="34" customFormat="1" x14ac:dyDescent="0.25">
      <c r="A763" s="83"/>
      <c r="B763" s="97"/>
      <c r="C763" s="97"/>
      <c r="D763" s="41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172"/>
    </row>
    <row r="764" spans="1:16" s="34" customFormat="1" x14ac:dyDescent="0.25">
      <c r="A764" s="83"/>
      <c r="B764" s="97"/>
      <c r="C764" s="97"/>
      <c r="D764" s="41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172"/>
    </row>
    <row r="765" spans="1:16" s="34" customFormat="1" x14ac:dyDescent="0.25">
      <c r="A765" s="83"/>
      <c r="B765" s="97"/>
      <c r="C765" s="97"/>
      <c r="D765" s="41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172"/>
    </row>
    <row r="766" spans="1:16" s="34" customFormat="1" x14ac:dyDescent="0.25">
      <c r="A766" s="83"/>
      <c r="B766" s="97"/>
      <c r="C766" s="97"/>
      <c r="D766" s="41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172"/>
    </row>
    <row r="767" spans="1:16" s="34" customFormat="1" x14ac:dyDescent="0.25">
      <c r="A767" s="83"/>
      <c r="B767" s="97"/>
      <c r="C767" s="97"/>
      <c r="D767" s="41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172"/>
    </row>
    <row r="768" spans="1:16" s="34" customFormat="1" x14ac:dyDescent="0.25">
      <c r="A768" s="83"/>
      <c r="B768" s="97"/>
      <c r="C768" s="97"/>
      <c r="D768" s="41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172"/>
    </row>
    <row r="769" spans="1:16" s="34" customFormat="1" x14ac:dyDescent="0.25">
      <c r="A769" s="83"/>
      <c r="B769" s="97"/>
      <c r="C769" s="97"/>
      <c r="D769" s="41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172"/>
    </row>
    <row r="770" spans="1:16" s="34" customFormat="1" x14ac:dyDescent="0.25">
      <c r="A770" s="83"/>
      <c r="B770" s="97"/>
      <c r="C770" s="97"/>
      <c r="D770" s="41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172"/>
    </row>
    <row r="771" spans="1:16" s="34" customFormat="1" x14ac:dyDescent="0.25">
      <c r="A771" s="83"/>
      <c r="B771" s="97"/>
      <c r="C771" s="97"/>
      <c r="D771" s="41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172"/>
    </row>
    <row r="772" spans="1:16" s="34" customFormat="1" x14ac:dyDescent="0.25">
      <c r="A772" s="83"/>
      <c r="B772" s="97"/>
      <c r="C772" s="97"/>
      <c r="D772" s="41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172"/>
    </row>
  </sheetData>
  <mergeCells count="21">
    <mergeCell ref="E15:I15"/>
    <mergeCell ref="L1:O1"/>
    <mergeCell ref="L4:P4"/>
    <mergeCell ref="L3:P3"/>
    <mergeCell ref="L16:L17"/>
    <mergeCell ref="M16:N16"/>
    <mergeCell ref="O16:O17"/>
    <mergeCell ref="A11:P11"/>
    <mergeCell ref="A15:A17"/>
    <mergeCell ref="C15:C17"/>
    <mergeCell ref="B15:B17"/>
    <mergeCell ref="D15:D17"/>
    <mergeCell ref="G16:H16"/>
    <mergeCell ref="J15:O15"/>
    <mergeCell ref="I16:I17"/>
    <mergeCell ref="P15:P17"/>
    <mergeCell ref="N272:O272"/>
    <mergeCell ref="J16:J17"/>
    <mergeCell ref="K16:K17"/>
    <mergeCell ref="E16:E17"/>
    <mergeCell ref="F16:F17"/>
  </mergeCells>
  <phoneticPr fontId="3" type="noConversion"/>
  <printOptions horizontalCentered="1"/>
  <pageMargins left="0.15748031496062992" right="7.874015748031496E-2" top="0.62992125984251968" bottom="0.31496062992125984" header="0.47244094488188981" footer="0.15748031496062992"/>
  <pageSetup paperSize="9" scale="46" fitToHeight="100" orientation="landscape" useFirstPageNumber="1" r:id="rId1"/>
  <headerFooter scaleWithDoc="0" alignWithMargins="0">
    <oddFooter>&amp;R&amp;9Сторінка &amp;P</oddFooter>
  </headerFooter>
  <rowBreaks count="2" manualBreakCount="2">
    <brk id="238" max="15" man="1"/>
    <brk id="26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2"/>
  <sheetViews>
    <sheetView showGridLines="0" showZeros="0" view="pageBreakPreview" topLeftCell="A195" zoomScale="86" zoomScaleNormal="65" zoomScaleSheetLayoutView="86" workbookViewId="0">
      <selection activeCell="E213" sqref="E213"/>
    </sheetView>
  </sheetViews>
  <sheetFormatPr defaultColWidth="9.1640625" defaultRowHeight="15.75" x14ac:dyDescent="0.25"/>
  <cols>
    <col min="1" max="1" width="19.1640625" style="5" customWidth="1"/>
    <col min="2" max="2" width="23" style="1" customWidth="1"/>
    <col min="3" max="3" width="69" style="10" customWidth="1"/>
    <col min="4" max="4" width="22.5" style="4" customWidth="1"/>
    <col min="5" max="5" width="24" style="4" customWidth="1"/>
    <col min="6" max="6" width="20.5" style="4" customWidth="1"/>
    <col min="7" max="7" width="21.6640625" style="4" customWidth="1"/>
    <col min="8" max="8" width="20" style="4" customWidth="1"/>
    <col min="9" max="9" width="20.5" style="4" customWidth="1"/>
    <col min="10" max="10" width="20.33203125" style="4" customWidth="1"/>
    <col min="11" max="11" width="20.1640625" style="4" customWidth="1"/>
    <col min="12" max="12" width="18.1640625" style="4" customWidth="1"/>
    <col min="13" max="13" width="17.5" style="4" customWidth="1"/>
    <col min="14" max="14" width="20.1640625" style="4" customWidth="1"/>
    <col min="15" max="15" width="20.83203125" style="4" customWidth="1"/>
    <col min="16" max="16384" width="9.1640625" style="4"/>
  </cols>
  <sheetData>
    <row r="1" spans="1:16" ht="31.5" x14ac:dyDescent="0.25">
      <c r="J1" s="115"/>
      <c r="K1" s="181" t="s">
        <v>510</v>
      </c>
      <c r="L1" s="181"/>
      <c r="M1" s="181"/>
      <c r="N1" s="181"/>
      <c r="O1" s="176"/>
    </row>
    <row r="2" spans="1:16" ht="31.5" x14ac:dyDescent="0.25">
      <c r="J2" s="115"/>
      <c r="K2" s="176" t="s">
        <v>422</v>
      </c>
      <c r="L2" s="176"/>
      <c r="M2" s="176"/>
      <c r="N2" s="176"/>
      <c r="O2" s="86"/>
      <c r="P2" s="34"/>
    </row>
    <row r="3" spans="1:16" ht="31.5" x14ac:dyDescent="0.25">
      <c r="J3" s="115"/>
      <c r="K3" s="183" t="s">
        <v>423</v>
      </c>
      <c r="L3" s="183"/>
      <c r="M3" s="183"/>
      <c r="N3" s="183"/>
      <c r="O3" s="183"/>
      <c r="P3" s="34"/>
    </row>
    <row r="4" spans="1:16" ht="31.5" x14ac:dyDescent="0.25">
      <c r="J4" s="115"/>
      <c r="K4" s="182" t="s">
        <v>424</v>
      </c>
      <c r="L4" s="182"/>
      <c r="M4" s="182"/>
      <c r="N4" s="182"/>
      <c r="O4" s="182"/>
      <c r="P4" s="34"/>
    </row>
    <row r="5" spans="1:16" ht="31.5" x14ac:dyDescent="0.25">
      <c r="J5" s="115"/>
      <c r="K5" s="176" t="s">
        <v>443</v>
      </c>
      <c r="L5" s="176"/>
      <c r="M5" s="176"/>
      <c r="N5" s="176"/>
      <c r="O5" s="176"/>
      <c r="P5" s="34"/>
    </row>
    <row r="6" spans="1:16" ht="31.5" x14ac:dyDescent="0.25">
      <c r="J6" s="115"/>
      <c r="K6" s="176" t="s">
        <v>430</v>
      </c>
      <c r="L6" s="176"/>
      <c r="M6" s="176"/>
      <c r="N6" s="176"/>
      <c r="O6" s="176"/>
      <c r="P6" s="34"/>
    </row>
    <row r="7" spans="1:16" ht="31.5" x14ac:dyDescent="0.25">
      <c r="J7" s="115"/>
      <c r="K7" s="176" t="s">
        <v>438</v>
      </c>
      <c r="L7" s="176"/>
      <c r="M7" s="176"/>
      <c r="N7" s="176"/>
      <c r="O7" s="176"/>
      <c r="P7" s="34"/>
    </row>
    <row r="8" spans="1:16" ht="31.5" x14ac:dyDescent="0.25">
      <c r="J8" s="115"/>
      <c r="K8" s="176" t="s">
        <v>429</v>
      </c>
      <c r="L8" s="176"/>
      <c r="M8" s="176"/>
      <c r="N8" s="176"/>
      <c r="O8" s="176"/>
      <c r="P8" s="34"/>
    </row>
    <row r="9" spans="1:16" ht="26.25" customHeight="1" x14ac:dyDescent="0.4">
      <c r="J9" s="116"/>
      <c r="K9" s="102" t="s">
        <v>525</v>
      </c>
      <c r="L9" s="102"/>
      <c r="M9" s="102"/>
      <c r="N9" s="102"/>
      <c r="O9" s="102"/>
      <c r="P9" s="177"/>
    </row>
    <row r="10" spans="1:16" ht="26.25" customHeight="1" x14ac:dyDescent="0.25">
      <c r="J10" s="177"/>
      <c r="K10" s="177"/>
      <c r="L10" s="177"/>
      <c r="M10" s="177"/>
      <c r="N10" s="177"/>
      <c r="O10" s="177"/>
      <c r="P10" s="177"/>
    </row>
    <row r="11" spans="1:16" ht="29.25" customHeight="1" x14ac:dyDescent="0.4">
      <c r="J11" s="176"/>
      <c r="K11" s="102"/>
      <c r="L11" s="102"/>
      <c r="M11" s="102"/>
      <c r="N11" s="102"/>
      <c r="O11" s="103"/>
      <c r="P11" s="34"/>
    </row>
    <row r="12" spans="1:16" ht="65.25" customHeight="1" x14ac:dyDescent="0.25">
      <c r="A12" s="187" t="s">
        <v>407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</row>
    <row r="13" spans="1:16" ht="31.5" customHeight="1" x14ac:dyDescent="0.25">
      <c r="A13" s="189" t="s">
        <v>398</v>
      </c>
      <c r="B13" s="189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6" ht="21" customHeight="1" x14ac:dyDescent="0.25">
      <c r="A14" s="190" t="s">
        <v>415</v>
      </c>
      <c r="B14" s="190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6" s="17" customFormat="1" ht="24" customHeight="1" x14ac:dyDescent="0.3">
      <c r="A15" s="14"/>
      <c r="B15" s="15"/>
      <c r="C15" s="16"/>
      <c r="O15" s="107" t="s">
        <v>394</v>
      </c>
    </row>
    <row r="16" spans="1:16" s="75" customFormat="1" ht="21.75" customHeight="1" x14ac:dyDescent="0.25">
      <c r="A16" s="188" t="s">
        <v>372</v>
      </c>
      <c r="B16" s="188" t="s">
        <v>359</v>
      </c>
      <c r="C16" s="188" t="s">
        <v>374</v>
      </c>
      <c r="D16" s="180" t="s">
        <v>245</v>
      </c>
      <c r="E16" s="180"/>
      <c r="F16" s="180"/>
      <c r="G16" s="180"/>
      <c r="H16" s="180"/>
      <c r="I16" s="180" t="s">
        <v>246</v>
      </c>
      <c r="J16" s="180"/>
      <c r="K16" s="180"/>
      <c r="L16" s="180"/>
      <c r="M16" s="180"/>
      <c r="N16" s="180"/>
      <c r="O16" s="180" t="s">
        <v>247</v>
      </c>
    </row>
    <row r="17" spans="1:15" s="75" customFormat="1" ht="29.25" customHeight="1" x14ac:dyDescent="0.25">
      <c r="A17" s="188"/>
      <c r="B17" s="188"/>
      <c r="C17" s="188"/>
      <c r="D17" s="180" t="s">
        <v>360</v>
      </c>
      <c r="E17" s="180" t="s">
        <v>248</v>
      </c>
      <c r="F17" s="180"/>
      <c r="G17" s="180"/>
      <c r="H17" s="180" t="s">
        <v>250</v>
      </c>
      <c r="I17" s="180" t="s">
        <v>360</v>
      </c>
      <c r="J17" s="180" t="s">
        <v>361</v>
      </c>
      <c r="K17" s="180" t="s">
        <v>248</v>
      </c>
      <c r="L17" s="180" t="s">
        <v>249</v>
      </c>
      <c r="M17" s="180"/>
      <c r="N17" s="180" t="s">
        <v>250</v>
      </c>
      <c r="O17" s="180"/>
    </row>
    <row r="18" spans="1:15" s="75" customFormat="1" ht="75.75" customHeight="1" x14ac:dyDescent="0.25">
      <c r="A18" s="188"/>
      <c r="B18" s="188"/>
      <c r="C18" s="188"/>
      <c r="D18" s="180"/>
      <c r="E18" s="180"/>
      <c r="F18" s="175" t="s">
        <v>251</v>
      </c>
      <c r="G18" s="175" t="s">
        <v>252</v>
      </c>
      <c r="H18" s="180"/>
      <c r="I18" s="180"/>
      <c r="J18" s="180"/>
      <c r="K18" s="180"/>
      <c r="L18" s="175" t="s">
        <v>251</v>
      </c>
      <c r="M18" s="175" t="s">
        <v>252</v>
      </c>
      <c r="N18" s="180"/>
      <c r="O18" s="180"/>
    </row>
    <row r="19" spans="1:15" s="75" customFormat="1" ht="27.75" customHeight="1" x14ac:dyDescent="0.25">
      <c r="A19" s="7" t="s">
        <v>47</v>
      </c>
      <c r="B19" s="8"/>
      <c r="C19" s="9" t="s">
        <v>48</v>
      </c>
      <c r="D19" s="58">
        <f t="shared" ref="D19:O19" si="0">D20+D21</f>
        <v>237305019</v>
      </c>
      <c r="E19" s="58">
        <f t="shared" si="0"/>
        <v>237305019</v>
      </c>
      <c r="F19" s="58">
        <f t="shared" si="0"/>
        <v>179421306</v>
      </c>
      <c r="G19" s="58">
        <f t="shared" si="0"/>
        <v>4317900</v>
      </c>
      <c r="H19" s="58">
        <f t="shared" si="0"/>
        <v>0</v>
      </c>
      <c r="I19" s="58">
        <f t="shared" si="0"/>
        <v>3434500</v>
      </c>
      <c r="J19" s="58">
        <f t="shared" si="0"/>
        <v>234500</v>
      </c>
      <c r="K19" s="58">
        <f t="shared" si="0"/>
        <v>3200000</v>
      </c>
      <c r="L19" s="58">
        <f t="shared" si="0"/>
        <v>2348000</v>
      </c>
      <c r="M19" s="58">
        <f t="shared" si="0"/>
        <v>90600</v>
      </c>
      <c r="N19" s="58">
        <f t="shared" si="0"/>
        <v>234500</v>
      </c>
      <c r="O19" s="58">
        <f t="shared" si="0"/>
        <v>240739519</v>
      </c>
    </row>
    <row r="20" spans="1:15" ht="57.75" customHeight="1" x14ac:dyDescent="0.25">
      <c r="A20" s="46" t="s">
        <v>127</v>
      </c>
      <c r="B20" s="46" t="s">
        <v>50</v>
      </c>
      <c r="C20" s="6" t="s">
        <v>128</v>
      </c>
      <c r="D20" s="59">
        <f>'дод 3'!E21+'дод 3'!E67+'дод 3'!E111+'дод 3'!E139+'дод 3'!E172+'дод 3'!E177+'дод 3'!E189+'дод 3'!E217+'дод 3'!E221+'дод 3'!E237+'дод 3'!E242+'дод 3'!E245+'дод 3'!E256+'дод 3'!E253</f>
        <v>236874719</v>
      </c>
      <c r="E20" s="59">
        <f>'дод 3'!F21+'дод 3'!F67+'дод 3'!F111+'дод 3'!F139+'дод 3'!F172+'дод 3'!F177+'дод 3'!F189+'дод 3'!F217+'дод 3'!F221+'дод 3'!F237+'дод 3'!F242+'дод 3'!F245+'дод 3'!F256+'дод 3'!F253</f>
        <v>236874719</v>
      </c>
      <c r="F20" s="59">
        <f>'дод 3'!G21+'дод 3'!G67+'дод 3'!G111+'дод 3'!G139+'дод 3'!G172+'дод 3'!G177+'дод 3'!G189+'дод 3'!G217+'дод 3'!G221+'дод 3'!G237+'дод 3'!G242+'дод 3'!G245+'дод 3'!G256+'дод 3'!G253</f>
        <v>179421306</v>
      </c>
      <c r="G20" s="59">
        <f>'дод 3'!H21+'дод 3'!H67+'дод 3'!H111+'дод 3'!H139+'дод 3'!H172+'дод 3'!H177+'дод 3'!H189+'дод 3'!H217+'дод 3'!H221+'дод 3'!H237+'дод 3'!H242+'дод 3'!H245+'дод 3'!H256+'дод 3'!H253</f>
        <v>4317900</v>
      </c>
      <c r="H20" s="59">
        <f>'дод 3'!I21+'дод 3'!I67+'дод 3'!I111+'дод 3'!I139+'дод 3'!I172+'дод 3'!I177+'дод 3'!I189+'дод 3'!I217+'дод 3'!I221+'дод 3'!I237+'дод 3'!I242+'дод 3'!I245+'дод 3'!I256+'дод 3'!I253</f>
        <v>0</v>
      </c>
      <c r="I20" s="59">
        <f>'дод 3'!J21+'дод 3'!J67+'дод 3'!J111+'дод 3'!J139+'дод 3'!J172+'дод 3'!J177+'дод 3'!J189+'дод 3'!J217+'дод 3'!J221+'дод 3'!J237+'дод 3'!J242+'дод 3'!J245+'дод 3'!J256+'дод 3'!J253</f>
        <v>3434500</v>
      </c>
      <c r="J20" s="59">
        <f>'дод 3'!K21+'дод 3'!K67+'дод 3'!K111+'дод 3'!K139+'дод 3'!K172+'дод 3'!K177+'дод 3'!K189+'дод 3'!K217+'дод 3'!K221+'дод 3'!K237+'дод 3'!K242+'дод 3'!K245+'дод 3'!K256+'дод 3'!K253</f>
        <v>234500</v>
      </c>
      <c r="K20" s="59">
        <f>'дод 3'!L21+'дод 3'!L67+'дод 3'!L111+'дод 3'!L139+'дод 3'!L172+'дод 3'!L177+'дод 3'!L189+'дод 3'!L217+'дод 3'!L221+'дод 3'!L237+'дод 3'!L242+'дод 3'!L245+'дод 3'!L256+'дод 3'!L253</f>
        <v>3200000</v>
      </c>
      <c r="L20" s="59">
        <f>'дод 3'!M21+'дод 3'!M67+'дод 3'!M111+'дод 3'!M139+'дод 3'!M172+'дод 3'!M177+'дод 3'!M189+'дод 3'!M217+'дод 3'!M221+'дод 3'!M237+'дод 3'!M242+'дод 3'!M245+'дод 3'!M256+'дод 3'!M253</f>
        <v>2348000</v>
      </c>
      <c r="M20" s="59">
        <f>'дод 3'!N21+'дод 3'!N67+'дод 3'!N111+'дод 3'!N139+'дод 3'!N172+'дод 3'!N177+'дод 3'!N189+'дод 3'!N217+'дод 3'!N221+'дод 3'!N237+'дод 3'!N242+'дод 3'!N245+'дод 3'!N256+'дод 3'!N253</f>
        <v>90600</v>
      </c>
      <c r="N20" s="59">
        <f>'дод 3'!O21+'дод 3'!O67+'дод 3'!O111+'дод 3'!O139+'дод 3'!O172+'дод 3'!O177+'дод 3'!O189+'дод 3'!O217+'дод 3'!O221+'дод 3'!O237+'дод 3'!O242+'дод 3'!O245+'дод 3'!O256+'дод 3'!O253</f>
        <v>234500</v>
      </c>
      <c r="O20" s="59">
        <f>'дод 3'!P21+'дод 3'!P67+'дод 3'!P111+'дод 3'!P139+'дод 3'!P172+'дод 3'!P177+'дод 3'!P189+'дод 3'!P217+'дод 3'!P221+'дод 3'!P237+'дод 3'!P242+'дод 3'!P245+'дод 3'!P256+'дод 3'!P253</f>
        <v>240309219</v>
      </c>
    </row>
    <row r="21" spans="1:15" ht="27" customHeight="1" x14ac:dyDescent="0.25">
      <c r="A21" s="46" t="s">
        <v>49</v>
      </c>
      <c r="B21" s="46" t="s">
        <v>100</v>
      </c>
      <c r="C21" s="6" t="s">
        <v>264</v>
      </c>
      <c r="D21" s="59">
        <f>'дод 3'!E22</f>
        <v>430300</v>
      </c>
      <c r="E21" s="59">
        <f>'дод 3'!F22</f>
        <v>430300</v>
      </c>
      <c r="F21" s="59">
        <f>'дод 3'!G22</f>
        <v>0</v>
      </c>
      <c r="G21" s="59">
        <f>'дод 3'!H22</f>
        <v>0</v>
      </c>
      <c r="H21" s="59">
        <f>'дод 3'!I22</f>
        <v>0</v>
      </c>
      <c r="I21" s="59">
        <f>'дод 3'!J22</f>
        <v>0</v>
      </c>
      <c r="J21" s="59">
        <f>'дод 3'!K22</f>
        <v>0</v>
      </c>
      <c r="K21" s="59">
        <f>'дод 3'!L22</f>
        <v>0</v>
      </c>
      <c r="L21" s="59">
        <f>'дод 3'!M22</f>
        <v>0</v>
      </c>
      <c r="M21" s="59">
        <f>'дод 3'!N22</f>
        <v>0</v>
      </c>
      <c r="N21" s="59">
        <f>'дод 3'!O22</f>
        <v>0</v>
      </c>
      <c r="O21" s="59">
        <f>'дод 3'!P22</f>
        <v>430300</v>
      </c>
    </row>
    <row r="22" spans="1:15" s="75" customFormat="1" ht="24" customHeight="1" x14ac:dyDescent="0.25">
      <c r="A22" s="47" t="s">
        <v>51</v>
      </c>
      <c r="B22" s="48"/>
      <c r="C22" s="9" t="s">
        <v>469</v>
      </c>
      <c r="D22" s="58">
        <f>D30+D32+D39+D42+D43+D44+D47+D48+D49+D50+D52</f>
        <v>954878153</v>
      </c>
      <c r="E22" s="58">
        <f t="shared" ref="E22:O22" si="1">E30+E32+E39+E42+E43+E44+E47+E48+E49+E50+E52</f>
        <v>954878153</v>
      </c>
      <c r="F22" s="58">
        <f t="shared" si="1"/>
        <v>657978136</v>
      </c>
      <c r="G22" s="58">
        <f t="shared" si="1"/>
        <v>71411850</v>
      </c>
      <c r="H22" s="58">
        <f t="shared" si="1"/>
        <v>0</v>
      </c>
      <c r="I22" s="58">
        <f t="shared" si="1"/>
        <v>66542952.640000001</v>
      </c>
      <c r="J22" s="58">
        <f t="shared" si="1"/>
        <v>10446804.640000001</v>
      </c>
      <c r="K22" s="58">
        <f t="shared" si="1"/>
        <v>55986428</v>
      </c>
      <c r="L22" s="58">
        <f t="shared" si="1"/>
        <v>6476192</v>
      </c>
      <c r="M22" s="58">
        <f t="shared" si="1"/>
        <v>3124191</v>
      </c>
      <c r="N22" s="58">
        <f t="shared" si="1"/>
        <v>10556524.640000001</v>
      </c>
      <c r="O22" s="58">
        <f t="shared" si="1"/>
        <v>1021421105.64</v>
      </c>
    </row>
    <row r="23" spans="1:15" s="76" customFormat="1" ht="31.5" x14ac:dyDescent="0.25">
      <c r="A23" s="137"/>
      <c r="B23" s="152"/>
      <c r="C23" s="153" t="s">
        <v>453</v>
      </c>
      <c r="D23" s="154">
        <f>D37+D40+D45</f>
        <v>361396746</v>
      </c>
      <c r="E23" s="154">
        <f t="shared" ref="E23:O23" si="2">E37+E40+E45</f>
        <v>361396746</v>
      </c>
      <c r="F23" s="154">
        <f t="shared" si="2"/>
        <v>296702414</v>
      </c>
      <c r="G23" s="154">
        <f t="shared" si="2"/>
        <v>0</v>
      </c>
      <c r="H23" s="154">
        <f t="shared" si="2"/>
        <v>0</v>
      </c>
      <c r="I23" s="154">
        <f t="shared" si="2"/>
        <v>0</v>
      </c>
      <c r="J23" s="154">
        <f t="shared" si="2"/>
        <v>0</v>
      </c>
      <c r="K23" s="154">
        <f t="shared" si="2"/>
        <v>0</v>
      </c>
      <c r="L23" s="154">
        <f t="shared" si="2"/>
        <v>0</v>
      </c>
      <c r="M23" s="154">
        <f t="shared" si="2"/>
        <v>0</v>
      </c>
      <c r="N23" s="154">
        <f t="shared" si="2"/>
        <v>0</v>
      </c>
      <c r="O23" s="154">
        <f t="shared" si="2"/>
        <v>361396746</v>
      </c>
    </row>
    <row r="24" spans="1:15" s="76" customFormat="1" ht="78.75" x14ac:dyDescent="0.25">
      <c r="A24" s="137"/>
      <c r="B24" s="152"/>
      <c r="C24" s="153" t="s">
        <v>451</v>
      </c>
      <c r="D24" s="154">
        <f>D33</f>
        <v>2739700</v>
      </c>
      <c r="E24" s="154">
        <f t="shared" ref="E24:O24" si="3">E33</f>
        <v>2739700</v>
      </c>
      <c r="F24" s="154">
        <f t="shared" si="3"/>
        <v>2249257</v>
      </c>
      <c r="G24" s="154">
        <f t="shared" si="3"/>
        <v>0</v>
      </c>
      <c r="H24" s="154">
        <f t="shared" si="3"/>
        <v>0</v>
      </c>
      <c r="I24" s="154">
        <f t="shared" si="3"/>
        <v>0</v>
      </c>
      <c r="J24" s="154">
        <f t="shared" si="3"/>
        <v>0</v>
      </c>
      <c r="K24" s="154">
        <f t="shared" si="3"/>
        <v>0</v>
      </c>
      <c r="L24" s="154">
        <f t="shared" si="3"/>
        <v>0</v>
      </c>
      <c r="M24" s="154">
        <f t="shared" si="3"/>
        <v>0</v>
      </c>
      <c r="N24" s="154">
        <f t="shared" si="3"/>
        <v>0</v>
      </c>
      <c r="O24" s="154">
        <f t="shared" si="3"/>
        <v>2739700</v>
      </c>
    </row>
    <row r="25" spans="1:15" s="76" customFormat="1" ht="47.25" x14ac:dyDescent="0.25">
      <c r="A25" s="137"/>
      <c r="B25" s="152"/>
      <c r="C25" s="153" t="s">
        <v>448</v>
      </c>
      <c r="D25" s="154">
        <f>D34+D51</f>
        <v>3303370</v>
      </c>
      <c r="E25" s="154">
        <f t="shared" ref="E25:O25" si="4">E34+E51</f>
        <v>3303370</v>
      </c>
      <c r="F25" s="154">
        <f t="shared" si="4"/>
        <v>1013420</v>
      </c>
      <c r="G25" s="154">
        <f t="shared" si="4"/>
        <v>0</v>
      </c>
      <c r="H25" s="154">
        <f t="shared" si="4"/>
        <v>0</v>
      </c>
      <c r="I25" s="154">
        <f t="shared" si="4"/>
        <v>0</v>
      </c>
      <c r="J25" s="154">
        <f t="shared" si="4"/>
        <v>0</v>
      </c>
      <c r="K25" s="154">
        <f t="shared" si="4"/>
        <v>0</v>
      </c>
      <c r="L25" s="154">
        <f t="shared" si="4"/>
        <v>0</v>
      </c>
      <c r="M25" s="154">
        <f t="shared" si="4"/>
        <v>0</v>
      </c>
      <c r="N25" s="154">
        <f t="shared" si="4"/>
        <v>0</v>
      </c>
      <c r="O25" s="154">
        <f t="shared" si="4"/>
        <v>3303370</v>
      </c>
    </row>
    <row r="26" spans="1:15" s="76" customFormat="1" ht="47.25" x14ac:dyDescent="0.25">
      <c r="A26" s="137"/>
      <c r="B26" s="152"/>
      <c r="C26" s="153" t="s">
        <v>450</v>
      </c>
      <c r="D26" s="154">
        <f>D35+D46</f>
        <v>2007516</v>
      </c>
      <c r="E26" s="154">
        <f t="shared" ref="E26:O26" si="5">E35+E46</f>
        <v>2007516</v>
      </c>
      <c r="F26" s="154">
        <f t="shared" si="5"/>
        <v>0</v>
      </c>
      <c r="G26" s="154">
        <f t="shared" si="5"/>
        <v>0</v>
      </c>
      <c r="H26" s="154">
        <f t="shared" si="5"/>
        <v>0</v>
      </c>
      <c r="I26" s="154">
        <f t="shared" si="5"/>
        <v>1027684</v>
      </c>
      <c r="J26" s="154">
        <f t="shared" si="5"/>
        <v>1027684</v>
      </c>
      <c r="K26" s="154">
        <f t="shared" si="5"/>
        <v>0</v>
      </c>
      <c r="L26" s="154">
        <f t="shared" si="5"/>
        <v>0</v>
      </c>
      <c r="M26" s="154">
        <f t="shared" si="5"/>
        <v>0</v>
      </c>
      <c r="N26" s="154">
        <f t="shared" si="5"/>
        <v>1027684</v>
      </c>
      <c r="O26" s="154">
        <f t="shared" si="5"/>
        <v>3035200</v>
      </c>
    </row>
    <row r="27" spans="1:15" s="76" customFormat="1" ht="63" x14ac:dyDescent="0.25">
      <c r="A27" s="137"/>
      <c r="B27" s="152"/>
      <c r="C27" s="155" t="s">
        <v>447</v>
      </c>
      <c r="D27" s="154">
        <f>D31+D36</f>
        <v>1767879</v>
      </c>
      <c r="E27" s="154">
        <f t="shared" ref="E27:O27" si="6">E31+E36</f>
        <v>1767879</v>
      </c>
      <c r="F27" s="154">
        <f t="shared" si="6"/>
        <v>1449080</v>
      </c>
      <c r="G27" s="154">
        <f t="shared" si="6"/>
        <v>0</v>
      </c>
      <c r="H27" s="154">
        <f t="shared" si="6"/>
        <v>0</v>
      </c>
      <c r="I27" s="154">
        <f t="shared" si="6"/>
        <v>744000</v>
      </c>
      <c r="J27" s="154">
        <f t="shared" si="6"/>
        <v>744000</v>
      </c>
      <c r="K27" s="154">
        <f t="shared" si="6"/>
        <v>0</v>
      </c>
      <c r="L27" s="154">
        <f t="shared" si="6"/>
        <v>0</v>
      </c>
      <c r="M27" s="154">
        <f t="shared" si="6"/>
        <v>0</v>
      </c>
      <c r="N27" s="154">
        <f t="shared" si="6"/>
        <v>744000</v>
      </c>
      <c r="O27" s="154">
        <f t="shared" si="6"/>
        <v>2511879</v>
      </c>
    </row>
    <row r="28" spans="1:15" s="76" customFormat="1" ht="63" x14ac:dyDescent="0.25">
      <c r="A28" s="137"/>
      <c r="B28" s="152"/>
      <c r="C28" s="153" t="s">
        <v>449</v>
      </c>
      <c r="D28" s="154">
        <f>D38+D41</f>
        <v>4807997</v>
      </c>
      <c r="E28" s="154">
        <f t="shared" ref="E28:O28" si="7">E38+E41</f>
        <v>4807997</v>
      </c>
      <c r="F28" s="154">
        <f t="shared" si="7"/>
        <v>0</v>
      </c>
      <c r="G28" s="154">
        <f t="shared" si="7"/>
        <v>0</v>
      </c>
      <c r="H28" s="154">
        <f t="shared" si="7"/>
        <v>0</v>
      </c>
      <c r="I28" s="154">
        <f t="shared" si="7"/>
        <v>742539</v>
      </c>
      <c r="J28" s="154">
        <f t="shared" si="7"/>
        <v>742539</v>
      </c>
      <c r="K28" s="154">
        <f t="shared" si="7"/>
        <v>0</v>
      </c>
      <c r="L28" s="154">
        <f t="shared" si="7"/>
        <v>0</v>
      </c>
      <c r="M28" s="154">
        <f t="shared" si="7"/>
        <v>0</v>
      </c>
      <c r="N28" s="154">
        <f t="shared" si="7"/>
        <v>742539</v>
      </c>
      <c r="O28" s="154">
        <f t="shared" si="7"/>
        <v>5550536</v>
      </c>
    </row>
    <row r="29" spans="1:15" s="76" customFormat="1" ht="49.5" customHeight="1" x14ac:dyDescent="0.25">
      <c r="A29" s="137"/>
      <c r="B29" s="137"/>
      <c r="C29" s="153" t="s">
        <v>526</v>
      </c>
      <c r="D29" s="154">
        <f>D53</f>
        <v>0</v>
      </c>
      <c r="E29" s="154">
        <f t="shared" ref="E29:O29" si="8">E53</f>
        <v>0</v>
      </c>
      <c r="F29" s="154">
        <f t="shared" si="8"/>
        <v>0</v>
      </c>
      <c r="G29" s="154">
        <f t="shared" si="8"/>
        <v>0</v>
      </c>
      <c r="H29" s="154">
        <f t="shared" si="8"/>
        <v>0</v>
      </c>
      <c r="I29" s="154">
        <f t="shared" si="8"/>
        <v>1180956</v>
      </c>
      <c r="J29" s="154">
        <f t="shared" si="8"/>
        <v>1180956</v>
      </c>
      <c r="K29" s="154">
        <f t="shared" si="8"/>
        <v>0</v>
      </c>
      <c r="L29" s="154">
        <f t="shared" si="8"/>
        <v>0</v>
      </c>
      <c r="M29" s="154">
        <f t="shared" si="8"/>
        <v>0</v>
      </c>
      <c r="N29" s="154">
        <f t="shared" si="8"/>
        <v>1180956</v>
      </c>
      <c r="O29" s="154">
        <f t="shared" si="8"/>
        <v>1180956</v>
      </c>
    </row>
    <row r="30" spans="1:15" ht="27" customHeight="1" x14ac:dyDescent="0.25">
      <c r="A30" s="46" t="s">
        <v>52</v>
      </c>
      <c r="B30" s="46" t="s">
        <v>53</v>
      </c>
      <c r="C30" s="6" t="s">
        <v>470</v>
      </c>
      <c r="D30" s="59">
        <f>'дод 3'!E68</f>
        <v>237740548</v>
      </c>
      <c r="E30" s="59">
        <f>'дод 3'!F68</f>
        <v>237740548</v>
      </c>
      <c r="F30" s="59">
        <f>'дод 3'!G68</f>
        <v>159483510</v>
      </c>
      <c r="G30" s="59">
        <f>'дод 3'!H68</f>
        <v>23489756</v>
      </c>
      <c r="H30" s="59">
        <f>'дод 3'!I68</f>
        <v>0</v>
      </c>
      <c r="I30" s="59">
        <f>'дод 3'!J68</f>
        <v>17977603</v>
      </c>
      <c r="J30" s="59">
        <f>'дод 3'!K68</f>
        <v>1651947</v>
      </c>
      <c r="K30" s="59">
        <f>'дод 3'!L68</f>
        <v>16325656</v>
      </c>
      <c r="L30" s="59">
        <f>'дод 3'!M68</f>
        <v>0</v>
      </c>
      <c r="M30" s="59">
        <f>'дод 3'!N68</f>
        <v>0</v>
      </c>
      <c r="N30" s="59">
        <f>'дод 3'!O68</f>
        <v>1651947</v>
      </c>
      <c r="O30" s="59">
        <f>'дод 3'!P68</f>
        <v>255718151</v>
      </c>
    </row>
    <row r="31" spans="1:15" s="77" customFormat="1" ht="47.25" x14ac:dyDescent="0.25">
      <c r="A31" s="156"/>
      <c r="B31" s="156"/>
      <c r="C31" s="157" t="s">
        <v>447</v>
      </c>
      <c r="D31" s="158">
        <f>'дод 3'!E69</f>
        <v>162879</v>
      </c>
      <c r="E31" s="158">
        <f>'дод 3'!F69</f>
        <v>162879</v>
      </c>
      <c r="F31" s="158">
        <f>'дод 3'!G69</f>
        <v>133510</v>
      </c>
      <c r="G31" s="158">
        <f>'дод 3'!H69</f>
        <v>0</v>
      </c>
      <c r="H31" s="158">
        <f>'дод 3'!I69</f>
        <v>0</v>
      </c>
      <c r="I31" s="158">
        <f>'дод 3'!J69</f>
        <v>80600</v>
      </c>
      <c r="J31" s="158">
        <f>'дод 3'!K69</f>
        <v>80600</v>
      </c>
      <c r="K31" s="158">
        <f>'дод 3'!L69</f>
        <v>0</v>
      </c>
      <c r="L31" s="158">
        <f>'дод 3'!M69</f>
        <v>0</v>
      </c>
      <c r="M31" s="158">
        <f>'дод 3'!N69</f>
        <v>0</v>
      </c>
      <c r="N31" s="158">
        <f>'дод 3'!O69</f>
        <v>80600</v>
      </c>
      <c r="O31" s="158">
        <f>'дод 3'!P69</f>
        <v>243479</v>
      </c>
    </row>
    <row r="32" spans="1:15" ht="55.5" customHeight="1" x14ac:dyDescent="0.25">
      <c r="A32" s="46" t="s">
        <v>54</v>
      </c>
      <c r="B32" s="46" t="s">
        <v>55</v>
      </c>
      <c r="C32" s="6" t="s">
        <v>472</v>
      </c>
      <c r="D32" s="59">
        <f>'дод 3'!E70</f>
        <v>536907334</v>
      </c>
      <c r="E32" s="59">
        <f>'дод 3'!F70</f>
        <v>536907334</v>
      </c>
      <c r="F32" s="59">
        <f>'дод 3'!G70</f>
        <v>378056547</v>
      </c>
      <c r="G32" s="59">
        <f>'дод 3'!H70</f>
        <v>35373779</v>
      </c>
      <c r="H32" s="59">
        <f>'дод 3'!I70</f>
        <v>0</v>
      </c>
      <c r="I32" s="59">
        <f>'дод 3'!J70</f>
        <v>34565974.640000001</v>
      </c>
      <c r="J32" s="59">
        <f>'дод 3'!K70</f>
        <v>5654227.6399999997</v>
      </c>
      <c r="K32" s="59">
        <f>'дод 3'!L70</f>
        <v>28911747</v>
      </c>
      <c r="L32" s="59">
        <f>'дод 3'!M70</f>
        <v>1713303</v>
      </c>
      <c r="M32" s="59">
        <f>'дод 3'!N70</f>
        <v>147329</v>
      </c>
      <c r="N32" s="59">
        <f>'дод 3'!O70</f>
        <v>5654227.6399999997</v>
      </c>
      <c r="O32" s="59">
        <f>'дод 3'!P70</f>
        <v>571473308.63999999</v>
      </c>
    </row>
    <row r="33" spans="1:15" s="77" customFormat="1" ht="63" x14ac:dyDescent="0.25">
      <c r="A33" s="156"/>
      <c r="B33" s="156"/>
      <c r="C33" s="157" t="s">
        <v>451</v>
      </c>
      <c r="D33" s="158">
        <f>'дод 3'!E71</f>
        <v>2739700</v>
      </c>
      <c r="E33" s="158">
        <f>'дод 3'!F71</f>
        <v>2739700</v>
      </c>
      <c r="F33" s="158">
        <f>'дод 3'!G71</f>
        <v>2249257</v>
      </c>
      <c r="G33" s="158">
        <f>'дод 3'!H71</f>
        <v>0</v>
      </c>
      <c r="H33" s="158">
        <f>'дод 3'!I71</f>
        <v>0</v>
      </c>
      <c r="I33" s="158">
        <f>'дод 3'!J71</f>
        <v>0</v>
      </c>
      <c r="J33" s="158">
        <f>'дод 3'!K71</f>
        <v>0</v>
      </c>
      <c r="K33" s="158">
        <f>'дод 3'!L71</f>
        <v>0</v>
      </c>
      <c r="L33" s="158">
        <f>'дод 3'!M71</f>
        <v>0</v>
      </c>
      <c r="M33" s="158">
        <f>'дод 3'!N71</f>
        <v>0</v>
      </c>
      <c r="N33" s="158">
        <f>'дод 3'!O71</f>
        <v>0</v>
      </c>
      <c r="O33" s="158">
        <f>'дод 3'!P71</f>
        <v>2739700</v>
      </c>
    </row>
    <row r="34" spans="1:15" s="77" customFormat="1" ht="47.25" x14ac:dyDescent="0.25">
      <c r="A34" s="156"/>
      <c r="B34" s="156"/>
      <c r="C34" s="157" t="s">
        <v>448</v>
      </c>
      <c r="D34" s="158">
        <f>'дод 3'!E72</f>
        <v>2067000</v>
      </c>
      <c r="E34" s="158">
        <f>'дод 3'!F72</f>
        <v>2067000</v>
      </c>
      <c r="F34" s="158">
        <f>'дод 3'!G72</f>
        <v>0</v>
      </c>
      <c r="G34" s="158">
        <f>'дод 3'!H72</f>
        <v>0</v>
      </c>
      <c r="H34" s="158">
        <f>'дод 3'!I72</f>
        <v>0</v>
      </c>
      <c r="I34" s="158">
        <f>'дод 3'!J72</f>
        <v>0</v>
      </c>
      <c r="J34" s="158">
        <f>'дод 3'!K72</f>
        <v>0</v>
      </c>
      <c r="K34" s="158">
        <f>'дод 3'!L72</f>
        <v>0</v>
      </c>
      <c r="L34" s="158">
        <f>'дод 3'!M72</f>
        <v>0</v>
      </c>
      <c r="M34" s="158">
        <f>'дод 3'!N72</f>
        <v>0</v>
      </c>
      <c r="N34" s="158">
        <f>'дод 3'!O72</f>
        <v>0</v>
      </c>
      <c r="O34" s="158">
        <f>'дод 3'!P72</f>
        <v>2067000</v>
      </c>
    </row>
    <row r="35" spans="1:15" s="77" customFormat="1" ht="47.25" x14ac:dyDescent="0.25">
      <c r="A35" s="156"/>
      <c r="B35" s="156"/>
      <c r="C35" s="157" t="s">
        <v>450</v>
      </c>
      <c r="D35" s="158">
        <f>'дод 3'!E73</f>
        <v>80516</v>
      </c>
      <c r="E35" s="158">
        <f>'дод 3'!F73</f>
        <v>80516</v>
      </c>
      <c r="F35" s="158">
        <f>'дод 3'!G73</f>
        <v>0</v>
      </c>
      <c r="G35" s="158">
        <f>'дод 3'!H73</f>
        <v>0</v>
      </c>
      <c r="H35" s="158">
        <f>'дод 3'!I73</f>
        <v>0</v>
      </c>
      <c r="I35" s="158">
        <f>'дод 3'!J73</f>
        <v>723684</v>
      </c>
      <c r="J35" s="158">
        <f>'дод 3'!K73</f>
        <v>723684</v>
      </c>
      <c r="K35" s="158">
        <f>'дод 3'!L73</f>
        <v>0</v>
      </c>
      <c r="L35" s="158">
        <f>'дод 3'!M73</f>
        <v>0</v>
      </c>
      <c r="M35" s="158">
        <f>'дод 3'!N73</f>
        <v>0</v>
      </c>
      <c r="N35" s="158">
        <f>'дод 3'!O73</f>
        <v>723684</v>
      </c>
      <c r="O35" s="158">
        <f>'дод 3'!P73</f>
        <v>804200</v>
      </c>
    </row>
    <row r="36" spans="1:15" s="77" customFormat="1" ht="47.25" x14ac:dyDescent="0.25">
      <c r="A36" s="156"/>
      <c r="B36" s="156"/>
      <c r="C36" s="157" t="s">
        <v>447</v>
      </c>
      <c r="D36" s="158">
        <f>'дод 3'!E74</f>
        <v>1605000</v>
      </c>
      <c r="E36" s="158">
        <f>'дод 3'!F74</f>
        <v>1605000</v>
      </c>
      <c r="F36" s="158">
        <f>'дод 3'!G74</f>
        <v>1315570</v>
      </c>
      <c r="G36" s="158">
        <f>'дод 3'!H74</f>
        <v>0</v>
      </c>
      <c r="H36" s="158">
        <f>'дод 3'!I74</f>
        <v>0</v>
      </c>
      <c r="I36" s="158">
        <f>'дод 3'!J74</f>
        <v>663400</v>
      </c>
      <c r="J36" s="158">
        <f>'дод 3'!K74</f>
        <v>663400</v>
      </c>
      <c r="K36" s="158">
        <f>'дод 3'!L74</f>
        <v>0</v>
      </c>
      <c r="L36" s="158">
        <f>'дод 3'!M74</f>
        <v>0</v>
      </c>
      <c r="M36" s="158">
        <f>'дод 3'!N74</f>
        <v>0</v>
      </c>
      <c r="N36" s="158">
        <f>'дод 3'!O74</f>
        <v>663400</v>
      </c>
      <c r="O36" s="158">
        <f>'дод 3'!P74</f>
        <v>2268400</v>
      </c>
    </row>
    <row r="37" spans="1:15" s="77" customFormat="1" ht="31.5" x14ac:dyDescent="0.25">
      <c r="A37" s="156"/>
      <c r="B37" s="156"/>
      <c r="C37" s="157" t="s">
        <v>453</v>
      </c>
      <c r="D37" s="158">
        <f>'дод 3'!E75</f>
        <v>347149400</v>
      </c>
      <c r="E37" s="158">
        <f>'дод 3'!F75</f>
        <v>347149400</v>
      </c>
      <c r="F37" s="158">
        <f>'дод 3'!G75</f>
        <v>285015950</v>
      </c>
      <c r="G37" s="158">
        <f>'дод 3'!H75</f>
        <v>0</v>
      </c>
      <c r="H37" s="158">
        <f>'дод 3'!I75</f>
        <v>0</v>
      </c>
      <c r="I37" s="158">
        <f>'дод 3'!J75</f>
        <v>0</v>
      </c>
      <c r="J37" s="158">
        <f>'дод 3'!K75</f>
        <v>0</v>
      </c>
      <c r="K37" s="158">
        <f>'дод 3'!L75</f>
        <v>0</v>
      </c>
      <c r="L37" s="158">
        <f>'дод 3'!M75</f>
        <v>0</v>
      </c>
      <c r="M37" s="158">
        <f>'дод 3'!N75</f>
        <v>0</v>
      </c>
      <c r="N37" s="158">
        <f>'дод 3'!O75</f>
        <v>0</v>
      </c>
      <c r="O37" s="158">
        <f>'дод 3'!P75</f>
        <v>347149400</v>
      </c>
    </row>
    <row r="38" spans="1:15" s="77" customFormat="1" ht="63" x14ac:dyDescent="0.25">
      <c r="A38" s="156"/>
      <c r="B38" s="156"/>
      <c r="C38" s="157" t="s">
        <v>449</v>
      </c>
      <c r="D38" s="158">
        <f>'дод 3'!E76</f>
        <v>4782158</v>
      </c>
      <c r="E38" s="158">
        <f>'дод 3'!F76</f>
        <v>4782158</v>
      </c>
      <c r="F38" s="158">
        <f>'дод 3'!G76</f>
        <v>0</v>
      </c>
      <c r="G38" s="158">
        <f>'дод 3'!H76</f>
        <v>0</v>
      </c>
      <c r="H38" s="158">
        <f>'дод 3'!I76</f>
        <v>0</v>
      </c>
      <c r="I38" s="158">
        <f>'дод 3'!J76</f>
        <v>721310</v>
      </c>
      <c r="J38" s="158">
        <f>'дод 3'!K76</f>
        <v>721310</v>
      </c>
      <c r="K38" s="158">
        <f>'дод 3'!L76</f>
        <v>0</v>
      </c>
      <c r="L38" s="158">
        <f>'дод 3'!M76</f>
        <v>0</v>
      </c>
      <c r="M38" s="158">
        <f>'дод 3'!N76</f>
        <v>0</v>
      </c>
      <c r="N38" s="158">
        <f>'дод 3'!O76</f>
        <v>721310</v>
      </c>
      <c r="O38" s="158">
        <f>'дод 3'!P76</f>
        <v>5503468</v>
      </c>
    </row>
    <row r="39" spans="1:15" ht="70.5" customHeight="1" x14ac:dyDescent="0.25">
      <c r="A39" s="46">
        <v>1030</v>
      </c>
      <c r="B39" s="46" t="s">
        <v>59</v>
      </c>
      <c r="C39" s="6" t="s">
        <v>471</v>
      </c>
      <c r="D39" s="59">
        <f>'дод 3'!E77</f>
        <v>9281995</v>
      </c>
      <c r="E39" s="59">
        <f>'дод 3'!F77</f>
        <v>9281995</v>
      </c>
      <c r="F39" s="59">
        <f>'дод 3'!G77</f>
        <v>6532300</v>
      </c>
      <c r="G39" s="59">
        <f>'дод 3'!H77</f>
        <v>649270</v>
      </c>
      <c r="H39" s="59">
        <f>'дод 3'!I77</f>
        <v>0</v>
      </c>
      <c r="I39" s="59">
        <f>'дод 3'!J77</f>
        <v>52327</v>
      </c>
      <c r="J39" s="59">
        <f>'дод 3'!K77</f>
        <v>52327</v>
      </c>
      <c r="K39" s="59">
        <f>'дод 3'!L77</f>
        <v>0</v>
      </c>
      <c r="L39" s="59">
        <f>'дод 3'!M77</f>
        <v>0</v>
      </c>
      <c r="M39" s="59">
        <f>'дод 3'!N77</f>
        <v>0</v>
      </c>
      <c r="N39" s="59">
        <f>'дод 3'!O77</f>
        <v>52327</v>
      </c>
      <c r="O39" s="59">
        <f>'дод 3'!P77</f>
        <v>9334322</v>
      </c>
    </row>
    <row r="40" spans="1:15" s="77" customFormat="1" ht="31.5" x14ac:dyDescent="0.25">
      <c r="A40" s="156"/>
      <c r="B40" s="156"/>
      <c r="C40" s="157" t="s">
        <v>453</v>
      </c>
      <c r="D40" s="158">
        <f>'дод 3'!E78</f>
        <v>6214300</v>
      </c>
      <c r="E40" s="158">
        <f>'дод 3'!F78</f>
        <v>6214300</v>
      </c>
      <c r="F40" s="158">
        <f>'дод 3'!G78</f>
        <v>5102000</v>
      </c>
      <c r="G40" s="158">
        <f>'дод 3'!H78</f>
        <v>0</v>
      </c>
      <c r="H40" s="158">
        <f>'дод 3'!I78</f>
        <v>0</v>
      </c>
      <c r="I40" s="158">
        <f>'дод 3'!J78</f>
        <v>0</v>
      </c>
      <c r="J40" s="158">
        <f>'дод 3'!K78</f>
        <v>0</v>
      </c>
      <c r="K40" s="158">
        <f>'дод 3'!L78</f>
        <v>0</v>
      </c>
      <c r="L40" s="158">
        <f>'дод 3'!M78</f>
        <v>0</v>
      </c>
      <c r="M40" s="158">
        <f>'дод 3'!N78</f>
        <v>0</v>
      </c>
      <c r="N40" s="158">
        <f>'дод 3'!O78</f>
        <v>0</v>
      </c>
      <c r="O40" s="158">
        <f>'дод 3'!P78</f>
        <v>6214300</v>
      </c>
    </row>
    <row r="41" spans="1:15" s="77" customFormat="1" ht="63" x14ac:dyDescent="0.25">
      <c r="A41" s="156"/>
      <c r="B41" s="156"/>
      <c r="C41" s="157" t="s">
        <v>449</v>
      </c>
      <c r="D41" s="158">
        <f>'дод 3'!E79</f>
        <v>25839</v>
      </c>
      <c r="E41" s="158">
        <f>'дод 3'!F79</f>
        <v>25839</v>
      </c>
      <c r="F41" s="158">
        <f>'дод 3'!G79</f>
        <v>0</v>
      </c>
      <c r="G41" s="158">
        <f>'дод 3'!H79</f>
        <v>0</v>
      </c>
      <c r="H41" s="158">
        <f>'дод 3'!I79</f>
        <v>0</v>
      </c>
      <c r="I41" s="158">
        <f>'дод 3'!J79</f>
        <v>21229</v>
      </c>
      <c r="J41" s="158">
        <f>'дод 3'!K79</f>
        <v>21229</v>
      </c>
      <c r="K41" s="158">
        <f>'дод 3'!L79</f>
        <v>0</v>
      </c>
      <c r="L41" s="158">
        <f>'дод 3'!M79</f>
        <v>0</v>
      </c>
      <c r="M41" s="158">
        <f>'дод 3'!N79</f>
        <v>0</v>
      </c>
      <c r="N41" s="158">
        <f>'дод 3'!O79</f>
        <v>21229</v>
      </c>
      <c r="O41" s="158">
        <f>'дод 3'!P79</f>
        <v>47068</v>
      </c>
    </row>
    <row r="42" spans="1:15" ht="38.25" customHeight="1" x14ac:dyDescent="0.25">
      <c r="A42" s="46" t="s">
        <v>60</v>
      </c>
      <c r="B42" s="46" t="s">
        <v>61</v>
      </c>
      <c r="C42" s="6" t="s">
        <v>404</v>
      </c>
      <c r="D42" s="59">
        <f>'дод 3'!E80</f>
        <v>27758440</v>
      </c>
      <c r="E42" s="59">
        <f>'дод 3'!F80</f>
        <v>27758440</v>
      </c>
      <c r="F42" s="59">
        <f>'дод 3'!G80</f>
        <v>19715700</v>
      </c>
      <c r="G42" s="59">
        <f>'дод 3'!H80</f>
        <v>2978190</v>
      </c>
      <c r="H42" s="59">
        <f>'дод 3'!I80</f>
        <v>0</v>
      </c>
      <c r="I42" s="59">
        <f>'дод 3'!J80</f>
        <v>15000</v>
      </c>
      <c r="J42" s="59">
        <f>'дод 3'!K80</f>
        <v>15000</v>
      </c>
      <c r="K42" s="59">
        <f>'дод 3'!L80</f>
        <v>0</v>
      </c>
      <c r="L42" s="59">
        <f>'дод 3'!M80</f>
        <v>0</v>
      </c>
      <c r="M42" s="59">
        <f>'дод 3'!N80</f>
        <v>0</v>
      </c>
      <c r="N42" s="59">
        <f>'дод 3'!O80</f>
        <v>15000</v>
      </c>
      <c r="O42" s="59">
        <f>'дод 3'!P80</f>
        <v>27773440</v>
      </c>
    </row>
    <row r="43" spans="1:15" ht="26.25" customHeight="1" x14ac:dyDescent="0.25">
      <c r="A43" s="46" t="s">
        <v>62</v>
      </c>
      <c r="B43" s="46" t="s">
        <v>61</v>
      </c>
      <c r="C43" s="6" t="s">
        <v>405</v>
      </c>
      <c r="D43" s="59">
        <f>'дод 3'!E178</f>
        <v>39034600</v>
      </c>
      <c r="E43" s="59">
        <f>'дод 3'!F178</f>
        <v>39034600</v>
      </c>
      <c r="F43" s="59">
        <f>'дод 3'!G178</f>
        <v>30830000</v>
      </c>
      <c r="G43" s="59">
        <f>'дод 3'!H178</f>
        <v>713600</v>
      </c>
      <c r="H43" s="59">
        <f>'дод 3'!I178</f>
        <v>0</v>
      </c>
      <c r="I43" s="59">
        <f>'дод 3'!J178</f>
        <v>3336640</v>
      </c>
      <c r="J43" s="59">
        <f>'дод 3'!K178</f>
        <v>557000</v>
      </c>
      <c r="K43" s="59">
        <f>'дод 3'!L178</f>
        <v>2774920</v>
      </c>
      <c r="L43" s="59">
        <f>'дод 3'!M178</f>
        <v>2267316</v>
      </c>
      <c r="M43" s="59">
        <f>'дод 3'!N178</f>
        <v>0</v>
      </c>
      <c r="N43" s="59">
        <f>'дод 3'!O178</f>
        <v>561720</v>
      </c>
      <c r="O43" s="59">
        <f>'дод 3'!P178</f>
        <v>42371240</v>
      </c>
    </row>
    <row r="44" spans="1:15" ht="48.75" customHeight="1" x14ac:dyDescent="0.25">
      <c r="A44" s="46" t="s">
        <v>241</v>
      </c>
      <c r="B44" s="46" t="s">
        <v>63</v>
      </c>
      <c r="C44" s="6" t="s">
        <v>473</v>
      </c>
      <c r="D44" s="59">
        <f>'дод 3'!E81</f>
        <v>90228846</v>
      </c>
      <c r="E44" s="59">
        <f>'дод 3'!F81</f>
        <v>90228846</v>
      </c>
      <c r="F44" s="59">
        <f>'дод 3'!G81</f>
        <v>53115709</v>
      </c>
      <c r="G44" s="59">
        <f>'дод 3'!H81</f>
        <v>7498105</v>
      </c>
      <c r="H44" s="59">
        <f>'дод 3'!I81</f>
        <v>0</v>
      </c>
      <c r="I44" s="59">
        <f>'дод 3'!J81</f>
        <v>8383105</v>
      </c>
      <c r="J44" s="59">
        <f>'дод 3'!K81</f>
        <v>304000</v>
      </c>
      <c r="K44" s="59">
        <f>'дод 3'!L81</f>
        <v>7974105</v>
      </c>
      <c r="L44" s="59">
        <f>'дод 3'!M81</f>
        <v>2495573</v>
      </c>
      <c r="M44" s="59">
        <f>'дод 3'!N81</f>
        <v>2976862</v>
      </c>
      <c r="N44" s="59">
        <f>'дод 3'!O81</f>
        <v>409000</v>
      </c>
      <c r="O44" s="59">
        <f>'дод 3'!P81</f>
        <v>98611951</v>
      </c>
    </row>
    <row r="45" spans="1:15" s="77" customFormat="1" ht="31.5" x14ac:dyDescent="0.25">
      <c r="A45" s="156"/>
      <c r="B45" s="156"/>
      <c r="C45" s="157" t="s">
        <v>453</v>
      </c>
      <c r="D45" s="158">
        <f>'дод 3'!E82</f>
        <v>8033046</v>
      </c>
      <c r="E45" s="158">
        <f>'дод 3'!F82</f>
        <v>8033046</v>
      </c>
      <c r="F45" s="158">
        <f>'дод 3'!G82</f>
        <v>6584464</v>
      </c>
      <c r="G45" s="158">
        <f>'дод 3'!H82</f>
        <v>0</v>
      </c>
      <c r="H45" s="158">
        <f>'дод 3'!I82</f>
        <v>0</v>
      </c>
      <c r="I45" s="158">
        <f>'дод 3'!J82</f>
        <v>0</v>
      </c>
      <c r="J45" s="158">
        <f>'дод 3'!K82</f>
        <v>0</v>
      </c>
      <c r="K45" s="158">
        <f>'дод 3'!L82</f>
        <v>0</v>
      </c>
      <c r="L45" s="158">
        <f>'дод 3'!M82</f>
        <v>0</v>
      </c>
      <c r="M45" s="158">
        <f>'дод 3'!N82</f>
        <v>0</v>
      </c>
      <c r="N45" s="158">
        <f>'дод 3'!O82</f>
        <v>0</v>
      </c>
      <c r="O45" s="158">
        <f>'дод 3'!P82</f>
        <v>8033046</v>
      </c>
    </row>
    <row r="46" spans="1:15" s="77" customFormat="1" ht="47.25" x14ac:dyDescent="0.25">
      <c r="A46" s="156"/>
      <c r="B46" s="156"/>
      <c r="C46" s="165" t="s">
        <v>523</v>
      </c>
      <c r="D46" s="158">
        <f>'дод 3'!E83</f>
        <v>1927000</v>
      </c>
      <c r="E46" s="158">
        <f>'дод 3'!F83</f>
        <v>1927000</v>
      </c>
      <c r="F46" s="158">
        <f>'дод 3'!G83</f>
        <v>0</v>
      </c>
      <c r="G46" s="158">
        <f>'дод 3'!H83</f>
        <v>0</v>
      </c>
      <c r="H46" s="158">
        <f>'дод 3'!I83</f>
        <v>0</v>
      </c>
      <c r="I46" s="158">
        <f>'дод 3'!J83</f>
        <v>304000</v>
      </c>
      <c r="J46" s="158">
        <f>'дод 3'!K83</f>
        <v>304000</v>
      </c>
      <c r="K46" s="158">
        <f>'дод 3'!L83</f>
        <v>0</v>
      </c>
      <c r="L46" s="158">
        <f>'дод 3'!M83</f>
        <v>0</v>
      </c>
      <c r="M46" s="158">
        <f>'дод 3'!N83</f>
        <v>0</v>
      </c>
      <c r="N46" s="158">
        <f>'дод 3'!O83</f>
        <v>304000</v>
      </c>
      <c r="O46" s="158">
        <f>'дод 3'!P83</f>
        <v>2231000</v>
      </c>
    </row>
    <row r="47" spans="1:15" ht="23.25" customHeight="1" x14ac:dyDescent="0.25">
      <c r="A47" s="46" t="s">
        <v>129</v>
      </c>
      <c r="B47" s="46" t="s">
        <v>64</v>
      </c>
      <c r="C47" s="6" t="s">
        <v>406</v>
      </c>
      <c r="D47" s="59">
        <f>'дод 3'!E84</f>
        <v>2878530</v>
      </c>
      <c r="E47" s="59">
        <f>'дод 3'!F84</f>
        <v>2878530</v>
      </c>
      <c r="F47" s="59">
        <f>'дод 3'!G84</f>
        <v>2237500</v>
      </c>
      <c r="G47" s="59">
        <f>'дод 3'!H84</f>
        <v>90180</v>
      </c>
      <c r="H47" s="59">
        <f>'дод 3'!I84</f>
        <v>0</v>
      </c>
      <c r="I47" s="59">
        <f>'дод 3'!J84</f>
        <v>0</v>
      </c>
      <c r="J47" s="59">
        <f>'дод 3'!K84</f>
        <v>0</v>
      </c>
      <c r="K47" s="59">
        <f>'дод 3'!L84</f>
        <v>0</v>
      </c>
      <c r="L47" s="59">
        <f>'дод 3'!M84</f>
        <v>0</v>
      </c>
      <c r="M47" s="59">
        <f>'дод 3'!N84</f>
        <v>0</v>
      </c>
      <c r="N47" s="59">
        <f>'дод 3'!O84</f>
        <v>0</v>
      </c>
      <c r="O47" s="59">
        <f>'дод 3'!P84</f>
        <v>2878530</v>
      </c>
    </row>
    <row r="48" spans="1:15" ht="28.5" customHeight="1" x14ac:dyDescent="0.25">
      <c r="A48" s="46" t="s">
        <v>306</v>
      </c>
      <c r="B48" s="46" t="s">
        <v>64</v>
      </c>
      <c r="C48" s="6" t="s">
        <v>308</v>
      </c>
      <c r="D48" s="59">
        <f>'дод 3'!E85</f>
        <v>9312520</v>
      </c>
      <c r="E48" s="59">
        <f>'дод 3'!F85</f>
        <v>9312520</v>
      </c>
      <c r="F48" s="59">
        <f>'дод 3'!G85</f>
        <v>6782550</v>
      </c>
      <c r="G48" s="59">
        <f>'дод 3'!H85</f>
        <v>537500</v>
      </c>
      <c r="H48" s="59">
        <f>'дод 3'!I85</f>
        <v>0</v>
      </c>
      <c r="I48" s="59">
        <f>'дод 3'!J85</f>
        <v>132000</v>
      </c>
      <c r="J48" s="59">
        <f>'дод 3'!K85</f>
        <v>132000</v>
      </c>
      <c r="K48" s="59">
        <f>'дод 3'!L85</f>
        <v>0</v>
      </c>
      <c r="L48" s="59">
        <f>'дод 3'!M85</f>
        <v>0</v>
      </c>
      <c r="M48" s="59">
        <f>'дод 3'!N85</f>
        <v>0</v>
      </c>
      <c r="N48" s="59">
        <f>'дод 3'!O85</f>
        <v>132000</v>
      </c>
      <c r="O48" s="59">
        <f>'дод 3'!P85</f>
        <v>9444520</v>
      </c>
    </row>
    <row r="49" spans="1:15" ht="25.5" customHeight="1" x14ac:dyDescent="0.25">
      <c r="A49" s="46" t="s">
        <v>307</v>
      </c>
      <c r="B49" s="46" t="s">
        <v>64</v>
      </c>
      <c r="C49" s="6" t="s">
        <v>309</v>
      </c>
      <c r="D49" s="59">
        <f>'дод 3'!E86</f>
        <v>107400</v>
      </c>
      <c r="E49" s="59">
        <f>'дод 3'!F86</f>
        <v>107400</v>
      </c>
      <c r="F49" s="59">
        <f>'дод 3'!G86</f>
        <v>0</v>
      </c>
      <c r="G49" s="59">
        <f>'дод 3'!H86</f>
        <v>0</v>
      </c>
      <c r="H49" s="59">
        <f>'дод 3'!I86</f>
        <v>0</v>
      </c>
      <c r="I49" s="59">
        <f>'дод 3'!J86</f>
        <v>0</v>
      </c>
      <c r="J49" s="59">
        <f>'дод 3'!K86</f>
        <v>0</v>
      </c>
      <c r="K49" s="59">
        <f>'дод 3'!L86</f>
        <v>0</v>
      </c>
      <c r="L49" s="59">
        <f>'дод 3'!M86</f>
        <v>0</v>
      </c>
      <c r="M49" s="59">
        <f>'дод 3'!N86</f>
        <v>0</v>
      </c>
      <c r="N49" s="59">
        <f>'дод 3'!O86</f>
        <v>0</v>
      </c>
      <c r="O49" s="59">
        <f>'дод 3'!P86</f>
        <v>107400</v>
      </c>
    </row>
    <row r="50" spans="1:15" ht="36" customHeight="1" x14ac:dyDescent="0.25">
      <c r="A50" s="46" t="s">
        <v>365</v>
      </c>
      <c r="B50" s="46" t="s">
        <v>64</v>
      </c>
      <c r="C50" s="42" t="s">
        <v>474</v>
      </c>
      <c r="D50" s="59">
        <f>SUM('дод 3'!E87)</f>
        <v>1627940</v>
      </c>
      <c r="E50" s="59">
        <f>SUM('дод 3'!F87)</f>
        <v>1627940</v>
      </c>
      <c r="F50" s="59">
        <f>SUM('дод 3'!G87)</f>
        <v>1224320</v>
      </c>
      <c r="G50" s="59">
        <f>SUM('дод 3'!H87)</f>
        <v>81470</v>
      </c>
      <c r="H50" s="59">
        <f>SUM('дод 3'!I87)</f>
        <v>0</v>
      </c>
      <c r="I50" s="59">
        <f>SUM('дод 3'!J87)</f>
        <v>0</v>
      </c>
      <c r="J50" s="59">
        <f>SUM('дод 3'!K87)</f>
        <v>0</v>
      </c>
      <c r="K50" s="59">
        <f>SUM('дод 3'!L87)</f>
        <v>0</v>
      </c>
      <c r="L50" s="59">
        <f>SUM('дод 3'!M87)</f>
        <v>0</v>
      </c>
      <c r="M50" s="59">
        <f>SUM('дод 3'!N87)</f>
        <v>0</v>
      </c>
      <c r="N50" s="59">
        <f>SUM('дод 3'!O87)</f>
        <v>0</v>
      </c>
      <c r="O50" s="59">
        <f>SUM('дод 3'!P87)</f>
        <v>1627940</v>
      </c>
    </row>
    <row r="51" spans="1:15" s="77" customFormat="1" ht="50.25" customHeight="1" x14ac:dyDescent="0.25">
      <c r="A51" s="156"/>
      <c r="B51" s="156"/>
      <c r="C51" s="157" t="s">
        <v>448</v>
      </c>
      <c r="D51" s="158">
        <f>'дод 3'!E88</f>
        <v>1236370</v>
      </c>
      <c r="E51" s="158">
        <f>'дод 3'!F88</f>
        <v>1236370</v>
      </c>
      <c r="F51" s="158">
        <f>'дод 3'!G88</f>
        <v>1013420</v>
      </c>
      <c r="G51" s="158">
        <f>'дод 3'!H88</f>
        <v>0</v>
      </c>
      <c r="H51" s="158">
        <f>'дод 3'!I88</f>
        <v>0</v>
      </c>
      <c r="I51" s="158">
        <f>'дод 3'!J88</f>
        <v>0</v>
      </c>
      <c r="J51" s="158">
        <f>'дод 3'!K88</f>
        <v>0</v>
      </c>
      <c r="K51" s="158">
        <f>'дод 3'!L88</f>
        <v>0</v>
      </c>
      <c r="L51" s="158">
        <f>'дод 3'!M88</f>
        <v>0</v>
      </c>
      <c r="M51" s="158">
        <f>'дод 3'!N88</f>
        <v>0</v>
      </c>
      <c r="N51" s="158">
        <f>'дод 3'!O88</f>
        <v>0</v>
      </c>
      <c r="O51" s="158">
        <f>'дод 3'!P88</f>
        <v>1236370</v>
      </c>
    </row>
    <row r="52" spans="1:15" s="77" customFormat="1" ht="49.5" customHeight="1" x14ac:dyDescent="0.25">
      <c r="A52" s="46">
        <v>1180</v>
      </c>
      <c r="B52" s="88" t="s">
        <v>64</v>
      </c>
      <c r="C52" s="3" t="s">
        <v>515</v>
      </c>
      <c r="D52" s="59">
        <f>'дод 3'!E89</f>
        <v>0</v>
      </c>
      <c r="E52" s="59">
        <f>'дод 3'!F89</f>
        <v>0</v>
      </c>
      <c r="F52" s="59">
        <f>'дод 3'!G89</f>
        <v>0</v>
      </c>
      <c r="G52" s="59">
        <f>'дод 3'!H89</f>
        <v>0</v>
      </c>
      <c r="H52" s="59">
        <f>'дод 3'!I89</f>
        <v>0</v>
      </c>
      <c r="I52" s="59">
        <f>'дод 3'!J89</f>
        <v>2080303</v>
      </c>
      <c r="J52" s="59">
        <f>'дод 3'!K89</f>
        <v>2080303</v>
      </c>
      <c r="K52" s="59">
        <f>'дод 3'!L89</f>
        <v>0</v>
      </c>
      <c r="L52" s="59">
        <f>'дод 3'!M89</f>
        <v>0</v>
      </c>
      <c r="M52" s="59">
        <f>'дод 3'!N89</f>
        <v>0</v>
      </c>
      <c r="N52" s="59">
        <f>'дод 3'!O89</f>
        <v>2080303</v>
      </c>
      <c r="O52" s="59">
        <f>'дод 3'!P89</f>
        <v>2080303</v>
      </c>
    </row>
    <row r="53" spans="1:15" s="77" customFormat="1" ht="33.75" customHeight="1" x14ac:dyDescent="0.25">
      <c r="A53" s="156"/>
      <c r="B53" s="156"/>
      <c r="C53" s="157" t="s">
        <v>526</v>
      </c>
      <c r="D53" s="158">
        <f>'дод 3'!E90</f>
        <v>0</v>
      </c>
      <c r="E53" s="158">
        <f>'дод 3'!F90</f>
        <v>0</v>
      </c>
      <c r="F53" s="158">
        <f>'дод 3'!G90</f>
        <v>0</v>
      </c>
      <c r="G53" s="158">
        <f>'дод 3'!H90</f>
        <v>0</v>
      </c>
      <c r="H53" s="158">
        <f>'дод 3'!I90</f>
        <v>0</v>
      </c>
      <c r="I53" s="158">
        <f>'дод 3'!J90</f>
        <v>1180956</v>
      </c>
      <c r="J53" s="158">
        <f>'дод 3'!K90</f>
        <v>1180956</v>
      </c>
      <c r="K53" s="158">
        <f>'дод 3'!L90</f>
        <v>0</v>
      </c>
      <c r="L53" s="158">
        <f>'дод 3'!M90</f>
        <v>0</v>
      </c>
      <c r="M53" s="158">
        <f>'дод 3'!N90</f>
        <v>0</v>
      </c>
      <c r="N53" s="158">
        <f>'дод 3'!O90</f>
        <v>1180956</v>
      </c>
      <c r="O53" s="158">
        <f>'дод 3'!P90</f>
        <v>1180956</v>
      </c>
    </row>
    <row r="54" spans="1:15" s="75" customFormat="1" ht="19.5" customHeight="1" x14ac:dyDescent="0.25">
      <c r="A54" s="47" t="s">
        <v>65</v>
      </c>
      <c r="B54" s="48"/>
      <c r="C54" s="9" t="s">
        <v>475</v>
      </c>
      <c r="D54" s="58">
        <f t="shared" ref="D54:O54" si="9">D59+D63+D65+D67+D69+D72+D73</f>
        <v>186808115.61000001</v>
      </c>
      <c r="E54" s="58">
        <f t="shared" si="9"/>
        <v>186808115.61000001</v>
      </c>
      <c r="F54" s="58">
        <f t="shared" si="9"/>
        <v>0</v>
      </c>
      <c r="G54" s="58">
        <f t="shared" si="9"/>
        <v>0</v>
      </c>
      <c r="H54" s="58">
        <f t="shared" si="9"/>
        <v>0</v>
      </c>
      <c r="I54" s="58">
        <f t="shared" si="9"/>
        <v>56997600</v>
      </c>
      <c r="J54" s="58">
        <f t="shared" si="9"/>
        <v>56997600</v>
      </c>
      <c r="K54" s="58">
        <f t="shared" si="9"/>
        <v>0</v>
      </c>
      <c r="L54" s="58">
        <f t="shared" si="9"/>
        <v>0</v>
      </c>
      <c r="M54" s="58">
        <f t="shared" si="9"/>
        <v>0</v>
      </c>
      <c r="N54" s="58">
        <f t="shared" si="9"/>
        <v>56997600</v>
      </c>
      <c r="O54" s="58">
        <f t="shared" si="9"/>
        <v>243805715.61000001</v>
      </c>
    </row>
    <row r="55" spans="1:15" s="76" customFormat="1" ht="31.5" x14ac:dyDescent="0.25">
      <c r="A55" s="137"/>
      <c r="B55" s="152"/>
      <c r="C55" s="153" t="s">
        <v>454</v>
      </c>
      <c r="D55" s="154">
        <f>D60+D64+D66</f>
        <v>52689700</v>
      </c>
      <c r="E55" s="154">
        <f t="shared" ref="E55:O55" si="10">E60+E64+E66</f>
        <v>52689700</v>
      </c>
      <c r="F55" s="154">
        <f t="shared" si="10"/>
        <v>0</v>
      </c>
      <c r="G55" s="154">
        <f t="shared" si="10"/>
        <v>0</v>
      </c>
      <c r="H55" s="154">
        <f t="shared" si="10"/>
        <v>0</v>
      </c>
      <c r="I55" s="154">
        <f t="shared" si="10"/>
        <v>0</v>
      </c>
      <c r="J55" s="154">
        <f t="shared" si="10"/>
        <v>0</v>
      </c>
      <c r="K55" s="154">
        <f t="shared" si="10"/>
        <v>0</v>
      </c>
      <c r="L55" s="154">
        <f t="shared" si="10"/>
        <v>0</v>
      </c>
      <c r="M55" s="154">
        <f t="shared" si="10"/>
        <v>0</v>
      </c>
      <c r="N55" s="154">
        <f t="shared" si="10"/>
        <v>0</v>
      </c>
      <c r="O55" s="154">
        <f t="shared" si="10"/>
        <v>52689700</v>
      </c>
    </row>
    <row r="56" spans="1:15" s="76" customFormat="1" ht="47.25" x14ac:dyDescent="0.25">
      <c r="A56" s="137"/>
      <c r="B56" s="152"/>
      <c r="C56" s="153" t="s">
        <v>455</v>
      </c>
      <c r="D56" s="154">
        <f>D61+D70</f>
        <v>4468078.6099999994</v>
      </c>
      <c r="E56" s="154">
        <f t="shared" ref="E56:O56" si="11">E61+E70</f>
        <v>4468078.6099999994</v>
      </c>
      <c r="F56" s="154">
        <f t="shared" si="11"/>
        <v>0</v>
      </c>
      <c r="G56" s="154">
        <f t="shared" si="11"/>
        <v>0</v>
      </c>
      <c r="H56" s="154">
        <f t="shared" si="11"/>
        <v>0</v>
      </c>
      <c r="I56" s="154">
        <f t="shared" si="11"/>
        <v>0</v>
      </c>
      <c r="J56" s="154">
        <f t="shared" si="11"/>
        <v>0</v>
      </c>
      <c r="K56" s="154">
        <f t="shared" si="11"/>
        <v>0</v>
      </c>
      <c r="L56" s="154">
        <f t="shared" si="11"/>
        <v>0</v>
      </c>
      <c r="M56" s="154">
        <f t="shared" si="11"/>
        <v>0</v>
      </c>
      <c r="N56" s="154">
        <f t="shared" si="11"/>
        <v>0</v>
      </c>
      <c r="O56" s="154">
        <f t="shared" si="11"/>
        <v>4468078.6099999994</v>
      </c>
    </row>
    <row r="57" spans="1:15" s="76" customFormat="1" ht="63" x14ac:dyDescent="0.25">
      <c r="A57" s="137"/>
      <c r="B57" s="152"/>
      <c r="C57" s="153" t="s">
        <v>456</v>
      </c>
      <c r="D57" s="154">
        <f>D68+D71</f>
        <v>4345037</v>
      </c>
      <c r="E57" s="154">
        <f t="shared" ref="E57:O57" si="12">E68+E71</f>
        <v>4345037</v>
      </c>
      <c r="F57" s="154">
        <f t="shared" si="12"/>
        <v>0</v>
      </c>
      <c r="G57" s="154">
        <f t="shared" si="12"/>
        <v>0</v>
      </c>
      <c r="H57" s="154">
        <f t="shared" si="12"/>
        <v>0</v>
      </c>
      <c r="I57" s="154">
        <f t="shared" si="12"/>
        <v>0</v>
      </c>
      <c r="J57" s="154">
        <f t="shared" si="12"/>
        <v>0</v>
      </c>
      <c r="K57" s="154">
        <f t="shared" si="12"/>
        <v>0</v>
      </c>
      <c r="L57" s="154">
        <f t="shared" si="12"/>
        <v>0</v>
      </c>
      <c r="M57" s="154">
        <f t="shared" si="12"/>
        <v>0</v>
      </c>
      <c r="N57" s="154">
        <f t="shared" si="12"/>
        <v>0</v>
      </c>
      <c r="O57" s="154">
        <f t="shared" si="12"/>
        <v>4345037</v>
      </c>
    </row>
    <row r="58" spans="1:15" s="76" customFormat="1" x14ac:dyDescent="0.25">
      <c r="A58" s="137"/>
      <c r="B58" s="152"/>
      <c r="C58" s="153" t="s">
        <v>457</v>
      </c>
      <c r="D58" s="154">
        <f>D62</f>
        <v>60000</v>
      </c>
      <c r="E58" s="154">
        <f t="shared" ref="E58:O58" si="13">E62</f>
        <v>60000</v>
      </c>
      <c r="F58" s="154">
        <f t="shared" si="13"/>
        <v>0</v>
      </c>
      <c r="G58" s="154">
        <f t="shared" si="13"/>
        <v>0</v>
      </c>
      <c r="H58" s="154">
        <f t="shared" si="13"/>
        <v>0</v>
      </c>
      <c r="I58" s="154">
        <f t="shared" si="13"/>
        <v>0</v>
      </c>
      <c r="J58" s="154">
        <f t="shared" si="13"/>
        <v>0</v>
      </c>
      <c r="K58" s="154">
        <f t="shared" si="13"/>
        <v>0</v>
      </c>
      <c r="L58" s="154">
        <f t="shared" si="13"/>
        <v>0</v>
      </c>
      <c r="M58" s="154">
        <f t="shared" si="13"/>
        <v>0</v>
      </c>
      <c r="N58" s="154">
        <f t="shared" si="13"/>
        <v>0</v>
      </c>
      <c r="O58" s="154">
        <f t="shared" si="13"/>
        <v>60000</v>
      </c>
    </row>
    <row r="59" spans="1:15" ht="31.5" x14ac:dyDescent="0.25">
      <c r="A59" s="46" t="s">
        <v>66</v>
      </c>
      <c r="B59" s="46" t="s">
        <v>67</v>
      </c>
      <c r="C59" s="6" t="s">
        <v>476</v>
      </c>
      <c r="D59" s="59">
        <f>'дод 3'!E112</f>
        <v>118538525.61</v>
      </c>
      <c r="E59" s="59">
        <f>'дод 3'!F112</f>
        <v>118538525.61</v>
      </c>
      <c r="F59" s="59">
        <f>'дод 3'!G112</f>
        <v>0</v>
      </c>
      <c r="G59" s="59">
        <f>'дод 3'!H112</f>
        <v>0</v>
      </c>
      <c r="H59" s="59">
        <f>'дод 3'!I112</f>
        <v>0</v>
      </c>
      <c r="I59" s="59">
        <f>'дод 3'!J112</f>
        <v>34684300</v>
      </c>
      <c r="J59" s="59">
        <f>'дод 3'!K112</f>
        <v>34684300</v>
      </c>
      <c r="K59" s="59">
        <f>'дод 3'!L112</f>
        <v>0</v>
      </c>
      <c r="L59" s="59">
        <f>'дод 3'!M112</f>
        <v>0</v>
      </c>
      <c r="M59" s="59">
        <f>'дод 3'!N112</f>
        <v>0</v>
      </c>
      <c r="N59" s="59">
        <f>'дод 3'!O112</f>
        <v>34684300</v>
      </c>
      <c r="O59" s="59">
        <f>'дод 3'!P112</f>
        <v>153222825.61000001</v>
      </c>
    </row>
    <row r="60" spans="1:15" s="77" customFormat="1" ht="31.5" x14ac:dyDescent="0.25">
      <c r="A60" s="156"/>
      <c r="B60" s="156"/>
      <c r="C60" s="157" t="s">
        <v>454</v>
      </c>
      <c r="D60" s="158">
        <f>'дод 3'!E113</f>
        <v>45209900</v>
      </c>
      <c r="E60" s="158">
        <f>'дод 3'!F113</f>
        <v>45209900</v>
      </c>
      <c r="F60" s="158">
        <f>'дод 3'!G113</f>
        <v>0</v>
      </c>
      <c r="G60" s="158">
        <f>'дод 3'!H113</f>
        <v>0</v>
      </c>
      <c r="H60" s="158">
        <f>'дод 3'!I113</f>
        <v>0</v>
      </c>
      <c r="I60" s="158">
        <f>'дод 3'!J113</f>
        <v>0</v>
      </c>
      <c r="J60" s="158">
        <f>'дод 3'!K113</f>
        <v>0</v>
      </c>
      <c r="K60" s="158">
        <f>'дод 3'!L113</f>
        <v>0</v>
      </c>
      <c r="L60" s="158">
        <f>'дод 3'!M113</f>
        <v>0</v>
      </c>
      <c r="M60" s="158">
        <f>'дод 3'!N113</f>
        <v>0</v>
      </c>
      <c r="N60" s="158">
        <f>'дод 3'!O113</f>
        <v>0</v>
      </c>
      <c r="O60" s="158">
        <f>'дод 3'!P113</f>
        <v>45209900</v>
      </c>
    </row>
    <row r="61" spans="1:15" s="77" customFormat="1" ht="47.25" x14ac:dyDescent="0.25">
      <c r="A61" s="156"/>
      <c r="B61" s="156"/>
      <c r="C61" s="157" t="s">
        <v>455</v>
      </c>
      <c r="D61" s="158">
        <f>'дод 3'!E114</f>
        <v>2977938.61</v>
      </c>
      <c r="E61" s="158">
        <f>'дод 3'!F114</f>
        <v>2977938.61</v>
      </c>
      <c r="F61" s="158">
        <f>'дод 3'!G114</f>
        <v>0</v>
      </c>
      <c r="G61" s="158">
        <f>'дод 3'!H114</f>
        <v>0</v>
      </c>
      <c r="H61" s="158">
        <f>'дод 3'!I114</f>
        <v>0</v>
      </c>
      <c r="I61" s="158">
        <f>'дод 3'!J114</f>
        <v>0</v>
      </c>
      <c r="J61" s="158">
        <f>'дод 3'!K114</f>
        <v>0</v>
      </c>
      <c r="K61" s="158">
        <f>'дод 3'!L114</f>
        <v>0</v>
      </c>
      <c r="L61" s="158">
        <f>'дод 3'!M114</f>
        <v>0</v>
      </c>
      <c r="M61" s="158">
        <f>'дод 3'!N114</f>
        <v>0</v>
      </c>
      <c r="N61" s="158">
        <f>'дод 3'!O114</f>
        <v>0</v>
      </c>
      <c r="O61" s="158">
        <f>'дод 3'!P114</f>
        <v>2977938.61</v>
      </c>
    </row>
    <row r="62" spans="1:15" s="77" customFormat="1" x14ac:dyDescent="0.25">
      <c r="A62" s="156"/>
      <c r="B62" s="156"/>
      <c r="C62" s="157" t="s">
        <v>457</v>
      </c>
      <c r="D62" s="158">
        <f>'дод 3'!E115</f>
        <v>60000</v>
      </c>
      <c r="E62" s="158">
        <f>'дод 3'!F115</f>
        <v>60000</v>
      </c>
      <c r="F62" s="158">
        <f>'дод 3'!G115</f>
        <v>0</v>
      </c>
      <c r="G62" s="158">
        <f>'дод 3'!H115</f>
        <v>0</v>
      </c>
      <c r="H62" s="158">
        <f>'дод 3'!I115</f>
        <v>0</v>
      </c>
      <c r="I62" s="158">
        <f>'дод 3'!J115</f>
        <v>0</v>
      </c>
      <c r="J62" s="158">
        <f>'дод 3'!K115</f>
        <v>0</v>
      </c>
      <c r="K62" s="158">
        <f>'дод 3'!L115</f>
        <v>0</v>
      </c>
      <c r="L62" s="158">
        <f>'дод 3'!M115</f>
        <v>0</v>
      </c>
      <c r="M62" s="158">
        <f>'дод 3'!N115</f>
        <v>0</v>
      </c>
      <c r="N62" s="158">
        <f>'дод 3'!O115</f>
        <v>0</v>
      </c>
      <c r="O62" s="158">
        <f>'дод 3'!P115</f>
        <v>60000</v>
      </c>
    </row>
    <row r="63" spans="1:15" ht="42.75" customHeight="1" x14ac:dyDescent="0.25">
      <c r="A63" s="46" t="s">
        <v>130</v>
      </c>
      <c r="B63" s="46" t="s">
        <v>68</v>
      </c>
      <c r="C63" s="6" t="s">
        <v>477</v>
      </c>
      <c r="D63" s="59">
        <f>'дод 3'!E116</f>
        <v>14740473</v>
      </c>
      <c r="E63" s="59">
        <f>'дод 3'!F116</f>
        <v>14740473</v>
      </c>
      <c r="F63" s="59">
        <f>'дод 3'!G116</f>
        <v>0</v>
      </c>
      <c r="G63" s="59">
        <f>'дод 3'!H116</f>
        <v>0</v>
      </c>
      <c r="H63" s="59">
        <f>'дод 3'!I116</f>
        <v>0</v>
      </c>
      <c r="I63" s="59">
        <f>'дод 3'!J116</f>
        <v>6800000</v>
      </c>
      <c r="J63" s="59">
        <f>'дод 3'!K116</f>
        <v>6800000</v>
      </c>
      <c r="K63" s="59">
        <f>'дод 3'!L116</f>
        <v>0</v>
      </c>
      <c r="L63" s="59">
        <f>'дод 3'!M116</f>
        <v>0</v>
      </c>
      <c r="M63" s="59">
        <f>'дод 3'!N116</f>
        <v>0</v>
      </c>
      <c r="N63" s="59">
        <f>'дод 3'!O116</f>
        <v>6800000</v>
      </c>
      <c r="O63" s="59">
        <f>'дод 3'!P116</f>
        <v>21540473</v>
      </c>
    </row>
    <row r="64" spans="1:15" s="77" customFormat="1" ht="31.5" x14ac:dyDescent="0.25">
      <c r="A64" s="156"/>
      <c r="B64" s="156"/>
      <c r="C64" s="157" t="s">
        <v>454</v>
      </c>
      <c r="D64" s="158">
        <f>'дод 3'!E117</f>
        <v>6347600</v>
      </c>
      <c r="E64" s="158">
        <f>'дод 3'!F117</f>
        <v>6347600</v>
      </c>
      <c r="F64" s="158">
        <f>'дод 3'!G117</f>
        <v>0</v>
      </c>
      <c r="G64" s="158">
        <f>'дод 3'!H117</f>
        <v>0</v>
      </c>
      <c r="H64" s="158">
        <f>'дод 3'!I117</f>
        <v>0</v>
      </c>
      <c r="I64" s="158">
        <f>'дод 3'!J117</f>
        <v>0</v>
      </c>
      <c r="J64" s="158">
        <f>'дод 3'!K117</f>
        <v>0</v>
      </c>
      <c r="K64" s="158">
        <f>'дод 3'!L117</f>
        <v>0</v>
      </c>
      <c r="L64" s="158">
        <f>'дод 3'!M117</f>
        <v>0</v>
      </c>
      <c r="M64" s="158">
        <f>'дод 3'!N117</f>
        <v>0</v>
      </c>
      <c r="N64" s="158">
        <f>'дод 3'!O117</f>
        <v>0</v>
      </c>
      <c r="O64" s="158">
        <f>'дод 3'!P117</f>
        <v>6347600</v>
      </c>
    </row>
    <row r="65" spans="1:15" ht="25.5" customHeight="1" x14ac:dyDescent="0.25">
      <c r="A65" s="46" t="s">
        <v>131</v>
      </c>
      <c r="B65" s="46" t="s">
        <v>69</v>
      </c>
      <c r="C65" s="6" t="s">
        <v>478</v>
      </c>
      <c r="D65" s="59">
        <f>'дод 3'!E118</f>
        <v>6663426</v>
      </c>
      <c r="E65" s="59">
        <f>'дод 3'!F118</f>
        <v>6663426</v>
      </c>
      <c r="F65" s="59">
        <f>'дод 3'!G118</f>
        <v>0</v>
      </c>
      <c r="G65" s="59">
        <f>'дод 3'!H118</f>
        <v>0</v>
      </c>
      <c r="H65" s="59">
        <f>'дод 3'!I118</f>
        <v>0</v>
      </c>
      <c r="I65" s="59">
        <f>'дод 3'!J118</f>
        <v>590000</v>
      </c>
      <c r="J65" s="59">
        <f>'дод 3'!K118</f>
        <v>590000</v>
      </c>
      <c r="K65" s="59">
        <f>'дод 3'!L118</f>
        <v>0</v>
      </c>
      <c r="L65" s="59">
        <f>'дод 3'!M118</f>
        <v>0</v>
      </c>
      <c r="M65" s="59">
        <f>'дод 3'!N118</f>
        <v>0</v>
      </c>
      <c r="N65" s="59">
        <f>'дод 3'!O118</f>
        <v>590000</v>
      </c>
      <c r="O65" s="59">
        <f>'дод 3'!P118</f>
        <v>7253426</v>
      </c>
    </row>
    <row r="66" spans="1:15" s="77" customFormat="1" ht="31.5" x14ac:dyDescent="0.25">
      <c r="A66" s="156"/>
      <c r="B66" s="156"/>
      <c r="C66" s="157" t="s">
        <v>454</v>
      </c>
      <c r="D66" s="158">
        <f>'дод 3'!E119</f>
        <v>1132200</v>
      </c>
      <c r="E66" s="158">
        <f>'дод 3'!F119</f>
        <v>1132200</v>
      </c>
      <c r="F66" s="158">
        <f>'дод 3'!G119</f>
        <v>0</v>
      </c>
      <c r="G66" s="158">
        <f>'дод 3'!H119</f>
        <v>0</v>
      </c>
      <c r="H66" s="158">
        <f>'дод 3'!I119</f>
        <v>0</v>
      </c>
      <c r="I66" s="158">
        <f>'дод 3'!J119</f>
        <v>0</v>
      </c>
      <c r="J66" s="158">
        <f>'дод 3'!K119</f>
        <v>0</v>
      </c>
      <c r="K66" s="158">
        <f>'дод 3'!L119</f>
        <v>0</v>
      </c>
      <c r="L66" s="158">
        <f>'дод 3'!M119</f>
        <v>0</v>
      </c>
      <c r="M66" s="158">
        <f>'дод 3'!N119</f>
        <v>0</v>
      </c>
      <c r="N66" s="158">
        <f>'дод 3'!O119</f>
        <v>0</v>
      </c>
      <c r="O66" s="158">
        <f>'дод 3'!P119</f>
        <v>1132200</v>
      </c>
    </row>
    <row r="67" spans="1:15" ht="54" customHeight="1" x14ac:dyDescent="0.25">
      <c r="A67" s="46" t="s">
        <v>132</v>
      </c>
      <c r="B67" s="46" t="s">
        <v>343</v>
      </c>
      <c r="C67" s="6" t="s">
        <v>479</v>
      </c>
      <c r="D67" s="59">
        <f>'дод 3'!E120</f>
        <v>1984936</v>
      </c>
      <c r="E67" s="59">
        <f>'дод 3'!F120</f>
        <v>1984936</v>
      </c>
      <c r="F67" s="59">
        <f>'дод 3'!G120</f>
        <v>0</v>
      </c>
      <c r="G67" s="59">
        <f>'дод 3'!H120</f>
        <v>0</v>
      </c>
      <c r="H67" s="59">
        <f>'дод 3'!I120</f>
        <v>0</v>
      </c>
      <c r="I67" s="59">
        <f>'дод 3'!J120</f>
        <v>0</v>
      </c>
      <c r="J67" s="59">
        <f>'дод 3'!K120</f>
        <v>0</v>
      </c>
      <c r="K67" s="59">
        <f>'дод 3'!L120</f>
        <v>0</v>
      </c>
      <c r="L67" s="59">
        <f>'дод 3'!M120</f>
        <v>0</v>
      </c>
      <c r="M67" s="59">
        <f>'дод 3'!N120</f>
        <v>0</v>
      </c>
      <c r="N67" s="59">
        <f>'дод 3'!O120</f>
        <v>0</v>
      </c>
      <c r="O67" s="59">
        <f>'дод 3'!P120</f>
        <v>1984936</v>
      </c>
    </row>
    <row r="68" spans="1:15" s="77" customFormat="1" ht="47.25" x14ac:dyDescent="0.25">
      <c r="A68" s="156"/>
      <c r="B68" s="156"/>
      <c r="C68" s="159" t="s">
        <v>456</v>
      </c>
      <c r="D68" s="158">
        <f>'дод 3'!E121</f>
        <v>2468</v>
      </c>
      <c r="E68" s="158">
        <f>'дод 3'!F121</f>
        <v>2468</v>
      </c>
      <c r="F68" s="158">
        <f>'дод 3'!G121</f>
        <v>0</v>
      </c>
      <c r="G68" s="158">
        <f>'дод 3'!H121</f>
        <v>0</v>
      </c>
      <c r="H68" s="158">
        <f>'дод 3'!I121</f>
        <v>0</v>
      </c>
      <c r="I68" s="158">
        <f>'дод 3'!J121</f>
        <v>0</v>
      </c>
      <c r="J68" s="158">
        <f>'дод 3'!K121</f>
        <v>0</v>
      </c>
      <c r="K68" s="158">
        <f>'дод 3'!L121</f>
        <v>0</v>
      </c>
      <c r="L68" s="158">
        <f>'дод 3'!M121</f>
        <v>0</v>
      </c>
      <c r="M68" s="158">
        <f>'дод 3'!N121</f>
        <v>0</v>
      </c>
      <c r="N68" s="158">
        <f>'дод 3'!O121</f>
        <v>0</v>
      </c>
      <c r="O68" s="158">
        <f>'дод 3'!P121</f>
        <v>2468</v>
      </c>
    </row>
    <row r="69" spans="1:15" ht="36.75" customHeight="1" x14ac:dyDescent="0.25">
      <c r="A69" s="49">
        <v>2144</v>
      </c>
      <c r="B69" s="46" t="s">
        <v>70</v>
      </c>
      <c r="C69" s="6" t="s">
        <v>480</v>
      </c>
      <c r="D69" s="59">
        <f>'дод 3'!E122</f>
        <v>7432709</v>
      </c>
      <c r="E69" s="59">
        <f>'дод 3'!F122</f>
        <v>7432709</v>
      </c>
      <c r="F69" s="59">
        <f>'дод 3'!G122</f>
        <v>0</v>
      </c>
      <c r="G69" s="59">
        <f>'дод 3'!H122</f>
        <v>0</v>
      </c>
      <c r="H69" s="59">
        <f>'дод 3'!I122</f>
        <v>0</v>
      </c>
      <c r="I69" s="59">
        <f>'дод 3'!J122</f>
        <v>0</v>
      </c>
      <c r="J69" s="59">
        <f>'дод 3'!K122</f>
        <v>0</v>
      </c>
      <c r="K69" s="59">
        <f>'дод 3'!L122</f>
        <v>0</v>
      </c>
      <c r="L69" s="59">
        <f>'дод 3'!M122</f>
        <v>0</v>
      </c>
      <c r="M69" s="59">
        <f>'дод 3'!N122</f>
        <v>0</v>
      </c>
      <c r="N69" s="59">
        <f>'дод 3'!O122</f>
        <v>0</v>
      </c>
      <c r="O69" s="59">
        <f>'дод 3'!P122</f>
        <v>7432709</v>
      </c>
    </row>
    <row r="70" spans="1:15" s="77" customFormat="1" ht="47.25" x14ac:dyDescent="0.25">
      <c r="A70" s="160"/>
      <c r="B70" s="156"/>
      <c r="C70" s="157" t="s">
        <v>455</v>
      </c>
      <c r="D70" s="158">
        <f>'дод 3'!E123</f>
        <v>1490140</v>
      </c>
      <c r="E70" s="158">
        <f>'дод 3'!F123</f>
        <v>1490140</v>
      </c>
      <c r="F70" s="158">
        <f>'дод 3'!G123</f>
        <v>0</v>
      </c>
      <c r="G70" s="158">
        <f>'дод 3'!H123</f>
        <v>0</v>
      </c>
      <c r="H70" s="158">
        <f>'дод 3'!I123</f>
        <v>0</v>
      </c>
      <c r="I70" s="158">
        <f>'дод 3'!J123</f>
        <v>0</v>
      </c>
      <c r="J70" s="158">
        <f>'дод 3'!K123</f>
        <v>0</v>
      </c>
      <c r="K70" s="158">
        <f>'дод 3'!L123</f>
        <v>0</v>
      </c>
      <c r="L70" s="158">
        <f>'дод 3'!M123</f>
        <v>0</v>
      </c>
      <c r="M70" s="158">
        <f>'дод 3'!N123</f>
        <v>0</v>
      </c>
      <c r="N70" s="158">
        <f>'дод 3'!O123</f>
        <v>0</v>
      </c>
      <c r="O70" s="158">
        <f>'дод 3'!P123</f>
        <v>1490140</v>
      </c>
    </row>
    <row r="71" spans="1:15" s="77" customFormat="1" ht="47.25" x14ac:dyDescent="0.25">
      <c r="A71" s="160"/>
      <c r="B71" s="156"/>
      <c r="C71" s="157" t="s">
        <v>456</v>
      </c>
      <c r="D71" s="158">
        <f>'дод 3'!E124</f>
        <v>4342569</v>
      </c>
      <c r="E71" s="158">
        <f>'дод 3'!F124</f>
        <v>4342569</v>
      </c>
      <c r="F71" s="158">
        <f>'дод 3'!G124</f>
        <v>0</v>
      </c>
      <c r="G71" s="158">
        <f>'дод 3'!H124</f>
        <v>0</v>
      </c>
      <c r="H71" s="158">
        <f>'дод 3'!I124</f>
        <v>0</v>
      </c>
      <c r="I71" s="158">
        <f>'дод 3'!J124</f>
        <v>0</v>
      </c>
      <c r="J71" s="158">
        <f>'дод 3'!K124</f>
        <v>0</v>
      </c>
      <c r="K71" s="158">
        <f>'дод 3'!L124</f>
        <v>0</v>
      </c>
      <c r="L71" s="158">
        <f>'дод 3'!M124</f>
        <v>0</v>
      </c>
      <c r="M71" s="158">
        <f>'дод 3'!N124</f>
        <v>0</v>
      </c>
      <c r="N71" s="158">
        <f>'дод 3'!O124</f>
        <v>0</v>
      </c>
      <c r="O71" s="158">
        <f>'дод 3'!P124</f>
        <v>4342569</v>
      </c>
    </row>
    <row r="72" spans="1:15" ht="37.5" customHeight="1" x14ac:dyDescent="0.25">
      <c r="A72" s="46" t="s">
        <v>310</v>
      </c>
      <c r="B72" s="46" t="s">
        <v>70</v>
      </c>
      <c r="C72" s="3" t="s">
        <v>312</v>
      </c>
      <c r="D72" s="59">
        <f>'дод 3'!E125</f>
        <v>2894213</v>
      </c>
      <c r="E72" s="59">
        <f>'дод 3'!F125</f>
        <v>2894213</v>
      </c>
      <c r="F72" s="59">
        <f>'дод 3'!G125</f>
        <v>0</v>
      </c>
      <c r="G72" s="59">
        <f>'дод 3'!H125</f>
        <v>0</v>
      </c>
      <c r="H72" s="59">
        <f>'дод 3'!I125</f>
        <v>0</v>
      </c>
      <c r="I72" s="59">
        <f>'дод 3'!J125</f>
        <v>0</v>
      </c>
      <c r="J72" s="59">
        <f>'дод 3'!K125</f>
        <v>0</v>
      </c>
      <c r="K72" s="59">
        <f>'дод 3'!L125</f>
        <v>0</v>
      </c>
      <c r="L72" s="59">
        <f>'дод 3'!M125</f>
        <v>0</v>
      </c>
      <c r="M72" s="59">
        <f>'дод 3'!N125</f>
        <v>0</v>
      </c>
      <c r="N72" s="59">
        <f>'дод 3'!O125</f>
        <v>0</v>
      </c>
      <c r="O72" s="59">
        <f>'дод 3'!P125</f>
        <v>2894213</v>
      </c>
    </row>
    <row r="73" spans="1:15" ht="21.75" customHeight="1" x14ac:dyDescent="0.25">
      <c r="A73" s="46" t="s">
        <v>311</v>
      </c>
      <c r="B73" s="46" t="s">
        <v>70</v>
      </c>
      <c r="C73" s="3" t="s">
        <v>313</v>
      </c>
      <c r="D73" s="59">
        <f>'дод 3'!E126</f>
        <v>34553833</v>
      </c>
      <c r="E73" s="59">
        <f>'дод 3'!F126</f>
        <v>34553833</v>
      </c>
      <c r="F73" s="59">
        <f>'дод 3'!G126</f>
        <v>0</v>
      </c>
      <c r="G73" s="59">
        <f>'дод 3'!H126</f>
        <v>0</v>
      </c>
      <c r="H73" s="59">
        <f>'дод 3'!I126</f>
        <v>0</v>
      </c>
      <c r="I73" s="59">
        <f>'дод 3'!J126</f>
        <v>14923300</v>
      </c>
      <c r="J73" s="59">
        <f>'дод 3'!K126</f>
        <v>14923300</v>
      </c>
      <c r="K73" s="59">
        <f>'дод 3'!L126</f>
        <v>0</v>
      </c>
      <c r="L73" s="59">
        <f>'дод 3'!M126</f>
        <v>0</v>
      </c>
      <c r="M73" s="59">
        <f>'дод 3'!N126</f>
        <v>0</v>
      </c>
      <c r="N73" s="59">
        <f>'дод 3'!O126</f>
        <v>14923300</v>
      </c>
      <c r="O73" s="59">
        <f>'дод 3'!P126</f>
        <v>49477133</v>
      </c>
    </row>
    <row r="74" spans="1:15" s="75" customFormat="1" ht="34.5" customHeight="1" x14ac:dyDescent="0.25">
      <c r="A74" s="47" t="s">
        <v>71</v>
      </c>
      <c r="B74" s="50"/>
      <c r="C74" s="2" t="s">
        <v>481</v>
      </c>
      <c r="D74" s="58">
        <f>SUM(D78+D79+D80+D82+D83+D84+D86+D88+D89+D90+D91+D92+D93+D94+D95+D97+D99+D100+D101+D102+D103+D104+D106+D108+D109)</f>
        <v>112825900.40000001</v>
      </c>
      <c r="E74" s="58">
        <f t="shared" ref="E74:O74" si="14">SUM(E78+E79+E80+E82+E83+E84+E86+E88+E89+E90+E91+E92+E93+E94+E95+E97+E99+E100+E101+E102+E103+E104+E106+E108+E109)</f>
        <v>112825900.40000001</v>
      </c>
      <c r="F74" s="58">
        <f t="shared" si="14"/>
        <v>16632985</v>
      </c>
      <c r="G74" s="58">
        <f t="shared" si="14"/>
        <v>887160</v>
      </c>
      <c r="H74" s="58">
        <f t="shared" si="14"/>
        <v>0</v>
      </c>
      <c r="I74" s="58">
        <f t="shared" si="14"/>
        <v>1094940</v>
      </c>
      <c r="J74" s="58">
        <f t="shared" si="14"/>
        <v>986840</v>
      </c>
      <c r="K74" s="58">
        <f t="shared" si="14"/>
        <v>108100</v>
      </c>
      <c r="L74" s="58">
        <f t="shared" si="14"/>
        <v>85100</v>
      </c>
      <c r="M74" s="58">
        <f t="shared" si="14"/>
        <v>0</v>
      </c>
      <c r="N74" s="58">
        <f t="shared" si="14"/>
        <v>986840</v>
      </c>
      <c r="O74" s="58">
        <f t="shared" si="14"/>
        <v>113920840.40000001</v>
      </c>
    </row>
    <row r="75" spans="1:15" s="76" customFormat="1" x14ac:dyDescent="0.25">
      <c r="A75" s="137"/>
      <c r="B75" s="138"/>
      <c r="C75" s="153" t="s">
        <v>459</v>
      </c>
      <c r="D75" s="154">
        <f>D81+D85+D87+D96+D98+D110</f>
        <v>4018766.9</v>
      </c>
      <c r="E75" s="154">
        <f t="shared" ref="E75:O75" si="15">E81+E85+E87+E96+E98+E110</f>
        <v>4018766.9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0</v>
      </c>
      <c r="K75" s="154">
        <f t="shared" si="15"/>
        <v>0</v>
      </c>
      <c r="L75" s="154">
        <f t="shared" si="15"/>
        <v>0</v>
      </c>
      <c r="M75" s="154">
        <f t="shared" si="15"/>
        <v>0</v>
      </c>
      <c r="N75" s="154">
        <f t="shared" si="15"/>
        <v>0</v>
      </c>
      <c r="O75" s="154">
        <f t="shared" si="15"/>
        <v>4018766.9</v>
      </c>
    </row>
    <row r="76" spans="1:15" s="76" customFormat="1" hidden="1" x14ac:dyDescent="0.25">
      <c r="A76" s="137"/>
      <c r="B76" s="138"/>
      <c r="C76" s="155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</row>
    <row r="77" spans="1:15" s="76" customFormat="1" hidden="1" x14ac:dyDescent="0.25">
      <c r="A77" s="137"/>
      <c r="B77" s="138"/>
      <c r="C77" s="155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</row>
    <row r="78" spans="1:15" ht="45" customHeight="1" x14ac:dyDescent="0.25">
      <c r="A78" s="46" t="s">
        <v>105</v>
      </c>
      <c r="B78" s="46" t="s">
        <v>56</v>
      </c>
      <c r="C78" s="3" t="s">
        <v>133</v>
      </c>
      <c r="D78" s="59">
        <f>'дод 3'!E140</f>
        <v>582400</v>
      </c>
      <c r="E78" s="59">
        <f>'дод 3'!F140</f>
        <v>582400</v>
      </c>
      <c r="F78" s="59">
        <f>'дод 3'!G140</f>
        <v>0</v>
      </c>
      <c r="G78" s="59">
        <f>'дод 3'!H140</f>
        <v>0</v>
      </c>
      <c r="H78" s="59">
        <f>'дод 3'!I140</f>
        <v>0</v>
      </c>
      <c r="I78" s="59">
        <f>'дод 3'!J140</f>
        <v>0</v>
      </c>
      <c r="J78" s="59">
        <f>'дод 3'!K140</f>
        <v>0</v>
      </c>
      <c r="K78" s="59">
        <f>'дод 3'!L140</f>
        <v>0</v>
      </c>
      <c r="L78" s="59">
        <f>'дод 3'!M140</f>
        <v>0</v>
      </c>
      <c r="M78" s="59">
        <f>'дод 3'!N140</f>
        <v>0</v>
      </c>
      <c r="N78" s="59">
        <f>'дод 3'!O140</f>
        <v>0</v>
      </c>
      <c r="O78" s="59">
        <f>'дод 3'!P140</f>
        <v>582400</v>
      </c>
    </row>
    <row r="79" spans="1:15" ht="41.25" customHeight="1" x14ac:dyDescent="0.25">
      <c r="A79" s="46" t="s">
        <v>134</v>
      </c>
      <c r="B79" s="46" t="s">
        <v>58</v>
      </c>
      <c r="C79" s="3" t="s">
        <v>397</v>
      </c>
      <c r="D79" s="59">
        <f>'дод 3'!E141</f>
        <v>1225635</v>
      </c>
      <c r="E79" s="59">
        <f>'дод 3'!F141</f>
        <v>1225635</v>
      </c>
      <c r="F79" s="59">
        <f>'дод 3'!G141</f>
        <v>0</v>
      </c>
      <c r="G79" s="59">
        <f>'дод 3'!H141</f>
        <v>0</v>
      </c>
      <c r="H79" s="59">
        <f>'дод 3'!I141</f>
        <v>0</v>
      </c>
      <c r="I79" s="59">
        <f>'дод 3'!J141</f>
        <v>0</v>
      </c>
      <c r="J79" s="59">
        <f>'дод 3'!K141</f>
        <v>0</v>
      </c>
      <c r="K79" s="59">
        <f>'дод 3'!L141</f>
        <v>0</v>
      </c>
      <c r="L79" s="59">
        <f>'дод 3'!M141</f>
        <v>0</v>
      </c>
      <c r="M79" s="59">
        <f>'дод 3'!N141</f>
        <v>0</v>
      </c>
      <c r="N79" s="59">
        <f>'дод 3'!O141</f>
        <v>0</v>
      </c>
      <c r="O79" s="59">
        <f>'дод 3'!P141</f>
        <v>1225635</v>
      </c>
    </row>
    <row r="80" spans="1:15" ht="54.75" customHeight="1" x14ac:dyDescent="0.25">
      <c r="A80" s="46" t="s">
        <v>106</v>
      </c>
      <c r="B80" s="46" t="s">
        <v>58</v>
      </c>
      <c r="C80" s="3" t="s">
        <v>490</v>
      </c>
      <c r="D80" s="59">
        <f>'дод 3'!E142+'дод 3'!E23</f>
        <v>16282581.899999999</v>
      </c>
      <c r="E80" s="59">
        <f>'дод 3'!F142+'дод 3'!F23</f>
        <v>16282581.899999999</v>
      </c>
      <c r="F80" s="59">
        <f>'дод 3'!G142+'дод 3'!G23</f>
        <v>0</v>
      </c>
      <c r="G80" s="59">
        <f>'дод 3'!H142+'дод 3'!H23</f>
        <v>0</v>
      </c>
      <c r="H80" s="59">
        <f>'дод 3'!I142+'дод 3'!I23</f>
        <v>0</v>
      </c>
      <c r="I80" s="59">
        <f>'дод 3'!J142+'дод 3'!J23</f>
        <v>0</v>
      </c>
      <c r="J80" s="59">
        <f>'дод 3'!K142+'дод 3'!K23</f>
        <v>0</v>
      </c>
      <c r="K80" s="59">
        <f>'дод 3'!L142+'дод 3'!L23</f>
        <v>0</v>
      </c>
      <c r="L80" s="59">
        <f>'дод 3'!M142+'дод 3'!M23</f>
        <v>0</v>
      </c>
      <c r="M80" s="59">
        <f>'дод 3'!N142+'дод 3'!N23</f>
        <v>0</v>
      </c>
      <c r="N80" s="59">
        <f>'дод 3'!O142+'дод 3'!O23</f>
        <v>0</v>
      </c>
      <c r="O80" s="59">
        <f>'дод 3'!P142+'дод 3'!P23</f>
        <v>16282581.899999999</v>
      </c>
    </row>
    <row r="81" spans="1:15" s="77" customFormat="1" x14ac:dyDescent="0.25">
      <c r="A81" s="156"/>
      <c r="B81" s="156"/>
      <c r="C81" s="157" t="s">
        <v>457</v>
      </c>
      <c r="D81" s="158">
        <f>'дод 3'!E143</f>
        <v>2360381.9</v>
      </c>
      <c r="E81" s="158">
        <f>'дод 3'!F143</f>
        <v>2360381.9</v>
      </c>
      <c r="F81" s="158">
        <f>'дод 3'!G143</f>
        <v>0</v>
      </c>
      <c r="G81" s="158">
        <f>'дод 3'!H143</f>
        <v>0</v>
      </c>
      <c r="H81" s="158">
        <f>'дод 3'!I143</f>
        <v>0</v>
      </c>
      <c r="I81" s="158">
        <f>'дод 3'!J143</f>
        <v>0</v>
      </c>
      <c r="J81" s="158">
        <f>'дод 3'!K143</f>
        <v>0</v>
      </c>
      <c r="K81" s="158">
        <f>'дод 3'!L143</f>
        <v>0</v>
      </c>
      <c r="L81" s="158">
        <f>'дод 3'!M143</f>
        <v>0</v>
      </c>
      <c r="M81" s="158">
        <f>'дод 3'!N143</f>
        <v>0</v>
      </c>
      <c r="N81" s="158">
        <f>'дод 3'!O143</f>
        <v>0</v>
      </c>
      <c r="O81" s="158">
        <f>'дод 3'!P143</f>
        <v>2360381.9</v>
      </c>
    </row>
    <row r="82" spans="1:15" ht="46.5" customHeight="1" x14ac:dyDescent="0.25">
      <c r="A82" s="46" t="s">
        <v>355</v>
      </c>
      <c r="B82" s="46" t="s">
        <v>58</v>
      </c>
      <c r="C82" s="3" t="s">
        <v>354</v>
      </c>
      <c r="D82" s="59">
        <f>'дод 3'!E144</f>
        <v>1000000</v>
      </c>
      <c r="E82" s="59">
        <f>'дод 3'!F144</f>
        <v>1000000</v>
      </c>
      <c r="F82" s="59">
        <f>'дод 3'!G144</f>
        <v>0</v>
      </c>
      <c r="G82" s="59">
        <f>'дод 3'!H144</f>
        <v>0</v>
      </c>
      <c r="H82" s="59">
        <f>'дод 3'!I144</f>
        <v>0</v>
      </c>
      <c r="I82" s="59">
        <f>'дод 3'!J144</f>
        <v>0</v>
      </c>
      <c r="J82" s="59">
        <f>'дод 3'!K144</f>
        <v>0</v>
      </c>
      <c r="K82" s="59">
        <f>'дод 3'!L144</f>
        <v>0</v>
      </c>
      <c r="L82" s="59">
        <f>'дод 3'!M144</f>
        <v>0</v>
      </c>
      <c r="M82" s="59">
        <f>'дод 3'!N144</f>
        <v>0</v>
      </c>
      <c r="N82" s="59">
        <f>'дод 3'!O144</f>
        <v>0</v>
      </c>
      <c r="O82" s="59">
        <f>'дод 3'!P144</f>
        <v>1000000</v>
      </c>
    </row>
    <row r="83" spans="1:15" ht="45" customHeight="1" x14ac:dyDescent="0.25">
      <c r="A83" s="46" t="s">
        <v>135</v>
      </c>
      <c r="B83" s="46" t="s">
        <v>58</v>
      </c>
      <c r="C83" s="3" t="s">
        <v>20</v>
      </c>
      <c r="D83" s="59">
        <f>'дод 3'!E145+'дод 3'!E24</f>
        <v>24286480.5</v>
      </c>
      <c r="E83" s="59">
        <f>'дод 3'!F145+'дод 3'!F24</f>
        <v>24286480.5</v>
      </c>
      <c r="F83" s="59">
        <f>'дод 3'!G145+'дод 3'!G24</f>
        <v>0</v>
      </c>
      <c r="G83" s="59">
        <f>'дод 3'!H145+'дод 3'!H24</f>
        <v>0</v>
      </c>
      <c r="H83" s="59">
        <f>'дод 3'!I145+'дод 3'!I24</f>
        <v>0</v>
      </c>
      <c r="I83" s="59">
        <f>'дод 3'!J145+'дод 3'!J24</f>
        <v>0</v>
      </c>
      <c r="J83" s="59">
        <f>'дод 3'!K145+'дод 3'!K24</f>
        <v>0</v>
      </c>
      <c r="K83" s="59">
        <f>'дод 3'!L145+'дод 3'!L24</f>
        <v>0</v>
      </c>
      <c r="L83" s="59">
        <f>'дод 3'!M145+'дод 3'!M24</f>
        <v>0</v>
      </c>
      <c r="M83" s="59">
        <f>'дод 3'!N145+'дод 3'!N24</f>
        <v>0</v>
      </c>
      <c r="N83" s="59">
        <f>'дод 3'!O145+'дод 3'!O24</f>
        <v>0</v>
      </c>
      <c r="O83" s="59">
        <f>'дод 3'!P145+'дод 3'!P24</f>
        <v>24286480.5</v>
      </c>
    </row>
    <row r="84" spans="1:15" ht="40.5" customHeight="1" x14ac:dyDescent="0.25">
      <c r="A84" s="46" t="s">
        <v>108</v>
      </c>
      <c r="B84" s="46" t="s">
        <v>58</v>
      </c>
      <c r="C84" s="3" t="s">
        <v>491</v>
      </c>
      <c r="D84" s="59">
        <f>'дод 3'!E146</f>
        <v>853000</v>
      </c>
      <c r="E84" s="59">
        <f>'дод 3'!F146</f>
        <v>853000</v>
      </c>
      <c r="F84" s="59">
        <f>'дод 3'!G146</f>
        <v>0</v>
      </c>
      <c r="G84" s="59">
        <f>'дод 3'!H146</f>
        <v>0</v>
      </c>
      <c r="H84" s="59">
        <f>'дод 3'!I146</f>
        <v>0</v>
      </c>
      <c r="I84" s="59">
        <f>'дод 3'!J146</f>
        <v>0</v>
      </c>
      <c r="J84" s="59">
        <f>'дод 3'!K146</f>
        <v>0</v>
      </c>
      <c r="K84" s="59">
        <f>'дод 3'!L146</f>
        <v>0</v>
      </c>
      <c r="L84" s="59">
        <f>'дод 3'!M146</f>
        <v>0</v>
      </c>
      <c r="M84" s="59">
        <f>'дод 3'!N146</f>
        <v>0</v>
      </c>
      <c r="N84" s="59">
        <f>'дод 3'!O146</f>
        <v>0</v>
      </c>
      <c r="O84" s="59">
        <f>'дод 3'!P146</f>
        <v>853000</v>
      </c>
    </row>
    <row r="85" spans="1:15" s="77" customFormat="1" x14ac:dyDescent="0.25">
      <c r="A85" s="156"/>
      <c r="B85" s="156"/>
      <c r="C85" s="157" t="s">
        <v>457</v>
      </c>
      <c r="D85" s="158">
        <f>'дод 3'!E147</f>
        <v>853000</v>
      </c>
      <c r="E85" s="158">
        <f>'дод 3'!F147</f>
        <v>853000</v>
      </c>
      <c r="F85" s="158">
        <f>'дод 3'!G147</f>
        <v>0</v>
      </c>
      <c r="G85" s="158">
        <f>'дод 3'!H147</f>
        <v>0</v>
      </c>
      <c r="H85" s="158">
        <f>'дод 3'!I147</f>
        <v>0</v>
      </c>
      <c r="I85" s="158">
        <f>'дод 3'!J147</f>
        <v>0</v>
      </c>
      <c r="J85" s="158">
        <f>'дод 3'!K147</f>
        <v>0</v>
      </c>
      <c r="K85" s="158">
        <f>'дод 3'!L147</f>
        <v>0</v>
      </c>
      <c r="L85" s="158">
        <f>'дод 3'!M147</f>
        <v>0</v>
      </c>
      <c r="M85" s="158">
        <f>'дод 3'!N147</f>
        <v>0</v>
      </c>
      <c r="N85" s="158">
        <f>'дод 3'!O147</f>
        <v>0</v>
      </c>
      <c r="O85" s="158">
        <f>'дод 3'!P147</f>
        <v>853000</v>
      </c>
    </row>
    <row r="86" spans="1:15" ht="40.5" customHeight="1" x14ac:dyDescent="0.25">
      <c r="A86" s="46" t="s">
        <v>346</v>
      </c>
      <c r="B86" s="46" t="s">
        <v>56</v>
      </c>
      <c r="C86" s="3" t="s">
        <v>492</v>
      </c>
      <c r="D86" s="59">
        <f>'дод 3'!E148</f>
        <v>228400</v>
      </c>
      <c r="E86" s="59">
        <f>'дод 3'!F148</f>
        <v>228400</v>
      </c>
      <c r="F86" s="59">
        <f>'дод 3'!G148</f>
        <v>0</v>
      </c>
      <c r="G86" s="59">
        <f>'дод 3'!H148</f>
        <v>0</v>
      </c>
      <c r="H86" s="59">
        <f>'дод 3'!I148</f>
        <v>0</v>
      </c>
      <c r="I86" s="59">
        <f>'дод 3'!J148</f>
        <v>0</v>
      </c>
      <c r="J86" s="59">
        <f>'дод 3'!K148</f>
        <v>0</v>
      </c>
      <c r="K86" s="59">
        <f>'дод 3'!L148</f>
        <v>0</v>
      </c>
      <c r="L86" s="59">
        <f>'дод 3'!M148</f>
        <v>0</v>
      </c>
      <c r="M86" s="59">
        <f>'дод 3'!N148</f>
        <v>0</v>
      </c>
      <c r="N86" s="59">
        <f>'дод 3'!O148</f>
        <v>0</v>
      </c>
      <c r="O86" s="59">
        <f>'дод 3'!P148</f>
        <v>228400</v>
      </c>
    </row>
    <row r="87" spans="1:15" s="77" customFormat="1" x14ac:dyDescent="0.25">
      <c r="A87" s="156"/>
      <c r="B87" s="156"/>
      <c r="C87" s="157" t="s">
        <v>457</v>
      </c>
      <c r="D87" s="158">
        <f>'дод 3'!E149</f>
        <v>228400</v>
      </c>
      <c r="E87" s="158">
        <f>'дод 3'!F149</f>
        <v>228400</v>
      </c>
      <c r="F87" s="158">
        <f>'дод 3'!G149</f>
        <v>0</v>
      </c>
      <c r="G87" s="158">
        <f>'дод 3'!H149</f>
        <v>0</v>
      </c>
      <c r="H87" s="158">
        <f>'дод 3'!I149</f>
        <v>0</v>
      </c>
      <c r="I87" s="158">
        <f>'дод 3'!J149</f>
        <v>0</v>
      </c>
      <c r="J87" s="158">
        <f>'дод 3'!K149</f>
        <v>0</v>
      </c>
      <c r="K87" s="158">
        <f>'дод 3'!L149</f>
        <v>0</v>
      </c>
      <c r="L87" s="158">
        <f>'дод 3'!M149</f>
        <v>0</v>
      </c>
      <c r="M87" s="158">
        <f>'дод 3'!N149</f>
        <v>0</v>
      </c>
      <c r="N87" s="158">
        <f>'дод 3'!O149</f>
        <v>0</v>
      </c>
      <c r="O87" s="158">
        <f>'дод 3'!P149</f>
        <v>228400</v>
      </c>
    </row>
    <row r="88" spans="1:15" ht="74.25" customHeight="1" x14ac:dyDescent="0.25">
      <c r="A88" s="46" t="s">
        <v>109</v>
      </c>
      <c r="B88" s="46" t="s">
        <v>54</v>
      </c>
      <c r="C88" s="3" t="s">
        <v>34</v>
      </c>
      <c r="D88" s="59">
        <f>'дод 3'!E150</f>
        <v>13559030</v>
      </c>
      <c r="E88" s="59">
        <f>'дод 3'!F150</f>
        <v>13559030</v>
      </c>
      <c r="F88" s="59">
        <f>'дод 3'!G150</f>
        <v>10389550</v>
      </c>
      <c r="G88" s="59">
        <f>'дод 3'!H150</f>
        <v>230060</v>
      </c>
      <c r="H88" s="59">
        <f>'дод 3'!I150</f>
        <v>0</v>
      </c>
      <c r="I88" s="59">
        <f>'дод 3'!J150</f>
        <v>478300</v>
      </c>
      <c r="J88" s="59">
        <f>'дод 3'!K150</f>
        <v>370200</v>
      </c>
      <c r="K88" s="59">
        <f>'дод 3'!L150</f>
        <v>108100</v>
      </c>
      <c r="L88" s="59">
        <f>'дод 3'!M150</f>
        <v>85100</v>
      </c>
      <c r="M88" s="59">
        <f>'дод 3'!N150</f>
        <v>0</v>
      </c>
      <c r="N88" s="59">
        <f>'дод 3'!O150</f>
        <v>370200</v>
      </c>
      <c r="O88" s="59">
        <f>'дод 3'!P150</f>
        <v>14037330</v>
      </c>
    </row>
    <row r="89" spans="1:15" ht="69.75" customHeight="1" x14ac:dyDescent="0.25">
      <c r="A89" s="46" t="s">
        <v>366</v>
      </c>
      <c r="B89" s="46" t="s">
        <v>107</v>
      </c>
      <c r="C89" s="42" t="s">
        <v>367</v>
      </c>
      <c r="D89" s="59">
        <f>SUM('дод 3'!E173)</f>
        <v>0</v>
      </c>
      <c r="E89" s="59">
        <f>SUM('дод 3'!F173)</f>
        <v>0</v>
      </c>
      <c r="F89" s="59">
        <f>SUM('дод 3'!G173)</f>
        <v>0</v>
      </c>
      <c r="G89" s="59">
        <f>SUM('дод 3'!H173)</f>
        <v>0</v>
      </c>
      <c r="H89" s="59">
        <f>SUM('дод 3'!I173)</f>
        <v>0</v>
      </c>
      <c r="I89" s="59">
        <f>SUM('дод 3'!J173)</f>
        <v>20000</v>
      </c>
      <c r="J89" s="59">
        <f>SUM('дод 3'!K173)</f>
        <v>20000</v>
      </c>
      <c r="K89" s="59">
        <f>SUM('дод 3'!L173)</f>
        <v>0</v>
      </c>
      <c r="L89" s="59">
        <f>SUM('дод 3'!M173)</f>
        <v>0</v>
      </c>
      <c r="M89" s="59">
        <f>SUM('дод 3'!N173)</f>
        <v>0</v>
      </c>
      <c r="N89" s="59">
        <f>SUM('дод 3'!O173)</f>
        <v>20000</v>
      </c>
      <c r="O89" s="59">
        <f>SUM('дод 3'!P173)</f>
        <v>20000</v>
      </c>
    </row>
    <row r="90" spans="1:15" s="77" customFormat="1" ht="43.5" customHeight="1" x14ac:dyDescent="0.25">
      <c r="A90" s="46" t="s">
        <v>110</v>
      </c>
      <c r="B90" s="46" t="s">
        <v>107</v>
      </c>
      <c r="C90" s="3" t="s">
        <v>35</v>
      </c>
      <c r="D90" s="59">
        <f>'дод 3'!E174</f>
        <v>90500</v>
      </c>
      <c r="E90" s="59">
        <f>'дод 3'!F174</f>
        <v>90500</v>
      </c>
      <c r="F90" s="59">
        <f>'дод 3'!G174</f>
        <v>0</v>
      </c>
      <c r="G90" s="59">
        <f>'дод 3'!H174</f>
        <v>0</v>
      </c>
      <c r="H90" s="59">
        <f>'дод 3'!I174</f>
        <v>0</v>
      </c>
      <c r="I90" s="59">
        <f>'дод 3'!J174</f>
        <v>0</v>
      </c>
      <c r="J90" s="59">
        <f>'дод 3'!K174</f>
        <v>0</v>
      </c>
      <c r="K90" s="59">
        <f>'дод 3'!L174</f>
        <v>0</v>
      </c>
      <c r="L90" s="59">
        <f>'дод 3'!M174</f>
        <v>0</v>
      </c>
      <c r="M90" s="59">
        <f>'дод 3'!N174</f>
        <v>0</v>
      </c>
      <c r="N90" s="59">
        <f>'дод 3'!O174</f>
        <v>0</v>
      </c>
      <c r="O90" s="59">
        <f>'дод 3'!P174</f>
        <v>90500</v>
      </c>
    </row>
    <row r="91" spans="1:15" s="77" customFormat="1" ht="38.25" customHeight="1" x14ac:dyDescent="0.25">
      <c r="A91" s="46" t="s">
        <v>136</v>
      </c>
      <c r="B91" s="46" t="s">
        <v>107</v>
      </c>
      <c r="C91" s="3" t="s">
        <v>137</v>
      </c>
      <c r="D91" s="59">
        <f>'дод 3'!E25</f>
        <v>2529735</v>
      </c>
      <c r="E91" s="59">
        <f>'дод 3'!F25</f>
        <v>2529735</v>
      </c>
      <c r="F91" s="59">
        <f>'дод 3'!G25</f>
        <v>1883250</v>
      </c>
      <c r="G91" s="59">
        <f>'дод 3'!H25</f>
        <v>50170</v>
      </c>
      <c r="H91" s="59">
        <f>'дод 3'!I25</f>
        <v>0</v>
      </c>
      <c r="I91" s="59">
        <f>'дод 3'!J25</f>
        <v>0</v>
      </c>
      <c r="J91" s="59">
        <f>'дод 3'!K25</f>
        <v>0</v>
      </c>
      <c r="K91" s="59">
        <f>'дод 3'!L25</f>
        <v>0</v>
      </c>
      <c r="L91" s="59">
        <f>'дод 3'!M25</f>
        <v>0</v>
      </c>
      <c r="M91" s="59">
        <f>'дод 3'!N25</f>
        <v>0</v>
      </c>
      <c r="N91" s="59">
        <f>'дод 3'!O25</f>
        <v>0</v>
      </c>
      <c r="O91" s="59">
        <f>'дод 3'!P25</f>
        <v>2529735</v>
      </c>
    </row>
    <row r="92" spans="1:15" s="77" customFormat="1" ht="46.5" customHeight="1" x14ac:dyDescent="0.25">
      <c r="A92" s="49" t="s">
        <v>114</v>
      </c>
      <c r="B92" s="49" t="s">
        <v>107</v>
      </c>
      <c r="C92" s="3" t="s">
        <v>375</v>
      </c>
      <c r="D92" s="59">
        <f>'дод 3'!E26</f>
        <v>929000</v>
      </c>
      <c r="E92" s="59">
        <f>'дод 3'!F26</f>
        <v>929000</v>
      </c>
      <c r="F92" s="59">
        <f>'дод 3'!G26</f>
        <v>0</v>
      </c>
      <c r="G92" s="59">
        <f>'дод 3'!H26</f>
        <v>0</v>
      </c>
      <c r="H92" s="59">
        <f>'дод 3'!I26</f>
        <v>0</v>
      </c>
      <c r="I92" s="59">
        <f>'дод 3'!J26</f>
        <v>0</v>
      </c>
      <c r="J92" s="59">
        <f>'дод 3'!K26</f>
        <v>0</v>
      </c>
      <c r="K92" s="59">
        <f>'дод 3'!L26</f>
        <v>0</v>
      </c>
      <c r="L92" s="59">
        <f>'дод 3'!M26</f>
        <v>0</v>
      </c>
      <c r="M92" s="59">
        <f>'дод 3'!N26</f>
        <v>0</v>
      </c>
      <c r="N92" s="59">
        <f>'дод 3'!O26</f>
        <v>0</v>
      </c>
      <c r="O92" s="59">
        <f>'дод 3'!P26</f>
        <v>929000</v>
      </c>
    </row>
    <row r="93" spans="1:15" ht="69" customHeight="1" x14ac:dyDescent="0.25">
      <c r="A93" s="46" t="s">
        <v>115</v>
      </c>
      <c r="B93" s="46" t="s">
        <v>107</v>
      </c>
      <c r="C93" s="6" t="s">
        <v>22</v>
      </c>
      <c r="D93" s="59">
        <f>'дод 3'!E91+'дод 3'!E27</f>
        <v>349500</v>
      </c>
      <c r="E93" s="59">
        <f>'дод 3'!F91+'дод 3'!F27</f>
        <v>349500</v>
      </c>
      <c r="F93" s="59">
        <f>'дод 3'!G91+'дод 3'!G27</f>
        <v>0</v>
      </c>
      <c r="G93" s="59">
        <f>'дод 3'!H91+'дод 3'!H27</f>
        <v>0</v>
      </c>
      <c r="H93" s="59">
        <f>'дод 3'!I91+'дод 3'!I27</f>
        <v>0</v>
      </c>
      <c r="I93" s="59">
        <f>'дод 3'!J91+'дод 3'!J27</f>
        <v>0</v>
      </c>
      <c r="J93" s="59">
        <f>'дод 3'!K91+'дод 3'!K27</f>
        <v>0</v>
      </c>
      <c r="K93" s="59">
        <f>'дод 3'!L91+'дод 3'!L27</f>
        <v>0</v>
      </c>
      <c r="L93" s="59">
        <f>'дод 3'!M91+'дод 3'!M27</f>
        <v>0</v>
      </c>
      <c r="M93" s="59">
        <f>'дод 3'!N91+'дод 3'!N27</f>
        <v>0</v>
      </c>
      <c r="N93" s="59">
        <f>'дод 3'!O91+'дод 3'!O27</f>
        <v>0</v>
      </c>
      <c r="O93" s="59">
        <f>'дод 3'!P91+'дод 3'!P27</f>
        <v>349500</v>
      </c>
    </row>
    <row r="94" spans="1:15" ht="76.5" customHeight="1" x14ac:dyDescent="0.25">
      <c r="A94" s="46" t="s">
        <v>116</v>
      </c>
      <c r="B94" s="46">
        <v>1010</v>
      </c>
      <c r="C94" s="3" t="s">
        <v>314</v>
      </c>
      <c r="D94" s="59">
        <f>'дод 3'!E151</f>
        <v>1884220</v>
      </c>
      <c r="E94" s="59">
        <f>'дод 3'!F151</f>
        <v>1884220</v>
      </c>
      <c r="F94" s="59">
        <f>'дод 3'!G151</f>
        <v>0</v>
      </c>
      <c r="G94" s="59">
        <f>'дод 3'!H151</f>
        <v>0</v>
      </c>
      <c r="H94" s="59">
        <f>'дод 3'!I151</f>
        <v>0</v>
      </c>
      <c r="I94" s="59">
        <f>'дод 3'!J151</f>
        <v>0</v>
      </c>
      <c r="J94" s="59">
        <f>'дод 3'!K151</f>
        <v>0</v>
      </c>
      <c r="K94" s="59">
        <f>'дод 3'!L151</f>
        <v>0</v>
      </c>
      <c r="L94" s="59">
        <f>'дод 3'!M151</f>
        <v>0</v>
      </c>
      <c r="M94" s="59">
        <f>'дод 3'!N151</f>
        <v>0</v>
      </c>
      <c r="N94" s="59">
        <f>'дод 3'!O151</f>
        <v>0</v>
      </c>
      <c r="O94" s="59">
        <f>'дод 3'!P151</f>
        <v>1884220</v>
      </c>
    </row>
    <row r="95" spans="1:15" s="77" customFormat="1" ht="70.5" customHeight="1" x14ac:dyDescent="0.25">
      <c r="A95" s="46" t="s">
        <v>347</v>
      </c>
      <c r="B95" s="46">
        <v>1010</v>
      </c>
      <c r="C95" s="3" t="s">
        <v>482</v>
      </c>
      <c r="D95" s="59">
        <f>'дод 3'!E152</f>
        <v>228095</v>
      </c>
      <c r="E95" s="59">
        <f>'дод 3'!F152</f>
        <v>228095</v>
      </c>
      <c r="F95" s="59">
        <f>'дод 3'!G152</f>
        <v>0</v>
      </c>
      <c r="G95" s="59">
        <f>'дод 3'!H152</f>
        <v>0</v>
      </c>
      <c r="H95" s="59">
        <f>'дод 3'!I152</f>
        <v>0</v>
      </c>
      <c r="I95" s="59">
        <f>'дод 3'!J152</f>
        <v>0</v>
      </c>
      <c r="J95" s="59">
        <f>'дод 3'!K152</f>
        <v>0</v>
      </c>
      <c r="K95" s="59">
        <f>'дод 3'!L152</f>
        <v>0</v>
      </c>
      <c r="L95" s="59">
        <f>'дод 3'!M152</f>
        <v>0</v>
      </c>
      <c r="M95" s="59">
        <f>'дод 3'!N152</f>
        <v>0</v>
      </c>
      <c r="N95" s="59">
        <f>'дод 3'!O152</f>
        <v>0</v>
      </c>
      <c r="O95" s="59">
        <f>'дод 3'!P152</f>
        <v>228095</v>
      </c>
    </row>
    <row r="96" spans="1:15" s="77" customFormat="1" x14ac:dyDescent="0.25">
      <c r="A96" s="156"/>
      <c r="B96" s="156"/>
      <c r="C96" s="157" t="s">
        <v>457</v>
      </c>
      <c r="D96" s="158">
        <f>'дод 3'!E153</f>
        <v>228095</v>
      </c>
      <c r="E96" s="158">
        <f>'дод 3'!F153</f>
        <v>228095</v>
      </c>
      <c r="F96" s="158">
        <f>'дод 3'!G153</f>
        <v>0</v>
      </c>
      <c r="G96" s="158">
        <f>'дод 3'!H153</f>
        <v>0</v>
      </c>
      <c r="H96" s="158">
        <f>'дод 3'!I153</f>
        <v>0</v>
      </c>
      <c r="I96" s="158">
        <f>'дод 3'!J153</f>
        <v>0</v>
      </c>
      <c r="J96" s="158">
        <f>'дод 3'!K153</f>
        <v>0</v>
      </c>
      <c r="K96" s="158">
        <f>'дод 3'!L153</f>
        <v>0</v>
      </c>
      <c r="L96" s="158">
        <f>'дод 3'!M153</f>
        <v>0</v>
      </c>
      <c r="M96" s="158">
        <f>'дод 3'!N153</f>
        <v>0</v>
      </c>
      <c r="N96" s="158">
        <f>'дод 3'!O153</f>
        <v>0</v>
      </c>
      <c r="O96" s="158">
        <f>'дод 3'!P153</f>
        <v>228095</v>
      </c>
    </row>
    <row r="97" spans="1:15" s="77" customFormat="1" ht="36" customHeight="1" x14ac:dyDescent="0.25">
      <c r="A97" s="46" t="s">
        <v>348</v>
      </c>
      <c r="B97" s="46">
        <v>1010</v>
      </c>
      <c r="C97" s="3" t="s">
        <v>483</v>
      </c>
      <c r="D97" s="59">
        <f>'дод 3'!E154</f>
        <v>90</v>
      </c>
      <c r="E97" s="59">
        <f>'дод 3'!F154</f>
        <v>90</v>
      </c>
      <c r="F97" s="59">
        <f>'дод 3'!G154</f>
        <v>0</v>
      </c>
      <c r="G97" s="59">
        <f>'дод 3'!H154</f>
        <v>0</v>
      </c>
      <c r="H97" s="59">
        <f>'дод 3'!I154</f>
        <v>0</v>
      </c>
      <c r="I97" s="59">
        <f>'дод 3'!J154</f>
        <v>0</v>
      </c>
      <c r="J97" s="59">
        <f>'дод 3'!K154</f>
        <v>0</v>
      </c>
      <c r="K97" s="59">
        <f>'дод 3'!L154</f>
        <v>0</v>
      </c>
      <c r="L97" s="59">
        <f>'дод 3'!M154</f>
        <v>0</v>
      </c>
      <c r="M97" s="59">
        <f>'дод 3'!N154</f>
        <v>0</v>
      </c>
      <c r="N97" s="59">
        <f>'дод 3'!O154</f>
        <v>0</v>
      </c>
      <c r="O97" s="59">
        <f>'дод 3'!P154</f>
        <v>90</v>
      </c>
    </row>
    <row r="98" spans="1:15" s="77" customFormat="1" x14ac:dyDescent="0.25">
      <c r="A98" s="156"/>
      <c r="B98" s="156"/>
      <c r="C98" s="157" t="s">
        <v>457</v>
      </c>
      <c r="D98" s="158">
        <f>'дод 3'!E155</f>
        <v>90</v>
      </c>
      <c r="E98" s="158">
        <f>'дод 3'!F155</f>
        <v>90</v>
      </c>
      <c r="F98" s="158">
        <f>'дод 3'!G155</f>
        <v>0</v>
      </c>
      <c r="G98" s="158">
        <f>'дод 3'!H155</f>
        <v>0</v>
      </c>
      <c r="H98" s="158">
        <f>'дод 3'!I155</f>
        <v>0</v>
      </c>
      <c r="I98" s="158">
        <f>'дод 3'!J155</f>
        <v>0</v>
      </c>
      <c r="J98" s="158">
        <f>'дод 3'!K155</f>
        <v>0</v>
      </c>
      <c r="K98" s="158">
        <f>'дод 3'!L155</f>
        <v>0</v>
      </c>
      <c r="L98" s="158">
        <f>'дод 3'!M155</f>
        <v>0</v>
      </c>
      <c r="M98" s="158">
        <f>'дод 3'!N155</f>
        <v>0</v>
      </c>
      <c r="N98" s="158">
        <f>'дод 3'!O155</f>
        <v>0</v>
      </c>
      <c r="O98" s="158">
        <f>'дод 3'!P155</f>
        <v>90</v>
      </c>
    </row>
    <row r="99" spans="1:15" ht="71.25" customHeight="1" x14ac:dyDescent="0.25">
      <c r="A99" s="46" t="s">
        <v>111</v>
      </c>
      <c r="B99" s="46" t="s">
        <v>57</v>
      </c>
      <c r="C99" s="3" t="s">
        <v>376</v>
      </c>
      <c r="D99" s="59">
        <f>'дод 3'!E156</f>
        <v>2028000</v>
      </c>
      <c r="E99" s="59">
        <f>'дод 3'!F156</f>
        <v>2028000</v>
      </c>
      <c r="F99" s="59">
        <f>'дод 3'!G156</f>
        <v>0</v>
      </c>
      <c r="G99" s="59">
        <f>'дод 3'!H156</f>
        <v>0</v>
      </c>
      <c r="H99" s="59">
        <f>'дод 3'!I156</f>
        <v>0</v>
      </c>
      <c r="I99" s="59">
        <f>'дод 3'!J156</f>
        <v>0</v>
      </c>
      <c r="J99" s="59">
        <f>'дод 3'!K156</f>
        <v>0</v>
      </c>
      <c r="K99" s="59">
        <f>'дод 3'!L156</f>
        <v>0</v>
      </c>
      <c r="L99" s="59">
        <f>'дод 3'!M156</f>
        <v>0</v>
      </c>
      <c r="M99" s="59">
        <f>'дод 3'!N156</f>
        <v>0</v>
      </c>
      <c r="N99" s="59">
        <f>'дод 3'!O156</f>
        <v>0</v>
      </c>
      <c r="O99" s="59">
        <f>'дод 3'!P156</f>
        <v>2028000</v>
      </c>
    </row>
    <row r="100" spans="1:15" s="77" customFormat="1" ht="29.25" customHeight="1" x14ac:dyDescent="0.25">
      <c r="A100" s="46" t="s">
        <v>315</v>
      </c>
      <c r="B100" s="46" t="s">
        <v>56</v>
      </c>
      <c r="C100" s="3" t="s">
        <v>19</v>
      </c>
      <c r="D100" s="59">
        <f>'дод 3'!E157</f>
        <v>2199344</v>
      </c>
      <c r="E100" s="59">
        <f>'дод 3'!F157</f>
        <v>2199344</v>
      </c>
      <c r="F100" s="59">
        <f>'дод 3'!G157</f>
        <v>0</v>
      </c>
      <c r="G100" s="59">
        <f>'дод 3'!H157</f>
        <v>0</v>
      </c>
      <c r="H100" s="59">
        <f>'дод 3'!I157</f>
        <v>0</v>
      </c>
      <c r="I100" s="59">
        <f>'дод 3'!J157</f>
        <v>0</v>
      </c>
      <c r="J100" s="59">
        <f>'дод 3'!K157</f>
        <v>0</v>
      </c>
      <c r="K100" s="59">
        <f>'дод 3'!L157</f>
        <v>0</v>
      </c>
      <c r="L100" s="59">
        <f>'дод 3'!M157</f>
        <v>0</v>
      </c>
      <c r="M100" s="59">
        <f>'дод 3'!N157</f>
        <v>0</v>
      </c>
      <c r="N100" s="59">
        <f>'дод 3'!O157</f>
        <v>0</v>
      </c>
      <c r="O100" s="59">
        <f>'дод 3'!P157</f>
        <v>2199344</v>
      </c>
    </row>
    <row r="101" spans="1:15" s="77" customFormat="1" ht="55.5" customHeight="1" x14ac:dyDescent="0.25">
      <c r="A101" s="46" t="s">
        <v>316</v>
      </c>
      <c r="B101" s="46" t="s">
        <v>56</v>
      </c>
      <c r="C101" s="3" t="s">
        <v>344</v>
      </c>
      <c r="D101" s="59">
        <f>'дод 3'!E158</f>
        <v>1892237</v>
      </c>
      <c r="E101" s="59">
        <f>'дод 3'!F158</f>
        <v>1892237</v>
      </c>
      <c r="F101" s="59">
        <f>'дод 3'!G158</f>
        <v>0</v>
      </c>
      <c r="G101" s="59">
        <f>'дод 3'!H158</f>
        <v>0</v>
      </c>
      <c r="H101" s="59">
        <f>'дод 3'!I158</f>
        <v>0</v>
      </c>
      <c r="I101" s="59">
        <f>'дод 3'!J158</f>
        <v>0</v>
      </c>
      <c r="J101" s="59">
        <f>'дод 3'!K158</f>
        <v>0</v>
      </c>
      <c r="K101" s="59">
        <f>'дод 3'!L158</f>
        <v>0</v>
      </c>
      <c r="L101" s="59">
        <f>'дод 3'!M158</f>
        <v>0</v>
      </c>
      <c r="M101" s="59">
        <f>'дод 3'!N158</f>
        <v>0</v>
      </c>
      <c r="N101" s="59">
        <f>'дод 3'!O158</f>
        <v>0</v>
      </c>
      <c r="O101" s="59">
        <f>'дод 3'!P158</f>
        <v>1892237</v>
      </c>
    </row>
    <row r="102" spans="1:15" ht="36.75" customHeight="1" x14ac:dyDescent="0.25">
      <c r="A102" s="46" t="s">
        <v>112</v>
      </c>
      <c r="B102" s="46" t="s">
        <v>60</v>
      </c>
      <c r="C102" s="3" t="s">
        <v>377</v>
      </c>
      <c r="D102" s="59">
        <f>'дод 3'!E159</f>
        <v>86500</v>
      </c>
      <c r="E102" s="59">
        <f>'дод 3'!F159</f>
        <v>86500</v>
      </c>
      <c r="F102" s="59">
        <f>'дод 3'!G159</f>
        <v>0</v>
      </c>
      <c r="G102" s="59">
        <f>'дод 3'!H159</f>
        <v>0</v>
      </c>
      <c r="H102" s="59">
        <f>'дод 3'!I159</f>
        <v>0</v>
      </c>
      <c r="I102" s="59">
        <f>'дод 3'!J159</f>
        <v>0</v>
      </c>
      <c r="J102" s="59">
        <f>'дод 3'!K159</f>
        <v>0</v>
      </c>
      <c r="K102" s="59">
        <f>'дод 3'!L159</f>
        <v>0</v>
      </c>
      <c r="L102" s="59">
        <f>'дод 3'!M159</f>
        <v>0</v>
      </c>
      <c r="M102" s="59">
        <f>'дод 3'!N159</f>
        <v>0</v>
      </c>
      <c r="N102" s="59">
        <f>'дод 3'!O159</f>
        <v>0</v>
      </c>
      <c r="O102" s="59">
        <f>'дод 3'!P159</f>
        <v>86500</v>
      </c>
    </row>
    <row r="103" spans="1:15" ht="27.75" customHeight="1" x14ac:dyDescent="0.25">
      <c r="A103" s="46" t="s">
        <v>317</v>
      </c>
      <c r="B103" s="46" t="s">
        <v>113</v>
      </c>
      <c r="C103" s="3" t="s">
        <v>41</v>
      </c>
      <c r="D103" s="59">
        <f>'дод 3'!E160+'дод 3'!E190</f>
        <v>450000</v>
      </c>
      <c r="E103" s="59">
        <f>'дод 3'!F160+'дод 3'!F190</f>
        <v>450000</v>
      </c>
      <c r="F103" s="59">
        <f>'дод 3'!G160+'дод 3'!G190</f>
        <v>163935</v>
      </c>
      <c r="G103" s="59">
        <f>'дод 3'!H160+'дод 3'!H190</f>
        <v>0</v>
      </c>
      <c r="H103" s="59">
        <f>'дод 3'!I160+'дод 3'!I190</f>
        <v>0</v>
      </c>
      <c r="I103" s="59">
        <f>'дод 3'!J160+'дод 3'!J190</f>
        <v>0</v>
      </c>
      <c r="J103" s="59">
        <f>'дод 3'!K160+'дод 3'!K190</f>
        <v>0</v>
      </c>
      <c r="K103" s="59">
        <f>'дод 3'!L160+'дод 3'!L190</f>
        <v>0</v>
      </c>
      <c r="L103" s="59">
        <f>'дод 3'!M160+'дод 3'!M190</f>
        <v>0</v>
      </c>
      <c r="M103" s="59">
        <f>'дод 3'!N160+'дод 3'!N190</f>
        <v>0</v>
      </c>
      <c r="N103" s="59">
        <f>'дод 3'!O160+'дод 3'!O190</f>
        <v>0</v>
      </c>
      <c r="O103" s="59">
        <f>'дод 3'!P160+'дод 3'!P190</f>
        <v>450000</v>
      </c>
    </row>
    <row r="104" spans="1:15" hidden="1" x14ac:dyDescent="0.25">
      <c r="A104" s="46"/>
      <c r="B104" s="88"/>
      <c r="C104" s="42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hidden="1" x14ac:dyDescent="0.25">
      <c r="A105" s="46"/>
      <c r="B105" s="88"/>
      <c r="C105" s="165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hidden="1" x14ac:dyDescent="0.25">
      <c r="A106" s="46"/>
      <c r="B106" s="88"/>
      <c r="C106" s="42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hidden="1" x14ac:dyDescent="0.25">
      <c r="A107" s="46"/>
      <c r="B107" s="88"/>
      <c r="C107" s="165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s="77" customFormat="1" ht="32.25" customHeight="1" x14ac:dyDescent="0.25">
      <c r="A108" s="46" t="s">
        <v>318</v>
      </c>
      <c r="B108" s="46" t="s">
        <v>60</v>
      </c>
      <c r="C108" s="3" t="s">
        <v>320</v>
      </c>
      <c r="D108" s="59">
        <f>'дод 3'!E165+'дод 3'!E28</f>
        <v>6719301</v>
      </c>
      <c r="E108" s="59">
        <f>'дод 3'!F165+'дод 3'!F28</f>
        <v>6719301</v>
      </c>
      <c r="F108" s="59">
        <f>'дод 3'!G165+'дод 3'!G28</f>
        <v>4196250</v>
      </c>
      <c r="G108" s="59">
        <f>'дод 3'!H165+'дод 3'!H28</f>
        <v>606930</v>
      </c>
      <c r="H108" s="59">
        <f>'дод 3'!I165+'дод 3'!I28</f>
        <v>0</v>
      </c>
      <c r="I108" s="59">
        <f>'дод 3'!J165+'дод 3'!J28</f>
        <v>561000</v>
      </c>
      <c r="J108" s="59">
        <f>'дод 3'!K165+'дод 3'!K28</f>
        <v>561000</v>
      </c>
      <c r="K108" s="59">
        <f>'дод 3'!L165+'дод 3'!L28</f>
        <v>0</v>
      </c>
      <c r="L108" s="59">
        <f>'дод 3'!M165+'дод 3'!M28</f>
        <v>0</v>
      </c>
      <c r="M108" s="59">
        <f>'дод 3'!N165+'дод 3'!N28</f>
        <v>0</v>
      </c>
      <c r="N108" s="59">
        <f>'дод 3'!O165+'дод 3'!O28</f>
        <v>561000</v>
      </c>
      <c r="O108" s="59">
        <f>'дод 3'!P165+'дод 3'!P28</f>
        <v>7280301</v>
      </c>
    </row>
    <row r="109" spans="1:15" s="77" customFormat="1" ht="31.5" customHeight="1" x14ac:dyDescent="0.25">
      <c r="A109" s="46" t="s">
        <v>319</v>
      </c>
      <c r="B109" s="46" t="s">
        <v>60</v>
      </c>
      <c r="C109" s="3" t="s">
        <v>484</v>
      </c>
      <c r="D109" s="59">
        <f>'дод 3'!E92+'дод 3'!E166+'дод 3'!E29</f>
        <v>35421851</v>
      </c>
      <c r="E109" s="59">
        <f>'дод 3'!F92+'дод 3'!F166+'дод 3'!F29</f>
        <v>35421851</v>
      </c>
      <c r="F109" s="59">
        <f>'дод 3'!G92+'дод 3'!G166+'дод 3'!G29</f>
        <v>0</v>
      </c>
      <c r="G109" s="59">
        <f>'дод 3'!H92+'дод 3'!H166+'дод 3'!H29</f>
        <v>0</v>
      </c>
      <c r="H109" s="59">
        <f>'дод 3'!I92+'дод 3'!I166+'дод 3'!I29</f>
        <v>0</v>
      </c>
      <c r="I109" s="59">
        <f>'дод 3'!J92+'дод 3'!J166+'дод 3'!J29</f>
        <v>35640</v>
      </c>
      <c r="J109" s="59">
        <f>'дод 3'!K92+'дод 3'!K166+'дод 3'!K29</f>
        <v>35640</v>
      </c>
      <c r="K109" s="59">
        <f>'дод 3'!L92+'дод 3'!L166+'дод 3'!L29</f>
        <v>0</v>
      </c>
      <c r="L109" s="59">
        <f>'дод 3'!M92+'дод 3'!M166+'дод 3'!M29</f>
        <v>0</v>
      </c>
      <c r="M109" s="59">
        <f>'дод 3'!N92+'дод 3'!N166+'дод 3'!N29</f>
        <v>0</v>
      </c>
      <c r="N109" s="59">
        <f>'дод 3'!O92+'дод 3'!O166+'дод 3'!O29</f>
        <v>35640</v>
      </c>
      <c r="O109" s="59">
        <f>'дод 3'!P92+'дод 3'!P166+'дод 3'!P29</f>
        <v>35457491</v>
      </c>
    </row>
    <row r="110" spans="1:15" s="77" customFormat="1" x14ac:dyDescent="0.25">
      <c r="A110" s="156"/>
      <c r="B110" s="156"/>
      <c r="C110" s="157" t="s">
        <v>457</v>
      </c>
      <c r="D110" s="158">
        <f>'дод 3'!E167</f>
        <v>348800</v>
      </c>
      <c r="E110" s="158">
        <f>'дод 3'!F167</f>
        <v>348800</v>
      </c>
      <c r="F110" s="158">
        <f>'дод 3'!G167</f>
        <v>0</v>
      </c>
      <c r="G110" s="158">
        <f>'дод 3'!H167</f>
        <v>0</v>
      </c>
      <c r="H110" s="158">
        <f>'дод 3'!I167</f>
        <v>0</v>
      </c>
      <c r="I110" s="158">
        <f>'дод 3'!J167</f>
        <v>0</v>
      </c>
      <c r="J110" s="158">
        <f>'дод 3'!K167</f>
        <v>0</v>
      </c>
      <c r="K110" s="158">
        <f>'дод 3'!L167</f>
        <v>0</v>
      </c>
      <c r="L110" s="158">
        <f>'дод 3'!M167</f>
        <v>0</v>
      </c>
      <c r="M110" s="158">
        <f>'дод 3'!N167</f>
        <v>0</v>
      </c>
      <c r="N110" s="158">
        <f>'дод 3'!O167</f>
        <v>0</v>
      </c>
      <c r="O110" s="158">
        <f>'дод 3'!P167</f>
        <v>348800</v>
      </c>
    </row>
    <row r="111" spans="1:15" s="75" customFormat="1" ht="19.5" customHeight="1" x14ac:dyDescent="0.25">
      <c r="A111" s="47" t="s">
        <v>77</v>
      </c>
      <c r="B111" s="50"/>
      <c r="C111" s="2" t="s">
        <v>78</v>
      </c>
      <c r="D111" s="58">
        <f t="shared" ref="D111:O111" si="16">D112+D113+D114+D115</f>
        <v>33677001</v>
      </c>
      <c r="E111" s="58">
        <f t="shared" si="16"/>
        <v>33677001</v>
      </c>
      <c r="F111" s="58">
        <f t="shared" si="16"/>
        <v>18761815</v>
      </c>
      <c r="G111" s="58">
        <f t="shared" si="16"/>
        <v>1801060</v>
      </c>
      <c r="H111" s="58">
        <f t="shared" si="16"/>
        <v>0</v>
      </c>
      <c r="I111" s="58">
        <f t="shared" si="16"/>
        <v>1209233</v>
      </c>
      <c r="J111" s="58">
        <f t="shared" si="16"/>
        <v>1173233</v>
      </c>
      <c r="K111" s="58">
        <f t="shared" si="16"/>
        <v>36000</v>
      </c>
      <c r="L111" s="58">
        <f t="shared" si="16"/>
        <v>12100</v>
      </c>
      <c r="M111" s="58">
        <f t="shared" si="16"/>
        <v>3300</v>
      </c>
      <c r="N111" s="58">
        <f t="shared" si="16"/>
        <v>1173233</v>
      </c>
      <c r="O111" s="58">
        <f t="shared" si="16"/>
        <v>34886234</v>
      </c>
    </row>
    <row r="112" spans="1:15" ht="22.5" customHeight="1" x14ac:dyDescent="0.25">
      <c r="A112" s="46" t="s">
        <v>79</v>
      </c>
      <c r="B112" s="46" t="s">
        <v>80</v>
      </c>
      <c r="C112" s="3" t="s">
        <v>16</v>
      </c>
      <c r="D112" s="59">
        <f>'дод 3'!E179</f>
        <v>19198964</v>
      </c>
      <c r="E112" s="59">
        <f>'дод 3'!F179</f>
        <v>19198964</v>
      </c>
      <c r="F112" s="59">
        <f>'дод 3'!G179</f>
        <v>13788696</v>
      </c>
      <c r="G112" s="59">
        <f>'дод 3'!H179</f>
        <v>1227200</v>
      </c>
      <c r="H112" s="59">
        <f>'дод 3'!I179</f>
        <v>0</v>
      </c>
      <c r="I112" s="59">
        <f>'дод 3'!J179</f>
        <v>346795</v>
      </c>
      <c r="J112" s="59">
        <f>'дод 3'!K179</f>
        <v>316795</v>
      </c>
      <c r="K112" s="59">
        <f>'дод 3'!L179</f>
        <v>30000</v>
      </c>
      <c r="L112" s="59">
        <f>'дод 3'!M179</f>
        <v>12100</v>
      </c>
      <c r="M112" s="59">
        <f>'дод 3'!N179</f>
        <v>0</v>
      </c>
      <c r="N112" s="59">
        <f>'дод 3'!O179</f>
        <v>316795</v>
      </c>
      <c r="O112" s="59">
        <f>'дод 3'!P179</f>
        <v>19545759</v>
      </c>
    </row>
    <row r="113" spans="1:15" ht="33.75" customHeight="1" x14ac:dyDescent="0.25">
      <c r="A113" s="46" t="s">
        <v>351</v>
      </c>
      <c r="B113" s="46" t="s">
        <v>352</v>
      </c>
      <c r="C113" s="3" t="s">
        <v>353</v>
      </c>
      <c r="D113" s="59">
        <f>'дод 3'!E30+'дод 3'!E180</f>
        <v>5887442</v>
      </c>
      <c r="E113" s="59">
        <f>'дод 3'!F30+'дод 3'!F180</f>
        <v>5887442</v>
      </c>
      <c r="F113" s="59">
        <f>'дод 3'!G30+'дод 3'!G180</f>
        <v>2204815</v>
      </c>
      <c r="G113" s="59">
        <f>'дод 3'!H30+'дод 3'!H180</f>
        <v>449760</v>
      </c>
      <c r="H113" s="59">
        <f>'дод 3'!I30+'дод 3'!I180</f>
        <v>0</v>
      </c>
      <c r="I113" s="59">
        <f>'дод 3'!J30+'дод 3'!J180</f>
        <v>638438</v>
      </c>
      <c r="J113" s="59">
        <f>'дод 3'!K30+'дод 3'!K180</f>
        <v>632438</v>
      </c>
      <c r="K113" s="59">
        <f>'дод 3'!L30+'дод 3'!L180</f>
        <v>6000</v>
      </c>
      <c r="L113" s="59">
        <f>'дод 3'!M30+'дод 3'!M180</f>
        <v>0</v>
      </c>
      <c r="M113" s="59">
        <f>'дод 3'!N30+'дод 3'!N180</f>
        <v>3300</v>
      </c>
      <c r="N113" s="59">
        <f>'дод 3'!O30+'дод 3'!O180</f>
        <v>632438</v>
      </c>
      <c r="O113" s="59">
        <f>'дод 3'!P30+'дод 3'!P180</f>
        <v>6525880</v>
      </c>
    </row>
    <row r="114" spans="1:15" s="77" customFormat="1" ht="39.75" customHeight="1" x14ac:dyDescent="0.25">
      <c r="A114" s="46" t="s">
        <v>321</v>
      </c>
      <c r="B114" s="46" t="s">
        <v>81</v>
      </c>
      <c r="C114" s="3" t="s">
        <v>378</v>
      </c>
      <c r="D114" s="59">
        <f>'дод 3'!E31+'дод 3'!E181</f>
        <v>5687571</v>
      </c>
      <c r="E114" s="59">
        <f>'дод 3'!F31+'дод 3'!F181</f>
        <v>5687571</v>
      </c>
      <c r="F114" s="59">
        <f>'дод 3'!G31+'дод 3'!G181</f>
        <v>2768304</v>
      </c>
      <c r="G114" s="59">
        <f>'дод 3'!H31+'дод 3'!H181</f>
        <v>124100</v>
      </c>
      <c r="H114" s="59">
        <f>'дод 3'!I31+'дод 3'!I181</f>
        <v>0</v>
      </c>
      <c r="I114" s="59">
        <f>'дод 3'!J31+'дод 3'!J181</f>
        <v>224000</v>
      </c>
      <c r="J114" s="59">
        <f>'дод 3'!K31+'дод 3'!K181</f>
        <v>224000</v>
      </c>
      <c r="K114" s="59">
        <f>'дод 3'!L31+'дод 3'!L181</f>
        <v>0</v>
      </c>
      <c r="L114" s="59">
        <f>'дод 3'!M31+'дод 3'!M181</f>
        <v>0</v>
      </c>
      <c r="M114" s="59">
        <f>'дод 3'!N31+'дод 3'!N181</f>
        <v>0</v>
      </c>
      <c r="N114" s="59">
        <f>'дод 3'!O31+'дод 3'!O181</f>
        <v>224000</v>
      </c>
      <c r="O114" s="59">
        <f>'дод 3'!P31+'дод 3'!P181</f>
        <v>5911571</v>
      </c>
    </row>
    <row r="115" spans="1:15" s="77" customFormat="1" ht="30" customHeight="1" x14ac:dyDescent="0.25">
      <c r="A115" s="46" t="s">
        <v>322</v>
      </c>
      <c r="B115" s="46" t="s">
        <v>81</v>
      </c>
      <c r="C115" s="3" t="s">
        <v>323</v>
      </c>
      <c r="D115" s="59">
        <f>'дод 3'!E32+'дод 3'!E182</f>
        <v>2903024</v>
      </c>
      <c r="E115" s="59">
        <f>'дод 3'!F32+'дод 3'!F182</f>
        <v>2903024</v>
      </c>
      <c r="F115" s="59">
        <f>'дод 3'!G32+'дод 3'!G182</f>
        <v>0</v>
      </c>
      <c r="G115" s="59">
        <f>'дод 3'!H32+'дод 3'!H182</f>
        <v>0</v>
      </c>
      <c r="H115" s="59">
        <f>'дод 3'!I32+'дод 3'!I182</f>
        <v>0</v>
      </c>
      <c r="I115" s="59">
        <f>'дод 3'!J32+'дод 3'!J182</f>
        <v>0</v>
      </c>
      <c r="J115" s="59">
        <f>'дод 3'!K32+'дод 3'!K182</f>
        <v>0</v>
      </c>
      <c r="K115" s="59">
        <f>'дод 3'!L32+'дод 3'!L182</f>
        <v>0</v>
      </c>
      <c r="L115" s="59">
        <f>'дод 3'!M32+'дод 3'!M182</f>
        <v>0</v>
      </c>
      <c r="M115" s="59">
        <f>'дод 3'!N32+'дод 3'!N182</f>
        <v>0</v>
      </c>
      <c r="N115" s="59">
        <f>'дод 3'!O32+'дод 3'!O182</f>
        <v>0</v>
      </c>
      <c r="O115" s="59">
        <f>'дод 3'!P32+'дод 3'!P182</f>
        <v>2903024</v>
      </c>
    </row>
    <row r="116" spans="1:15" s="75" customFormat="1" ht="21.75" customHeight="1" x14ac:dyDescent="0.25">
      <c r="A116" s="47" t="s">
        <v>84</v>
      </c>
      <c r="B116" s="50"/>
      <c r="C116" s="2" t="s">
        <v>85</v>
      </c>
      <c r="D116" s="58">
        <f t="shared" ref="D116:O116" si="17">D117+D118+D119+D120+D121+D122</f>
        <v>46822970</v>
      </c>
      <c r="E116" s="58">
        <f t="shared" si="17"/>
        <v>46822970</v>
      </c>
      <c r="F116" s="58">
        <f t="shared" si="17"/>
        <v>17286800</v>
      </c>
      <c r="G116" s="58">
        <f t="shared" si="17"/>
        <v>1210790</v>
      </c>
      <c r="H116" s="58">
        <f t="shared" si="17"/>
        <v>0</v>
      </c>
      <c r="I116" s="58">
        <f t="shared" si="17"/>
        <v>1449570</v>
      </c>
      <c r="J116" s="58">
        <f t="shared" si="17"/>
        <v>1270450</v>
      </c>
      <c r="K116" s="58">
        <f t="shared" si="17"/>
        <v>179120</v>
      </c>
      <c r="L116" s="58">
        <f t="shared" si="17"/>
        <v>91105</v>
      </c>
      <c r="M116" s="58">
        <f t="shared" si="17"/>
        <v>51050</v>
      </c>
      <c r="N116" s="58">
        <f t="shared" si="17"/>
        <v>1270450</v>
      </c>
      <c r="O116" s="58">
        <f t="shared" si="17"/>
        <v>48272540</v>
      </c>
    </row>
    <row r="117" spans="1:15" s="77" customFormat="1" ht="43.5" customHeight="1" x14ac:dyDescent="0.25">
      <c r="A117" s="46" t="s">
        <v>86</v>
      </c>
      <c r="B117" s="46" t="s">
        <v>87</v>
      </c>
      <c r="C117" s="3" t="s">
        <v>23</v>
      </c>
      <c r="D117" s="59">
        <f>'дод 3'!E33</f>
        <v>551000</v>
      </c>
      <c r="E117" s="59">
        <f>'дод 3'!F33</f>
        <v>551000</v>
      </c>
      <c r="F117" s="59">
        <f>'дод 3'!G33</f>
        <v>0</v>
      </c>
      <c r="G117" s="59">
        <f>'дод 3'!H33</f>
        <v>0</v>
      </c>
      <c r="H117" s="59">
        <f>'дод 3'!I33</f>
        <v>0</v>
      </c>
      <c r="I117" s="59">
        <f>'дод 3'!J33</f>
        <v>0</v>
      </c>
      <c r="J117" s="59">
        <f>'дод 3'!K33</f>
        <v>0</v>
      </c>
      <c r="K117" s="59">
        <f>'дод 3'!L33</f>
        <v>0</v>
      </c>
      <c r="L117" s="59">
        <f>'дод 3'!M33</f>
        <v>0</v>
      </c>
      <c r="M117" s="59">
        <f>'дод 3'!N33</f>
        <v>0</v>
      </c>
      <c r="N117" s="59">
        <f>'дод 3'!O33</f>
        <v>0</v>
      </c>
      <c r="O117" s="59">
        <f>'дод 3'!P33</f>
        <v>551000</v>
      </c>
    </row>
    <row r="118" spans="1:15" s="77" customFormat="1" ht="39.75" customHeight="1" x14ac:dyDescent="0.25">
      <c r="A118" s="46" t="s">
        <v>88</v>
      </c>
      <c r="B118" s="46" t="s">
        <v>87</v>
      </c>
      <c r="C118" s="3" t="s">
        <v>17</v>
      </c>
      <c r="D118" s="59">
        <f>'дод 3'!E34</f>
        <v>959400</v>
      </c>
      <c r="E118" s="59">
        <f>'дод 3'!F34</f>
        <v>959400</v>
      </c>
      <c r="F118" s="59">
        <f>'дод 3'!G34</f>
        <v>0</v>
      </c>
      <c r="G118" s="59">
        <f>'дод 3'!H34</f>
        <v>0</v>
      </c>
      <c r="H118" s="59">
        <f>'дод 3'!I34</f>
        <v>0</v>
      </c>
      <c r="I118" s="59">
        <f>'дод 3'!J34</f>
        <v>0</v>
      </c>
      <c r="J118" s="59">
        <f>'дод 3'!K34</f>
        <v>0</v>
      </c>
      <c r="K118" s="59">
        <f>'дод 3'!L34</f>
        <v>0</v>
      </c>
      <c r="L118" s="59">
        <f>'дод 3'!M34</f>
        <v>0</v>
      </c>
      <c r="M118" s="59">
        <f>'дод 3'!N34</f>
        <v>0</v>
      </c>
      <c r="N118" s="59">
        <f>'дод 3'!O34</f>
        <v>0</v>
      </c>
      <c r="O118" s="59">
        <f>'дод 3'!P34</f>
        <v>959400</v>
      </c>
    </row>
    <row r="119" spans="1:15" s="77" customFormat="1" ht="36.75" customHeight="1" x14ac:dyDescent="0.25">
      <c r="A119" s="46" t="s">
        <v>124</v>
      </c>
      <c r="B119" s="46" t="s">
        <v>87</v>
      </c>
      <c r="C119" s="3" t="s">
        <v>24</v>
      </c>
      <c r="D119" s="59">
        <f>'дод 3'!E93+'дод 3'!E35</f>
        <v>20307230</v>
      </c>
      <c r="E119" s="59">
        <f>'дод 3'!F93+'дод 3'!F35</f>
        <v>20307230</v>
      </c>
      <c r="F119" s="59">
        <f>'дод 3'!G93+'дод 3'!G35</f>
        <v>14839900</v>
      </c>
      <c r="G119" s="59">
        <f>'дод 3'!H93+'дод 3'!H35</f>
        <v>890690</v>
      </c>
      <c r="H119" s="59">
        <f>'дод 3'!I93+'дод 3'!I35</f>
        <v>0</v>
      </c>
      <c r="I119" s="59">
        <f>'дод 3'!J93+'дод 3'!J35</f>
        <v>1029000</v>
      </c>
      <c r="J119" s="59">
        <f>'дод 3'!K93+'дод 3'!K35</f>
        <v>1029000</v>
      </c>
      <c r="K119" s="59">
        <f>'дод 3'!L93+'дод 3'!L35</f>
        <v>0</v>
      </c>
      <c r="L119" s="59">
        <f>'дод 3'!M93+'дод 3'!M35</f>
        <v>0</v>
      </c>
      <c r="M119" s="59">
        <f>'дод 3'!N93+'дод 3'!N35</f>
        <v>0</v>
      </c>
      <c r="N119" s="59">
        <f>'дод 3'!O93+'дод 3'!O35</f>
        <v>1029000</v>
      </c>
      <c r="O119" s="59">
        <f>'дод 3'!P93+'дод 3'!P35</f>
        <v>21336230</v>
      </c>
    </row>
    <row r="120" spans="1:15" s="77" customFormat="1" ht="31.5" customHeight="1" x14ac:dyDescent="0.25">
      <c r="A120" s="46" t="s">
        <v>125</v>
      </c>
      <c r="B120" s="46" t="s">
        <v>87</v>
      </c>
      <c r="C120" s="3" t="s">
        <v>25</v>
      </c>
      <c r="D120" s="59">
        <f>'дод 3'!E36</f>
        <v>11437630</v>
      </c>
      <c r="E120" s="59">
        <f>'дод 3'!F36</f>
        <v>11437630</v>
      </c>
      <c r="F120" s="59">
        <f>'дод 3'!G36</f>
        <v>0</v>
      </c>
      <c r="G120" s="59">
        <f>'дод 3'!H36</f>
        <v>0</v>
      </c>
      <c r="H120" s="59">
        <f>'дод 3'!I36</f>
        <v>0</v>
      </c>
      <c r="I120" s="59">
        <f>'дод 3'!J36</f>
        <v>198000</v>
      </c>
      <c r="J120" s="59">
        <f>'дод 3'!K36</f>
        <v>198000</v>
      </c>
      <c r="K120" s="59">
        <f>'дод 3'!L36</f>
        <v>0</v>
      </c>
      <c r="L120" s="59">
        <f>'дод 3'!M36</f>
        <v>0</v>
      </c>
      <c r="M120" s="59">
        <f>'дод 3'!N36</f>
        <v>0</v>
      </c>
      <c r="N120" s="59">
        <f>'дод 3'!O36</f>
        <v>198000</v>
      </c>
      <c r="O120" s="59">
        <f>'дод 3'!P36</f>
        <v>11635630</v>
      </c>
    </row>
    <row r="121" spans="1:15" s="77" customFormat="1" ht="60" customHeight="1" x14ac:dyDescent="0.25">
      <c r="A121" s="46" t="s">
        <v>120</v>
      </c>
      <c r="B121" s="46" t="s">
        <v>87</v>
      </c>
      <c r="C121" s="3" t="s">
        <v>121</v>
      </c>
      <c r="D121" s="59">
        <f>'дод 3'!E37</f>
        <v>4493120</v>
      </c>
      <c r="E121" s="59">
        <f>'дод 3'!F37</f>
        <v>4493120</v>
      </c>
      <c r="F121" s="59">
        <f>'дод 3'!G37</f>
        <v>2446900</v>
      </c>
      <c r="G121" s="59">
        <f>'дод 3'!H37</f>
        <v>320100</v>
      </c>
      <c r="H121" s="59">
        <f>'дод 3'!I37</f>
        <v>0</v>
      </c>
      <c r="I121" s="59">
        <f>'дод 3'!J37</f>
        <v>179120</v>
      </c>
      <c r="J121" s="59">
        <f>'дод 3'!K37</f>
        <v>0</v>
      </c>
      <c r="K121" s="59">
        <f>'дод 3'!L37</f>
        <v>179120</v>
      </c>
      <c r="L121" s="59">
        <f>'дод 3'!M37</f>
        <v>91105</v>
      </c>
      <c r="M121" s="59">
        <f>'дод 3'!N37</f>
        <v>51050</v>
      </c>
      <c r="N121" s="59">
        <f>'дод 3'!O37</f>
        <v>0</v>
      </c>
      <c r="O121" s="59">
        <f>'дод 3'!P37</f>
        <v>4672240</v>
      </c>
    </row>
    <row r="122" spans="1:15" s="77" customFormat="1" ht="42" customHeight="1" x14ac:dyDescent="0.25">
      <c r="A122" s="46" t="s">
        <v>123</v>
      </c>
      <c r="B122" s="46" t="s">
        <v>87</v>
      </c>
      <c r="C122" s="3" t="s">
        <v>122</v>
      </c>
      <c r="D122" s="59">
        <f>'дод 3'!E38</f>
        <v>9074590</v>
      </c>
      <c r="E122" s="59">
        <f>'дод 3'!F38</f>
        <v>9074590</v>
      </c>
      <c r="F122" s="59">
        <f>'дод 3'!G38</f>
        <v>0</v>
      </c>
      <c r="G122" s="59">
        <f>'дод 3'!H38</f>
        <v>0</v>
      </c>
      <c r="H122" s="59">
        <f>'дод 3'!I38</f>
        <v>0</v>
      </c>
      <c r="I122" s="59">
        <f>'дод 3'!J38</f>
        <v>43450</v>
      </c>
      <c r="J122" s="59">
        <f>'дод 3'!K38</f>
        <v>43450</v>
      </c>
      <c r="K122" s="59">
        <f>'дод 3'!L38</f>
        <v>0</v>
      </c>
      <c r="L122" s="59">
        <f>'дод 3'!M38</f>
        <v>0</v>
      </c>
      <c r="M122" s="59">
        <f>'дод 3'!N38</f>
        <v>0</v>
      </c>
      <c r="N122" s="59">
        <f>'дод 3'!O38</f>
        <v>43450</v>
      </c>
      <c r="O122" s="59">
        <f>'дод 3'!P38</f>
        <v>9118040</v>
      </c>
    </row>
    <row r="123" spans="1:15" s="75" customFormat="1" ht="27" customHeight="1" x14ac:dyDescent="0.25">
      <c r="A123" s="47" t="s">
        <v>72</v>
      </c>
      <c r="B123" s="50"/>
      <c r="C123" s="2" t="s">
        <v>73</v>
      </c>
      <c r="D123" s="58">
        <f>D124+D125+D126+D127+D128+D129+D130+D131</f>
        <v>247124270.20999998</v>
      </c>
      <c r="E123" s="58">
        <f t="shared" ref="E123:O123" si="18">E124+E125+E126+E127+E128+E129+E130+E131</f>
        <v>205929832.20999998</v>
      </c>
      <c r="F123" s="58">
        <f t="shared" si="18"/>
        <v>0</v>
      </c>
      <c r="G123" s="58">
        <f t="shared" si="18"/>
        <v>28164106</v>
      </c>
      <c r="H123" s="58">
        <f t="shared" si="18"/>
        <v>41194438</v>
      </c>
      <c r="I123" s="58">
        <f t="shared" si="18"/>
        <v>142936969.50999999</v>
      </c>
      <c r="J123" s="58">
        <f t="shared" si="18"/>
        <v>142779266.44999999</v>
      </c>
      <c r="K123" s="58">
        <f t="shared" si="18"/>
        <v>0</v>
      </c>
      <c r="L123" s="58">
        <f t="shared" si="18"/>
        <v>0</v>
      </c>
      <c r="M123" s="58">
        <f t="shared" si="18"/>
        <v>0</v>
      </c>
      <c r="N123" s="58">
        <f t="shared" si="18"/>
        <v>142936969.50999999</v>
      </c>
      <c r="O123" s="58">
        <f t="shared" si="18"/>
        <v>390061239.72000003</v>
      </c>
    </row>
    <row r="124" spans="1:15" s="77" customFormat="1" ht="33.75" customHeight="1" x14ac:dyDescent="0.25">
      <c r="A124" s="46" t="s">
        <v>138</v>
      </c>
      <c r="B124" s="46" t="s">
        <v>74</v>
      </c>
      <c r="C124" s="3" t="s">
        <v>139</v>
      </c>
      <c r="D124" s="59">
        <f>'дод 3'!E191</f>
        <v>0</v>
      </c>
      <c r="E124" s="59">
        <f>'дод 3'!F191</f>
        <v>0</v>
      </c>
      <c r="F124" s="59">
        <f>'дод 3'!G191</f>
        <v>0</v>
      </c>
      <c r="G124" s="59">
        <f>'дод 3'!H191</f>
        <v>0</v>
      </c>
      <c r="H124" s="59">
        <f>'дод 3'!I191</f>
        <v>0</v>
      </c>
      <c r="I124" s="59">
        <f>'дод 3'!J191</f>
        <v>12654938.360000001</v>
      </c>
      <c r="J124" s="59">
        <f>'дод 3'!K191</f>
        <v>12624938.360000001</v>
      </c>
      <c r="K124" s="59">
        <f>'дод 3'!L191</f>
        <v>0</v>
      </c>
      <c r="L124" s="59">
        <f>'дод 3'!M191</f>
        <v>0</v>
      </c>
      <c r="M124" s="59">
        <f>'дод 3'!N191</f>
        <v>0</v>
      </c>
      <c r="N124" s="59">
        <f>'дод 3'!O191</f>
        <v>12654938.360000001</v>
      </c>
      <c r="O124" s="59">
        <f>'дод 3'!P191</f>
        <v>12654938.360000001</v>
      </c>
    </row>
    <row r="125" spans="1:15" s="77" customFormat="1" ht="36.75" customHeight="1" x14ac:dyDescent="0.25">
      <c r="A125" s="46" t="s">
        <v>140</v>
      </c>
      <c r="B125" s="46" t="s">
        <v>76</v>
      </c>
      <c r="C125" s="3" t="s">
        <v>158</v>
      </c>
      <c r="D125" s="59">
        <f>'дод 3'!E192</f>
        <v>39159857.380000003</v>
      </c>
      <c r="E125" s="59">
        <f>'дод 3'!F192</f>
        <v>659857.38</v>
      </c>
      <c r="F125" s="59">
        <f>'дод 3'!G192</f>
        <v>0</v>
      </c>
      <c r="G125" s="59">
        <f>'дод 3'!H192</f>
        <v>0</v>
      </c>
      <c r="H125" s="59">
        <f>'дод 3'!I192</f>
        <v>38500000</v>
      </c>
      <c r="I125" s="59">
        <f>'дод 3'!J192</f>
        <v>2751142.62</v>
      </c>
      <c r="J125" s="59">
        <f>'дод 3'!K192</f>
        <v>2751142.62</v>
      </c>
      <c r="K125" s="59">
        <f>'дод 3'!L192</f>
        <v>0</v>
      </c>
      <c r="L125" s="59">
        <f>'дод 3'!M192</f>
        <v>0</v>
      </c>
      <c r="M125" s="59">
        <f>'дод 3'!N192</f>
        <v>0</v>
      </c>
      <c r="N125" s="59">
        <f>'дод 3'!O192</f>
        <v>2751142.62</v>
      </c>
      <c r="O125" s="59">
        <f>'дод 3'!P192</f>
        <v>41911000</v>
      </c>
    </row>
    <row r="126" spans="1:15" s="77" customFormat="1" ht="36.75" customHeight="1" x14ac:dyDescent="0.25">
      <c r="A126" s="49" t="s">
        <v>282</v>
      </c>
      <c r="B126" s="49" t="s">
        <v>76</v>
      </c>
      <c r="C126" s="3" t="s">
        <v>283</v>
      </c>
      <c r="D126" s="59">
        <f>'дод 3'!E193</f>
        <v>193887</v>
      </c>
      <c r="E126" s="59">
        <f>'дод 3'!F193</f>
        <v>193887</v>
      </c>
      <c r="F126" s="59">
        <f>'дод 3'!G193</f>
        <v>0</v>
      </c>
      <c r="G126" s="59">
        <f>'дод 3'!H193</f>
        <v>0</v>
      </c>
      <c r="H126" s="59">
        <f>'дод 3'!I193</f>
        <v>0</v>
      </c>
      <c r="I126" s="59">
        <f>'дод 3'!J193</f>
        <v>15742630.529999999</v>
      </c>
      <c r="J126" s="59">
        <f>'дод 3'!K193</f>
        <v>15692630.529999999</v>
      </c>
      <c r="K126" s="59">
        <f>'дод 3'!L193</f>
        <v>0</v>
      </c>
      <c r="L126" s="59">
        <f>'дод 3'!M193</f>
        <v>0</v>
      </c>
      <c r="M126" s="59">
        <f>'дод 3'!N193</f>
        <v>0</v>
      </c>
      <c r="N126" s="59">
        <f>'дод 3'!O193</f>
        <v>15742630.529999999</v>
      </c>
      <c r="O126" s="59">
        <f>'дод 3'!P193</f>
        <v>15936517.529999999</v>
      </c>
    </row>
    <row r="127" spans="1:15" s="77" customFormat="1" ht="33" customHeight="1" x14ac:dyDescent="0.25">
      <c r="A127" s="46" t="s">
        <v>285</v>
      </c>
      <c r="B127" s="46" t="s">
        <v>76</v>
      </c>
      <c r="C127" s="3" t="s">
        <v>379</v>
      </c>
      <c r="D127" s="59">
        <f>'дод 3'!E194</f>
        <v>100000</v>
      </c>
      <c r="E127" s="59">
        <f>'дод 3'!F194</f>
        <v>100000</v>
      </c>
      <c r="F127" s="59">
        <f>'дод 3'!G194</f>
        <v>0</v>
      </c>
      <c r="G127" s="59">
        <f>'дод 3'!H194</f>
        <v>0</v>
      </c>
      <c r="H127" s="59">
        <f>'дод 3'!I194</f>
        <v>0</v>
      </c>
      <c r="I127" s="59">
        <f>'дод 3'!J194</f>
        <v>0</v>
      </c>
      <c r="J127" s="59">
        <f>'дод 3'!K194</f>
        <v>0</v>
      </c>
      <c r="K127" s="59">
        <f>'дод 3'!L194</f>
        <v>0</v>
      </c>
      <c r="L127" s="59">
        <f>'дод 3'!M194</f>
        <v>0</v>
      </c>
      <c r="M127" s="59">
        <f>'дод 3'!N194</f>
        <v>0</v>
      </c>
      <c r="N127" s="59">
        <f>'дод 3'!O194</f>
        <v>0</v>
      </c>
      <c r="O127" s="59">
        <f>'дод 3'!P194</f>
        <v>100000</v>
      </c>
    </row>
    <row r="128" spans="1:15" s="77" customFormat="1" ht="52.5" customHeight="1" x14ac:dyDescent="0.25">
      <c r="A128" s="46" t="s">
        <v>75</v>
      </c>
      <c r="B128" s="46" t="s">
        <v>76</v>
      </c>
      <c r="C128" s="3" t="s">
        <v>143</v>
      </c>
      <c r="D128" s="59">
        <f>'дод 3'!E195</f>
        <v>2605232</v>
      </c>
      <c r="E128" s="59">
        <f>'дод 3'!F195</f>
        <v>0</v>
      </c>
      <c r="F128" s="59">
        <f>'дод 3'!G195</f>
        <v>0</v>
      </c>
      <c r="G128" s="59">
        <f>'дод 3'!H195</f>
        <v>0</v>
      </c>
      <c r="H128" s="59">
        <f>'дод 3'!I195</f>
        <v>2605232</v>
      </c>
      <c r="I128" s="59">
        <f>'дод 3'!J195</f>
        <v>2000000</v>
      </c>
      <c r="J128" s="59">
        <f>'дод 3'!K195</f>
        <v>2000000</v>
      </c>
      <c r="K128" s="59">
        <f>'дод 3'!L195</f>
        <v>0</v>
      </c>
      <c r="L128" s="59">
        <f>'дод 3'!M195</f>
        <v>0</v>
      </c>
      <c r="M128" s="59">
        <f>'дод 3'!N195</f>
        <v>0</v>
      </c>
      <c r="N128" s="59">
        <f>'дод 3'!O195</f>
        <v>2000000</v>
      </c>
      <c r="O128" s="59">
        <f>'дод 3'!P195</f>
        <v>4605232</v>
      </c>
    </row>
    <row r="129" spans="1:15" ht="30" customHeight="1" x14ac:dyDescent="0.25">
      <c r="A129" s="46" t="s">
        <v>141</v>
      </c>
      <c r="B129" s="46" t="s">
        <v>76</v>
      </c>
      <c r="C129" s="3" t="s">
        <v>142</v>
      </c>
      <c r="D129" s="59">
        <f>'дод 3'!E196+'дод 3'!E222</f>
        <v>198261749.56999999</v>
      </c>
      <c r="E129" s="59">
        <f>'дод 3'!F196+'дод 3'!F222</f>
        <v>198261749.56999999</v>
      </c>
      <c r="F129" s="59">
        <f>'дод 3'!G196+'дод 3'!G222</f>
        <v>0</v>
      </c>
      <c r="G129" s="59">
        <f>'дод 3'!H196+'дод 3'!H222</f>
        <v>28121706</v>
      </c>
      <c r="H129" s="59">
        <f>'дод 3'!I196+'дод 3'!I222</f>
        <v>0</v>
      </c>
      <c r="I129" s="59">
        <f>'дод 3'!J196+'дод 3'!J222</f>
        <v>108909846.15000001</v>
      </c>
      <c r="J129" s="59">
        <f>'дод 3'!K196+'дод 3'!K222</f>
        <v>108909846.15000001</v>
      </c>
      <c r="K129" s="59">
        <f>'дод 3'!L196+'дод 3'!L222</f>
        <v>0</v>
      </c>
      <c r="L129" s="59">
        <f>'дод 3'!M196+'дод 3'!M222</f>
        <v>0</v>
      </c>
      <c r="M129" s="59">
        <f>'дод 3'!N196+'дод 3'!N222</f>
        <v>0</v>
      </c>
      <c r="N129" s="59">
        <f>'дод 3'!O196+'дод 3'!O222</f>
        <v>108909846.15000001</v>
      </c>
      <c r="O129" s="59">
        <f>'дод 3'!P196+'дод 3'!P222</f>
        <v>307171595.72000003</v>
      </c>
    </row>
    <row r="130" spans="1:15" s="77" customFormat="1" ht="57" customHeight="1" x14ac:dyDescent="0.25">
      <c r="A130" s="46" t="s">
        <v>145</v>
      </c>
      <c r="B130" s="51" t="s">
        <v>74</v>
      </c>
      <c r="C130" s="3" t="s">
        <v>146</v>
      </c>
      <c r="D130" s="59">
        <f>'дод 3'!E223</f>
        <v>84906</v>
      </c>
      <c r="E130" s="59">
        <f>'дод 3'!F223</f>
        <v>0</v>
      </c>
      <c r="F130" s="59">
        <f>'дод 3'!G223</f>
        <v>0</v>
      </c>
      <c r="G130" s="59">
        <f>'дод 3'!H223</f>
        <v>0</v>
      </c>
      <c r="H130" s="59">
        <f>'дод 3'!I223</f>
        <v>84906</v>
      </c>
      <c r="I130" s="59">
        <f>'дод 3'!J223</f>
        <v>77703.06</v>
      </c>
      <c r="J130" s="59">
        <f>'дод 3'!K223</f>
        <v>0</v>
      </c>
      <c r="K130" s="59">
        <f>'дод 3'!L223</f>
        <v>0</v>
      </c>
      <c r="L130" s="59">
        <f>'дод 3'!M223</f>
        <v>0</v>
      </c>
      <c r="M130" s="59">
        <f>'дод 3'!N223</f>
        <v>0</v>
      </c>
      <c r="N130" s="59">
        <f>'дод 3'!O223</f>
        <v>77703.06</v>
      </c>
      <c r="O130" s="59">
        <f>'дод 3'!P223</f>
        <v>162609.06</v>
      </c>
    </row>
    <row r="131" spans="1:15" ht="39.75" customHeight="1" x14ac:dyDescent="0.25">
      <c r="A131" s="46" t="s">
        <v>152</v>
      </c>
      <c r="B131" s="51" t="s">
        <v>342</v>
      </c>
      <c r="C131" s="3" t="s">
        <v>153</v>
      </c>
      <c r="D131" s="59">
        <f>'дод 3'!E197+'дод 3'!E238</f>
        <v>6718638.2600000007</v>
      </c>
      <c r="E131" s="59">
        <f>'дод 3'!F197+'дод 3'!F238</f>
        <v>6714338.2600000007</v>
      </c>
      <c r="F131" s="59">
        <f>'дод 3'!G197+'дод 3'!G238</f>
        <v>0</v>
      </c>
      <c r="G131" s="59">
        <f>'дод 3'!H197+'дод 3'!H238</f>
        <v>42400</v>
      </c>
      <c r="H131" s="59">
        <f>'дод 3'!I197+'дод 3'!I238</f>
        <v>4300</v>
      </c>
      <c r="I131" s="59">
        <f>'дод 3'!J197+'дод 3'!J238</f>
        <v>800708.78999999911</v>
      </c>
      <c r="J131" s="59">
        <f>'дод 3'!K197+'дод 3'!K238</f>
        <v>800708.78999999911</v>
      </c>
      <c r="K131" s="59">
        <f>'дод 3'!L197+'дод 3'!L238</f>
        <v>0</v>
      </c>
      <c r="L131" s="59">
        <f>'дод 3'!M197+'дод 3'!M238</f>
        <v>0</v>
      </c>
      <c r="M131" s="59">
        <f>'дод 3'!N197+'дод 3'!N238</f>
        <v>0</v>
      </c>
      <c r="N131" s="59">
        <f>'дод 3'!O197+'дод 3'!O238</f>
        <v>800708.78999999911</v>
      </c>
      <c r="O131" s="59">
        <f>'дод 3'!P197+'дод 3'!P238</f>
        <v>7519347.0499999998</v>
      </c>
    </row>
    <row r="132" spans="1:15" s="75" customFormat="1" ht="29.25" customHeight="1" x14ac:dyDescent="0.25">
      <c r="A132" s="47" t="s">
        <v>147</v>
      </c>
      <c r="B132" s="50"/>
      <c r="C132" s="2" t="s">
        <v>485</v>
      </c>
      <c r="D132" s="58">
        <f t="shared" ref="D132:O132" si="19">D136+D138+D151+D158+D160+D171</f>
        <v>58976143.799999997</v>
      </c>
      <c r="E132" s="58">
        <f t="shared" si="19"/>
        <v>18695343.800000001</v>
      </c>
      <c r="F132" s="58">
        <f t="shared" si="19"/>
        <v>0</v>
      </c>
      <c r="G132" s="58">
        <f t="shared" si="19"/>
        <v>0</v>
      </c>
      <c r="H132" s="58">
        <f t="shared" si="19"/>
        <v>40280800</v>
      </c>
      <c r="I132" s="58">
        <f t="shared" si="19"/>
        <v>395567551.45999998</v>
      </c>
      <c r="J132" s="58">
        <f t="shared" si="19"/>
        <v>301058419.32999998</v>
      </c>
      <c r="K132" s="58">
        <f t="shared" si="19"/>
        <v>81941363.010000005</v>
      </c>
      <c r="L132" s="58">
        <f t="shared" si="19"/>
        <v>0</v>
      </c>
      <c r="M132" s="58">
        <f t="shared" si="19"/>
        <v>0</v>
      </c>
      <c r="N132" s="58">
        <f t="shared" si="19"/>
        <v>313626188.44999999</v>
      </c>
      <c r="O132" s="58">
        <f t="shared" si="19"/>
        <v>454543695.25999999</v>
      </c>
    </row>
    <row r="133" spans="1:15" s="76" customFormat="1" ht="47.25" x14ac:dyDescent="0.25">
      <c r="A133" s="137"/>
      <c r="B133" s="138"/>
      <c r="C133" s="153" t="s">
        <v>452</v>
      </c>
      <c r="D133" s="154">
        <f>D139</f>
        <v>0</v>
      </c>
      <c r="E133" s="154">
        <f t="shared" ref="E133:O133" si="20">E139</f>
        <v>0</v>
      </c>
      <c r="F133" s="154">
        <f t="shared" si="20"/>
        <v>0</v>
      </c>
      <c r="G133" s="154">
        <f t="shared" si="20"/>
        <v>0</v>
      </c>
      <c r="H133" s="154">
        <f t="shared" si="20"/>
        <v>0</v>
      </c>
      <c r="I133" s="154">
        <f t="shared" si="20"/>
        <v>13809968.930000002</v>
      </c>
      <c r="J133" s="154">
        <f t="shared" si="20"/>
        <v>13809968.930000002</v>
      </c>
      <c r="K133" s="154">
        <f t="shared" si="20"/>
        <v>0</v>
      </c>
      <c r="L133" s="154">
        <f t="shared" si="20"/>
        <v>0</v>
      </c>
      <c r="M133" s="154">
        <f t="shared" si="20"/>
        <v>0</v>
      </c>
      <c r="N133" s="154">
        <f t="shared" si="20"/>
        <v>13809968.930000002</v>
      </c>
      <c r="O133" s="154">
        <f t="shared" si="20"/>
        <v>13809968.930000002</v>
      </c>
    </row>
    <row r="134" spans="1:15" s="76" customFormat="1" ht="94.5" x14ac:dyDescent="0.25">
      <c r="A134" s="137"/>
      <c r="B134" s="138"/>
      <c r="C134" s="153" t="s">
        <v>461</v>
      </c>
      <c r="D134" s="154">
        <f>D152</f>
        <v>0</v>
      </c>
      <c r="E134" s="154">
        <f t="shared" ref="E134:N134" si="21">E152</f>
        <v>0</v>
      </c>
      <c r="F134" s="154">
        <f t="shared" si="21"/>
        <v>0</v>
      </c>
      <c r="G134" s="154">
        <f t="shared" si="21"/>
        <v>0</v>
      </c>
      <c r="H134" s="154">
        <f t="shared" si="21"/>
        <v>0</v>
      </c>
      <c r="I134" s="154">
        <f t="shared" si="21"/>
        <v>80000000</v>
      </c>
      <c r="J134" s="154">
        <f t="shared" si="21"/>
        <v>0</v>
      </c>
      <c r="K134" s="154">
        <f t="shared" si="21"/>
        <v>80000000</v>
      </c>
      <c r="L134" s="154">
        <f t="shared" si="21"/>
        <v>0</v>
      </c>
      <c r="M134" s="154">
        <f t="shared" si="21"/>
        <v>0</v>
      </c>
      <c r="N134" s="154">
        <f t="shared" si="21"/>
        <v>0</v>
      </c>
      <c r="O134" s="154">
        <f t="shared" ref="O134" si="22">O152</f>
        <v>80000000</v>
      </c>
    </row>
    <row r="135" spans="1:15" s="76" customFormat="1" ht="23.25" customHeight="1" x14ac:dyDescent="0.25">
      <c r="A135" s="137"/>
      <c r="B135" s="137"/>
      <c r="C135" s="161" t="s">
        <v>507</v>
      </c>
      <c r="D135" s="154">
        <f>D161</f>
        <v>0</v>
      </c>
      <c r="E135" s="154">
        <f t="shared" ref="E135:O135" si="23">E161</f>
        <v>0</v>
      </c>
      <c r="F135" s="154">
        <f t="shared" si="23"/>
        <v>0</v>
      </c>
      <c r="G135" s="154">
        <f t="shared" si="23"/>
        <v>0</v>
      </c>
      <c r="H135" s="154">
        <f t="shared" si="23"/>
        <v>0</v>
      </c>
      <c r="I135" s="154">
        <f t="shared" si="23"/>
        <v>58776907</v>
      </c>
      <c r="J135" s="154">
        <f t="shared" si="23"/>
        <v>58776907</v>
      </c>
      <c r="K135" s="154">
        <f t="shared" si="23"/>
        <v>0</v>
      </c>
      <c r="L135" s="154">
        <f t="shared" si="23"/>
        <v>0</v>
      </c>
      <c r="M135" s="154">
        <f t="shared" si="23"/>
        <v>0</v>
      </c>
      <c r="N135" s="154">
        <f t="shared" si="23"/>
        <v>58776907</v>
      </c>
      <c r="O135" s="154">
        <f t="shared" si="23"/>
        <v>58776907</v>
      </c>
    </row>
    <row r="136" spans="1:15" s="75" customFormat="1" x14ac:dyDescent="0.25">
      <c r="A136" s="47" t="s">
        <v>154</v>
      </c>
      <c r="B136" s="50"/>
      <c r="C136" s="2" t="s">
        <v>155</v>
      </c>
      <c r="D136" s="58">
        <f t="shared" ref="D136:O136" si="24">D137</f>
        <v>655000</v>
      </c>
      <c r="E136" s="58">
        <f t="shared" si="24"/>
        <v>655000</v>
      </c>
      <c r="F136" s="58">
        <f t="shared" si="24"/>
        <v>0</v>
      </c>
      <c r="G136" s="58">
        <f t="shared" si="24"/>
        <v>0</v>
      </c>
      <c r="H136" s="58">
        <f t="shared" si="24"/>
        <v>0</v>
      </c>
      <c r="I136" s="58">
        <f t="shared" si="24"/>
        <v>0</v>
      </c>
      <c r="J136" s="58">
        <f t="shared" si="24"/>
        <v>0</v>
      </c>
      <c r="K136" s="58">
        <f t="shared" si="24"/>
        <v>0</v>
      </c>
      <c r="L136" s="58">
        <f t="shared" si="24"/>
        <v>0</v>
      </c>
      <c r="M136" s="58">
        <f t="shared" si="24"/>
        <v>0</v>
      </c>
      <c r="N136" s="58">
        <f t="shared" si="24"/>
        <v>0</v>
      </c>
      <c r="O136" s="58">
        <f t="shared" si="24"/>
        <v>655000</v>
      </c>
    </row>
    <row r="137" spans="1:15" ht="24" customHeight="1" x14ac:dyDescent="0.25">
      <c r="A137" s="46" t="s">
        <v>148</v>
      </c>
      <c r="B137" s="46" t="s">
        <v>90</v>
      </c>
      <c r="C137" s="3" t="s">
        <v>380</v>
      </c>
      <c r="D137" s="59">
        <f>'дод 3'!E246</f>
        <v>655000</v>
      </c>
      <c r="E137" s="59">
        <f>'дод 3'!F246</f>
        <v>655000</v>
      </c>
      <c r="F137" s="59">
        <f>'дод 3'!G246</f>
        <v>0</v>
      </c>
      <c r="G137" s="59">
        <f>'дод 3'!H246</f>
        <v>0</v>
      </c>
      <c r="H137" s="59">
        <f>'дод 3'!I246</f>
        <v>0</v>
      </c>
      <c r="I137" s="59">
        <f>'дод 3'!J246</f>
        <v>0</v>
      </c>
      <c r="J137" s="59">
        <f>'дод 3'!K246</f>
        <v>0</v>
      </c>
      <c r="K137" s="59">
        <f>'дод 3'!L246</f>
        <v>0</v>
      </c>
      <c r="L137" s="59">
        <f>'дод 3'!M246</f>
        <v>0</v>
      </c>
      <c r="M137" s="59">
        <f>'дод 3'!N246</f>
        <v>0</v>
      </c>
      <c r="N137" s="59">
        <f>'дод 3'!O246</f>
        <v>0</v>
      </c>
      <c r="O137" s="59">
        <f>'дод 3'!P246</f>
        <v>655000</v>
      </c>
    </row>
    <row r="138" spans="1:15" s="75" customFormat="1" ht="33.75" customHeight="1" x14ac:dyDescent="0.25">
      <c r="A138" s="47" t="s">
        <v>104</v>
      </c>
      <c r="B138" s="47"/>
      <c r="C138" s="13" t="s">
        <v>486</v>
      </c>
      <c r="D138" s="58">
        <f>D140+D141+D142+D143+D145+D146+D148+D144+D147+D149</f>
        <v>0</v>
      </c>
      <c r="E138" s="58">
        <f t="shared" ref="E138:O138" si="25">E140+E141+E142+E143+E145+E146+E148+E144+E147+E149</f>
        <v>0</v>
      </c>
      <c r="F138" s="58">
        <f t="shared" si="25"/>
        <v>0</v>
      </c>
      <c r="G138" s="58">
        <f t="shared" si="25"/>
        <v>0</v>
      </c>
      <c r="H138" s="58">
        <f t="shared" si="25"/>
        <v>0</v>
      </c>
      <c r="I138" s="58">
        <f t="shared" si="25"/>
        <v>195056818.12999997</v>
      </c>
      <c r="J138" s="58">
        <f t="shared" si="25"/>
        <v>195056818.12999997</v>
      </c>
      <c r="K138" s="58">
        <f t="shared" si="25"/>
        <v>0</v>
      </c>
      <c r="L138" s="58">
        <f t="shared" si="25"/>
        <v>0</v>
      </c>
      <c r="M138" s="58">
        <f t="shared" si="25"/>
        <v>0</v>
      </c>
      <c r="N138" s="58">
        <f t="shared" si="25"/>
        <v>195056818.12999997</v>
      </c>
      <c r="O138" s="58">
        <f t="shared" si="25"/>
        <v>195056818.12999997</v>
      </c>
    </row>
    <row r="139" spans="1:15" s="76" customFormat="1" ht="47.25" x14ac:dyDescent="0.25">
      <c r="A139" s="137"/>
      <c r="B139" s="137"/>
      <c r="C139" s="153" t="s">
        <v>452</v>
      </c>
      <c r="D139" s="154">
        <f>D150</f>
        <v>0</v>
      </c>
      <c r="E139" s="154">
        <f t="shared" ref="E139:O139" si="26">E150</f>
        <v>0</v>
      </c>
      <c r="F139" s="154">
        <f t="shared" si="26"/>
        <v>0</v>
      </c>
      <c r="G139" s="154">
        <f t="shared" si="26"/>
        <v>0</v>
      </c>
      <c r="H139" s="154">
        <f t="shared" si="26"/>
        <v>0</v>
      </c>
      <c r="I139" s="154">
        <f t="shared" si="26"/>
        <v>13809968.930000002</v>
      </c>
      <c r="J139" s="154">
        <f t="shared" si="26"/>
        <v>13809968.930000002</v>
      </c>
      <c r="K139" s="154">
        <f t="shared" si="26"/>
        <v>0</v>
      </c>
      <c r="L139" s="154">
        <f t="shared" si="26"/>
        <v>0</v>
      </c>
      <c r="M139" s="154">
        <f t="shared" si="26"/>
        <v>0</v>
      </c>
      <c r="N139" s="154">
        <f t="shared" si="26"/>
        <v>13809968.930000002</v>
      </c>
      <c r="O139" s="154">
        <f t="shared" si="26"/>
        <v>13809968.930000002</v>
      </c>
    </row>
    <row r="140" spans="1:15" ht="28.5" customHeight="1" x14ac:dyDescent="0.25">
      <c r="A140" s="49" t="s">
        <v>294</v>
      </c>
      <c r="B140" s="49" t="s">
        <v>119</v>
      </c>
      <c r="C140" s="3" t="s">
        <v>303</v>
      </c>
      <c r="D140" s="59">
        <f>'дод 3'!E224+'дод 3'!E198</f>
        <v>0</v>
      </c>
      <c r="E140" s="59">
        <f>'дод 3'!F224+'дод 3'!F198</f>
        <v>0</v>
      </c>
      <c r="F140" s="59">
        <f>'дод 3'!G224+'дод 3'!G198</f>
        <v>0</v>
      </c>
      <c r="G140" s="59">
        <f>'дод 3'!H224+'дод 3'!H198</f>
        <v>0</v>
      </c>
      <c r="H140" s="59">
        <f>'дод 3'!I224+'дод 3'!I198</f>
        <v>0</v>
      </c>
      <c r="I140" s="59">
        <f>'дод 3'!J224+'дод 3'!J198</f>
        <v>15375697.759999998</v>
      </c>
      <c r="J140" s="59">
        <f>'дод 3'!K224+'дод 3'!K198</f>
        <v>15375697.759999998</v>
      </c>
      <c r="K140" s="59">
        <f>'дод 3'!L224+'дод 3'!L198</f>
        <v>0</v>
      </c>
      <c r="L140" s="59">
        <f>'дод 3'!M224+'дод 3'!M198</f>
        <v>0</v>
      </c>
      <c r="M140" s="59">
        <f>'дод 3'!N224+'дод 3'!N198</f>
        <v>0</v>
      </c>
      <c r="N140" s="59">
        <f>'дод 3'!O224+'дод 3'!O198</f>
        <v>15375697.759999998</v>
      </c>
      <c r="O140" s="59">
        <f>'дод 3'!P224+'дод 3'!P198</f>
        <v>15375697.759999998</v>
      </c>
    </row>
    <row r="141" spans="1:15" s="77" customFormat="1" ht="28.5" customHeight="1" x14ac:dyDescent="0.25">
      <c r="A141" s="49" t="s">
        <v>299</v>
      </c>
      <c r="B141" s="49" t="s">
        <v>119</v>
      </c>
      <c r="C141" s="3" t="s">
        <v>304</v>
      </c>
      <c r="D141" s="59">
        <f>'дод 3'!E225+'дод 3'!E94</f>
        <v>0</v>
      </c>
      <c r="E141" s="59">
        <f>'дод 3'!F225+'дод 3'!F94</f>
        <v>0</v>
      </c>
      <c r="F141" s="59">
        <f>'дод 3'!G225+'дод 3'!G94</f>
        <v>0</v>
      </c>
      <c r="G141" s="59">
        <f>'дод 3'!H225+'дод 3'!H94</f>
        <v>0</v>
      </c>
      <c r="H141" s="59">
        <f>'дод 3'!I225+'дод 3'!I94</f>
        <v>0</v>
      </c>
      <c r="I141" s="59">
        <f>'дод 3'!J225+'дод 3'!J94</f>
        <v>27738374</v>
      </c>
      <c r="J141" s="59">
        <f>'дод 3'!K225+'дод 3'!K94</f>
        <v>27738374</v>
      </c>
      <c r="K141" s="59">
        <f>'дод 3'!L225+'дод 3'!L94</f>
        <v>0</v>
      </c>
      <c r="L141" s="59">
        <f>'дод 3'!M225+'дод 3'!M94</f>
        <v>0</v>
      </c>
      <c r="M141" s="59">
        <f>'дод 3'!N225+'дод 3'!N94</f>
        <v>0</v>
      </c>
      <c r="N141" s="59">
        <f>'дод 3'!O225+'дод 3'!O94</f>
        <v>27738374</v>
      </c>
      <c r="O141" s="59">
        <f>'дод 3'!P225+'дод 3'!P94</f>
        <v>27738374</v>
      </c>
    </row>
    <row r="142" spans="1:15" s="77" customFormat="1" ht="28.5" customHeight="1" x14ac:dyDescent="0.25">
      <c r="A142" s="49" t="s">
        <v>301</v>
      </c>
      <c r="B142" s="49" t="s">
        <v>119</v>
      </c>
      <c r="C142" s="3" t="s">
        <v>305</v>
      </c>
      <c r="D142" s="59">
        <f>'дод 3'!E226+'дод 3'!E127</f>
        <v>0</v>
      </c>
      <c r="E142" s="59">
        <f>'дод 3'!F226+'дод 3'!F127</f>
        <v>0</v>
      </c>
      <c r="F142" s="59">
        <f>'дод 3'!G226+'дод 3'!G127</f>
        <v>0</v>
      </c>
      <c r="G142" s="59">
        <f>'дод 3'!H226+'дод 3'!H127</f>
        <v>0</v>
      </c>
      <c r="H142" s="59">
        <f>'дод 3'!I226+'дод 3'!I127</f>
        <v>0</v>
      </c>
      <c r="I142" s="59">
        <f>'дод 3'!J226+'дод 3'!J127</f>
        <v>39684419</v>
      </c>
      <c r="J142" s="59">
        <f>'дод 3'!K226+'дод 3'!K127</f>
        <v>39684419</v>
      </c>
      <c r="K142" s="59">
        <f>'дод 3'!L226+'дод 3'!L127</f>
        <v>0</v>
      </c>
      <c r="L142" s="59">
        <f>'дод 3'!M226+'дод 3'!M127</f>
        <v>0</v>
      </c>
      <c r="M142" s="59">
        <f>'дод 3'!N226+'дод 3'!N127</f>
        <v>0</v>
      </c>
      <c r="N142" s="59">
        <f>'дод 3'!O226+'дод 3'!O127</f>
        <v>39684419</v>
      </c>
      <c r="O142" s="59">
        <f>'дод 3'!P226+'дод 3'!P127</f>
        <v>39684419</v>
      </c>
    </row>
    <row r="143" spans="1:15" s="77" customFormat="1" ht="28.5" customHeight="1" x14ac:dyDescent="0.25">
      <c r="A143" s="49">
        <v>7323</v>
      </c>
      <c r="B143" s="139" t="s">
        <v>119</v>
      </c>
      <c r="C143" s="3" t="s">
        <v>503</v>
      </c>
      <c r="D143" s="59">
        <f>'дод 3'!E168</f>
        <v>0</v>
      </c>
      <c r="E143" s="59">
        <f>'дод 3'!F168</f>
        <v>0</v>
      </c>
      <c r="F143" s="59">
        <f>'дод 3'!G168</f>
        <v>0</v>
      </c>
      <c r="G143" s="59">
        <f>'дод 3'!H168</f>
        <v>0</v>
      </c>
      <c r="H143" s="59">
        <f>'дод 3'!I168</f>
        <v>0</v>
      </c>
      <c r="I143" s="59">
        <f>'дод 3'!J168</f>
        <v>200000</v>
      </c>
      <c r="J143" s="59">
        <f>'дод 3'!K168</f>
        <v>200000</v>
      </c>
      <c r="K143" s="59">
        <f>'дод 3'!L168</f>
        <v>0</v>
      </c>
      <c r="L143" s="59">
        <f>'дод 3'!M168</f>
        <v>0</v>
      </c>
      <c r="M143" s="59">
        <f>'дод 3'!N168</f>
        <v>0</v>
      </c>
      <c r="N143" s="59">
        <f>'дод 3'!O168</f>
        <v>200000</v>
      </c>
      <c r="O143" s="59">
        <f>'дод 3'!P168</f>
        <v>200000</v>
      </c>
    </row>
    <row r="144" spans="1:15" s="77" customFormat="1" ht="31.5" x14ac:dyDescent="0.25">
      <c r="A144" s="49">
        <v>7325</v>
      </c>
      <c r="B144" s="139" t="s">
        <v>119</v>
      </c>
      <c r="C144" s="3" t="s">
        <v>396</v>
      </c>
      <c r="D144" s="59">
        <f>'дод 3'!E227+'дод 3'!E39</f>
        <v>0</v>
      </c>
      <c r="E144" s="59">
        <f>'дод 3'!F227+'дод 3'!F39</f>
        <v>0</v>
      </c>
      <c r="F144" s="59">
        <f>'дод 3'!G227+'дод 3'!G39</f>
        <v>0</v>
      </c>
      <c r="G144" s="59">
        <f>'дод 3'!H227+'дод 3'!H39</f>
        <v>0</v>
      </c>
      <c r="H144" s="59">
        <f>'дод 3'!I227+'дод 3'!I39</f>
        <v>0</v>
      </c>
      <c r="I144" s="59">
        <f>'дод 3'!J227+'дод 3'!J39</f>
        <v>12400000</v>
      </c>
      <c r="J144" s="59">
        <f>'дод 3'!K227+'дод 3'!K39</f>
        <v>12400000</v>
      </c>
      <c r="K144" s="59">
        <f>'дод 3'!L227+'дод 3'!L39</f>
        <v>0</v>
      </c>
      <c r="L144" s="59">
        <f>'дод 3'!M227+'дод 3'!M39</f>
        <v>0</v>
      </c>
      <c r="M144" s="59">
        <f>'дод 3'!N227+'дод 3'!N39</f>
        <v>0</v>
      </c>
      <c r="N144" s="59">
        <f>'дод 3'!O227+'дод 3'!O39</f>
        <v>12400000</v>
      </c>
      <c r="O144" s="59">
        <f>'дод 3'!P227+'дод 3'!P39</f>
        <v>12400000</v>
      </c>
    </row>
    <row r="145" spans="1:15" ht="32.25" customHeight="1" x14ac:dyDescent="0.25">
      <c r="A145" s="49" t="s">
        <v>296</v>
      </c>
      <c r="B145" s="49" t="s">
        <v>119</v>
      </c>
      <c r="C145" s="3" t="s">
        <v>364</v>
      </c>
      <c r="D145" s="59">
        <f>'дод 3'!E228+'дод 3'!E199+'дод 3'!E40</f>
        <v>0</v>
      </c>
      <c r="E145" s="59">
        <f>'дод 3'!F228+'дод 3'!F199+'дод 3'!F40</f>
        <v>0</v>
      </c>
      <c r="F145" s="59">
        <f>'дод 3'!G228+'дод 3'!G199+'дод 3'!G40</f>
        <v>0</v>
      </c>
      <c r="G145" s="59">
        <f>'дод 3'!H228+'дод 3'!H199+'дод 3'!H40</f>
        <v>0</v>
      </c>
      <c r="H145" s="59">
        <f>'дод 3'!I228+'дод 3'!I199+'дод 3'!I40</f>
        <v>0</v>
      </c>
      <c r="I145" s="59">
        <f>'дод 3'!J228+'дод 3'!J199+'дод 3'!J40</f>
        <v>71329544.769999996</v>
      </c>
      <c r="J145" s="59">
        <f>'дод 3'!K228+'дод 3'!K199+'дод 3'!K40</f>
        <v>71329544.769999996</v>
      </c>
      <c r="K145" s="59">
        <f>'дод 3'!L228+'дод 3'!L199+'дод 3'!L40</f>
        <v>0</v>
      </c>
      <c r="L145" s="59">
        <f>'дод 3'!M228+'дод 3'!M199+'дод 3'!M40</f>
        <v>0</v>
      </c>
      <c r="M145" s="59">
        <f>'дод 3'!N228+'дод 3'!N199+'дод 3'!N40</f>
        <v>0</v>
      </c>
      <c r="N145" s="59">
        <f>'дод 3'!O228+'дод 3'!O199+'дод 3'!O40</f>
        <v>71329544.769999996</v>
      </c>
      <c r="O145" s="59">
        <f>'дод 3'!P228+'дод 3'!P199+'дод 3'!P40</f>
        <v>71329544.769999996</v>
      </c>
    </row>
    <row r="146" spans="1:15" ht="35.25" customHeight="1" x14ac:dyDescent="0.25">
      <c r="A146" s="46" t="s">
        <v>149</v>
      </c>
      <c r="B146" s="46" t="s">
        <v>119</v>
      </c>
      <c r="C146" s="3" t="s">
        <v>1</v>
      </c>
      <c r="D146" s="59">
        <f>'дод 3'!E200+'дод 3'!E229</f>
        <v>0</v>
      </c>
      <c r="E146" s="59">
        <f>'дод 3'!F200+'дод 3'!F229</f>
        <v>0</v>
      </c>
      <c r="F146" s="59">
        <f>'дод 3'!G200+'дод 3'!G229</f>
        <v>0</v>
      </c>
      <c r="G146" s="59">
        <f>'дод 3'!H200+'дод 3'!H229</f>
        <v>0</v>
      </c>
      <c r="H146" s="59">
        <f>'дод 3'!I200+'дод 3'!I229</f>
        <v>0</v>
      </c>
      <c r="I146" s="59">
        <f>'дод 3'!J200+'дод 3'!J229</f>
        <v>3673070</v>
      </c>
      <c r="J146" s="59">
        <f>'дод 3'!K200+'дод 3'!K229</f>
        <v>3673070</v>
      </c>
      <c r="K146" s="59">
        <f>'дод 3'!L200+'дод 3'!L229</f>
        <v>0</v>
      </c>
      <c r="L146" s="59">
        <f>'дод 3'!M200+'дод 3'!M229</f>
        <v>0</v>
      </c>
      <c r="M146" s="59">
        <f>'дод 3'!N200+'дод 3'!N229</f>
        <v>0</v>
      </c>
      <c r="N146" s="59">
        <f>'дод 3'!O200+'дод 3'!O229</f>
        <v>3673070</v>
      </c>
      <c r="O146" s="59">
        <f>'дод 3'!P200+'дод 3'!P229</f>
        <v>3673070</v>
      </c>
    </row>
    <row r="147" spans="1:15" ht="51.75" customHeight="1" x14ac:dyDescent="0.25">
      <c r="A147" s="46">
        <v>7361</v>
      </c>
      <c r="B147" s="46" t="s">
        <v>89</v>
      </c>
      <c r="C147" s="3" t="s">
        <v>418</v>
      </c>
      <c r="D147" s="59">
        <f>'дод 3'!E201+'дод 3'!E230+'дод 3'!E128</f>
        <v>0</v>
      </c>
      <c r="E147" s="59">
        <f>'дод 3'!F201+'дод 3'!F230+'дод 3'!F128</f>
        <v>0</v>
      </c>
      <c r="F147" s="59">
        <f>'дод 3'!G201+'дод 3'!G230+'дод 3'!G128</f>
        <v>0</v>
      </c>
      <c r="G147" s="59">
        <f>'дод 3'!H201+'дод 3'!H230+'дод 3'!H128</f>
        <v>0</v>
      </c>
      <c r="H147" s="59">
        <f>'дод 3'!I201+'дод 3'!I230+'дод 3'!I128</f>
        <v>0</v>
      </c>
      <c r="I147" s="59">
        <f>'дод 3'!J201+'дод 3'!J230+'дод 3'!J128</f>
        <v>9386113</v>
      </c>
      <c r="J147" s="59">
        <f>'дод 3'!K201+'дод 3'!K230+'дод 3'!K128</f>
        <v>9386113</v>
      </c>
      <c r="K147" s="59">
        <f>'дод 3'!L201+'дод 3'!L230+'дод 3'!L128</f>
        <v>0</v>
      </c>
      <c r="L147" s="59">
        <f>'дод 3'!M201+'дод 3'!M230+'дод 3'!M128</f>
        <v>0</v>
      </c>
      <c r="M147" s="59">
        <f>'дод 3'!N201+'дод 3'!N230+'дод 3'!N128</f>
        <v>0</v>
      </c>
      <c r="N147" s="59">
        <f>'дод 3'!O201+'дод 3'!O230+'дод 3'!O128</f>
        <v>9386113</v>
      </c>
      <c r="O147" s="59">
        <f>'дод 3'!P201+'дод 3'!P230+'дод 3'!P128</f>
        <v>9386113</v>
      </c>
    </row>
    <row r="148" spans="1:15" s="77" customFormat="1" ht="46.5" customHeight="1" x14ac:dyDescent="0.25">
      <c r="A148" s="46">
        <v>7362</v>
      </c>
      <c r="B148" s="46" t="s">
        <v>89</v>
      </c>
      <c r="C148" s="3" t="s">
        <v>402</v>
      </c>
      <c r="D148" s="59">
        <f>'дод 3'!E202</f>
        <v>0</v>
      </c>
      <c r="E148" s="59">
        <f>'дод 3'!F202</f>
        <v>0</v>
      </c>
      <c r="F148" s="59">
        <f>'дод 3'!G202</f>
        <v>0</v>
      </c>
      <c r="G148" s="59">
        <f>'дод 3'!H202</f>
        <v>0</v>
      </c>
      <c r="H148" s="59">
        <f>'дод 3'!I202</f>
        <v>0</v>
      </c>
      <c r="I148" s="59">
        <f>'дод 3'!J202</f>
        <v>75600</v>
      </c>
      <c r="J148" s="59">
        <f>'дод 3'!K202</f>
        <v>75600</v>
      </c>
      <c r="K148" s="59">
        <f>'дод 3'!L202</f>
        <v>0</v>
      </c>
      <c r="L148" s="59">
        <f>'дод 3'!M202</f>
        <v>0</v>
      </c>
      <c r="M148" s="59">
        <f>'дод 3'!N202</f>
        <v>0</v>
      </c>
      <c r="N148" s="59">
        <f>'дод 3'!O202</f>
        <v>75600</v>
      </c>
      <c r="O148" s="59">
        <f>'дод 3'!P202</f>
        <v>75600</v>
      </c>
    </row>
    <row r="149" spans="1:15" s="77" customFormat="1" ht="52.5" customHeight="1" x14ac:dyDescent="0.25">
      <c r="A149" s="46">
        <v>7363</v>
      </c>
      <c r="B149" s="95" t="s">
        <v>89</v>
      </c>
      <c r="C149" s="96" t="s">
        <v>463</v>
      </c>
      <c r="D149" s="59">
        <f>'дод 3'!E95+'дод 3'!E203+'дод 3'!E231+'дод 3'!E129</f>
        <v>0</v>
      </c>
      <c r="E149" s="59">
        <f>'дод 3'!F95+'дод 3'!F203+'дод 3'!F231+'дод 3'!F129</f>
        <v>0</v>
      </c>
      <c r="F149" s="59">
        <f>'дод 3'!G95+'дод 3'!G203+'дод 3'!G231+'дод 3'!G129</f>
        <v>0</v>
      </c>
      <c r="G149" s="59">
        <f>'дод 3'!H95+'дод 3'!H203+'дод 3'!H231+'дод 3'!H129</f>
        <v>0</v>
      </c>
      <c r="H149" s="59">
        <f>'дод 3'!I95+'дод 3'!I203+'дод 3'!I231+'дод 3'!I129</f>
        <v>0</v>
      </c>
      <c r="I149" s="59">
        <f>'дод 3'!J95+'дод 3'!J203+'дод 3'!J231+'дод 3'!J129</f>
        <v>15193999.6</v>
      </c>
      <c r="J149" s="59">
        <f>'дод 3'!K95+'дод 3'!K203+'дод 3'!K231+'дод 3'!K129</f>
        <v>15193999.6</v>
      </c>
      <c r="K149" s="59">
        <f>'дод 3'!L95+'дод 3'!L203+'дод 3'!L231+'дод 3'!L129</f>
        <v>0</v>
      </c>
      <c r="L149" s="59">
        <f>'дод 3'!M95+'дод 3'!M203+'дод 3'!M231+'дод 3'!M129</f>
        <v>0</v>
      </c>
      <c r="M149" s="59">
        <f>'дод 3'!N95+'дод 3'!N203+'дод 3'!N231+'дод 3'!N129</f>
        <v>0</v>
      </c>
      <c r="N149" s="59">
        <f>'дод 3'!O95+'дод 3'!O203+'дод 3'!O231+'дод 3'!O129</f>
        <v>15193999.6</v>
      </c>
      <c r="O149" s="59">
        <f>'дод 3'!P95+'дод 3'!P203+'дод 3'!P231+'дод 3'!P129</f>
        <v>15193999.6</v>
      </c>
    </row>
    <row r="150" spans="1:15" s="77" customFormat="1" ht="47.25" x14ac:dyDescent="0.25">
      <c r="A150" s="156"/>
      <c r="B150" s="162"/>
      <c r="C150" s="157" t="s">
        <v>452</v>
      </c>
      <c r="D150" s="158">
        <f>'дод 3'!E96+'дод 3'!E204+'дод 3'!E130</f>
        <v>0</v>
      </c>
      <c r="E150" s="158">
        <f>'дод 3'!F96+'дод 3'!F204+'дод 3'!F130</f>
        <v>0</v>
      </c>
      <c r="F150" s="158">
        <f>'дод 3'!G96+'дод 3'!G204+'дод 3'!G130</f>
        <v>0</v>
      </c>
      <c r="G150" s="158">
        <f>'дод 3'!H96+'дод 3'!H204+'дод 3'!H130</f>
        <v>0</v>
      </c>
      <c r="H150" s="158">
        <f>'дод 3'!I96+'дод 3'!I204+'дод 3'!I130</f>
        <v>0</v>
      </c>
      <c r="I150" s="158">
        <f>'дод 3'!J96+'дод 3'!J204+'дод 3'!J130</f>
        <v>13809968.930000002</v>
      </c>
      <c r="J150" s="158">
        <f>'дод 3'!K96+'дод 3'!K204+'дод 3'!K130</f>
        <v>13809968.930000002</v>
      </c>
      <c r="K150" s="158">
        <f>'дод 3'!L96+'дод 3'!L204+'дод 3'!L130</f>
        <v>0</v>
      </c>
      <c r="L150" s="158">
        <f>'дод 3'!M96+'дод 3'!M204+'дод 3'!M130</f>
        <v>0</v>
      </c>
      <c r="M150" s="158">
        <f>'дод 3'!N96+'дод 3'!N204+'дод 3'!N130</f>
        <v>0</v>
      </c>
      <c r="N150" s="158">
        <f>'дод 3'!O96+'дод 3'!O204+'дод 3'!O130</f>
        <v>13809968.930000002</v>
      </c>
      <c r="O150" s="158">
        <f>'дод 3'!P96+'дод 3'!P204+'дод 3'!P130</f>
        <v>13809968.930000002</v>
      </c>
    </row>
    <row r="151" spans="1:15" s="75" customFormat="1" ht="39.75" customHeight="1" x14ac:dyDescent="0.25">
      <c r="A151" s="47" t="s">
        <v>92</v>
      </c>
      <c r="B151" s="50"/>
      <c r="C151" s="2" t="s">
        <v>487</v>
      </c>
      <c r="D151" s="58">
        <f>D153+D156+D154+D155</f>
        <v>37963800</v>
      </c>
      <c r="E151" s="58">
        <f t="shared" ref="E151:O151" si="27">E153+E156+E154+E155</f>
        <v>0</v>
      </c>
      <c r="F151" s="58">
        <f t="shared" si="27"/>
        <v>0</v>
      </c>
      <c r="G151" s="58">
        <f t="shared" si="27"/>
        <v>0</v>
      </c>
      <c r="H151" s="58">
        <f t="shared" si="27"/>
        <v>37963800</v>
      </c>
      <c r="I151" s="58">
        <f t="shared" si="27"/>
        <v>80000000</v>
      </c>
      <c r="J151" s="58">
        <f t="shared" si="27"/>
        <v>0</v>
      </c>
      <c r="K151" s="58">
        <f t="shared" si="27"/>
        <v>80000000</v>
      </c>
      <c r="L151" s="58">
        <f t="shared" si="27"/>
        <v>0</v>
      </c>
      <c r="M151" s="58">
        <f t="shared" si="27"/>
        <v>0</v>
      </c>
      <c r="N151" s="58">
        <f t="shared" si="27"/>
        <v>0</v>
      </c>
      <c r="O151" s="58">
        <f t="shared" si="27"/>
        <v>117963800</v>
      </c>
    </row>
    <row r="152" spans="1:15" s="76" customFormat="1" ht="94.5" x14ac:dyDescent="0.25">
      <c r="A152" s="137"/>
      <c r="B152" s="138"/>
      <c r="C152" s="153" t="s">
        <v>461</v>
      </c>
      <c r="D152" s="154">
        <f>D157</f>
        <v>0</v>
      </c>
      <c r="E152" s="154">
        <f t="shared" ref="E152:O152" si="28">E157</f>
        <v>0</v>
      </c>
      <c r="F152" s="154">
        <f t="shared" si="28"/>
        <v>0</v>
      </c>
      <c r="G152" s="154">
        <f t="shared" si="28"/>
        <v>0</v>
      </c>
      <c r="H152" s="154">
        <f t="shared" si="28"/>
        <v>0</v>
      </c>
      <c r="I152" s="154">
        <f t="shared" si="28"/>
        <v>80000000</v>
      </c>
      <c r="J152" s="154">
        <f t="shared" si="28"/>
        <v>0</v>
      </c>
      <c r="K152" s="154">
        <f t="shared" si="28"/>
        <v>80000000</v>
      </c>
      <c r="L152" s="154">
        <f t="shared" si="28"/>
        <v>0</v>
      </c>
      <c r="M152" s="154">
        <f t="shared" si="28"/>
        <v>0</v>
      </c>
      <c r="N152" s="154">
        <f t="shared" si="28"/>
        <v>0</v>
      </c>
      <c r="O152" s="154">
        <f t="shared" si="28"/>
        <v>80000000</v>
      </c>
    </row>
    <row r="153" spans="1:15" s="77" customFormat="1" ht="30" customHeight="1" x14ac:dyDescent="0.25">
      <c r="A153" s="46" t="s">
        <v>3</v>
      </c>
      <c r="B153" s="46" t="s">
        <v>91</v>
      </c>
      <c r="C153" s="3" t="s">
        <v>40</v>
      </c>
      <c r="D153" s="59">
        <f>'дод 3'!E41</f>
        <v>5514500</v>
      </c>
      <c r="E153" s="59">
        <f>'дод 3'!F41</f>
        <v>0</v>
      </c>
      <c r="F153" s="59">
        <f>'дод 3'!G41</f>
        <v>0</v>
      </c>
      <c r="G153" s="59">
        <f>'дод 3'!H41</f>
        <v>0</v>
      </c>
      <c r="H153" s="59">
        <f>'дод 3'!I41</f>
        <v>5514500</v>
      </c>
      <c r="I153" s="59">
        <f>'дод 3'!J41</f>
        <v>0</v>
      </c>
      <c r="J153" s="59">
        <f>'дод 3'!K41</f>
        <v>0</v>
      </c>
      <c r="K153" s="59">
        <f>'дод 3'!L41</f>
        <v>0</v>
      </c>
      <c r="L153" s="59">
        <f>'дод 3'!M41</f>
        <v>0</v>
      </c>
      <c r="M153" s="59">
        <f>'дод 3'!N41</f>
        <v>0</v>
      </c>
      <c r="N153" s="59">
        <f>'дод 3'!O41</f>
        <v>0</v>
      </c>
      <c r="O153" s="59">
        <f>'дод 3'!P41</f>
        <v>5514500</v>
      </c>
    </row>
    <row r="154" spans="1:15" s="77" customFormat="1" ht="30" customHeight="1" x14ac:dyDescent="0.25">
      <c r="A154" s="46">
        <v>7413</v>
      </c>
      <c r="B154" s="46" t="s">
        <v>91</v>
      </c>
      <c r="C154" s="3" t="s">
        <v>431</v>
      </c>
      <c r="D154" s="59">
        <f>'дод 3'!E42</f>
        <v>6137800</v>
      </c>
      <c r="E154" s="59">
        <f>'дод 3'!F42</f>
        <v>0</v>
      </c>
      <c r="F154" s="59">
        <f>'дод 3'!G42</f>
        <v>0</v>
      </c>
      <c r="G154" s="59">
        <f>'дод 3'!H42</f>
        <v>0</v>
      </c>
      <c r="H154" s="59">
        <f>'дод 3'!I42</f>
        <v>6137800</v>
      </c>
      <c r="I154" s="59">
        <f>'дод 3'!J42</f>
        <v>0</v>
      </c>
      <c r="J154" s="59">
        <f>'дод 3'!K42</f>
        <v>0</v>
      </c>
      <c r="K154" s="59">
        <f>'дод 3'!L42</f>
        <v>0</v>
      </c>
      <c r="L154" s="59">
        <f>'дод 3'!M42</f>
        <v>0</v>
      </c>
      <c r="M154" s="59">
        <f>'дод 3'!N42</f>
        <v>0</v>
      </c>
      <c r="N154" s="59">
        <f>'дод 3'!O42</f>
        <v>0</v>
      </c>
      <c r="O154" s="59">
        <f>'дод 3'!P42</f>
        <v>6137800</v>
      </c>
    </row>
    <row r="155" spans="1:15" s="77" customFormat="1" ht="30" customHeight="1" x14ac:dyDescent="0.25">
      <c r="A155" s="46">
        <v>7426</v>
      </c>
      <c r="B155" s="88" t="s">
        <v>498</v>
      </c>
      <c r="C155" s="3" t="s">
        <v>432</v>
      </c>
      <c r="D155" s="59">
        <f>'дод 3'!E43</f>
        <v>26311500</v>
      </c>
      <c r="E155" s="59">
        <f>'дод 3'!F43</f>
        <v>0</v>
      </c>
      <c r="F155" s="59">
        <f>'дод 3'!G43</f>
        <v>0</v>
      </c>
      <c r="G155" s="59">
        <f>'дод 3'!H43</f>
        <v>0</v>
      </c>
      <c r="H155" s="59">
        <f>'дод 3'!I43</f>
        <v>26311500</v>
      </c>
      <c r="I155" s="59">
        <f>'дод 3'!J43</f>
        <v>0</v>
      </c>
      <c r="J155" s="59">
        <f>'дод 3'!K43</f>
        <v>0</v>
      </c>
      <c r="K155" s="59">
        <f>'дод 3'!L43</f>
        <v>0</v>
      </c>
      <c r="L155" s="59">
        <f>'дод 3'!M43</f>
        <v>0</v>
      </c>
      <c r="M155" s="59">
        <f>'дод 3'!N43</f>
        <v>0</v>
      </c>
      <c r="N155" s="59">
        <f>'дод 3'!O43</f>
        <v>0</v>
      </c>
      <c r="O155" s="59">
        <f>'дод 3'!P43</f>
        <v>26311500</v>
      </c>
    </row>
    <row r="156" spans="1:15" s="77" customFormat="1" ht="53.25" customHeight="1" x14ac:dyDescent="0.25">
      <c r="A156" s="46">
        <v>7462</v>
      </c>
      <c r="B156" s="88" t="s">
        <v>465</v>
      </c>
      <c r="C156" s="3" t="s">
        <v>464</v>
      </c>
      <c r="D156" s="59">
        <f>'дод 3'!E205</f>
        <v>0</v>
      </c>
      <c r="E156" s="59">
        <f>'дод 3'!F205</f>
        <v>0</v>
      </c>
      <c r="F156" s="59">
        <f>'дод 3'!G205</f>
        <v>0</v>
      </c>
      <c r="G156" s="59">
        <f>'дод 3'!H205</f>
        <v>0</v>
      </c>
      <c r="H156" s="59">
        <f>'дод 3'!I205</f>
        <v>0</v>
      </c>
      <c r="I156" s="59">
        <f>'дод 3'!J205</f>
        <v>80000000</v>
      </c>
      <c r="J156" s="59">
        <f>'дод 3'!K205</f>
        <v>0</v>
      </c>
      <c r="K156" s="59">
        <f>'дод 3'!L205</f>
        <v>80000000</v>
      </c>
      <c r="L156" s="59">
        <f>'дод 3'!M205</f>
        <v>0</v>
      </c>
      <c r="M156" s="59">
        <f>'дод 3'!N205</f>
        <v>0</v>
      </c>
      <c r="N156" s="59">
        <f>'дод 3'!O205</f>
        <v>0</v>
      </c>
      <c r="O156" s="59">
        <f>'дод 3'!P205</f>
        <v>80000000</v>
      </c>
    </row>
    <row r="157" spans="1:15" s="77" customFormat="1" ht="94.5" x14ac:dyDescent="0.25">
      <c r="A157" s="156"/>
      <c r="B157" s="156"/>
      <c r="C157" s="157" t="s">
        <v>461</v>
      </c>
      <c r="D157" s="158">
        <f>'дод 3'!E206</f>
        <v>0</v>
      </c>
      <c r="E157" s="158">
        <f>'дод 3'!F206</f>
        <v>0</v>
      </c>
      <c r="F157" s="158">
        <f>'дод 3'!G206</f>
        <v>0</v>
      </c>
      <c r="G157" s="158">
        <f>'дод 3'!H206</f>
        <v>0</v>
      </c>
      <c r="H157" s="158">
        <f>'дод 3'!I206</f>
        <v>0</v>
      </c>
      <c r="I157" s="158">
        <f>'дод 3'!J206</f>
        <v>80000000</v>
      </c>
      <c r="J157" s="158">
        <f>'дод 3'!K206</f>
        <v>0</v>
      </c>
      <c r="K157" s="158">
        <f>'дод 3'!L206</f>
        <v>80000000</v>
      </c>
      <c r="L157" s="158">
        <f>'дод 3'!M206</f>
        <v>0</v>
      </c>
      <c r="M157" s="158">
        <f>'дод 3'!N206</f>
        <v>0</v>
      </c>
      <c r="N157" s="158">
        <f>'дод 3'!O206</f>
        <v>0</v>
      </c>
      <c r="O157" s="158">
        <f>'дод 3'!P206</f>
        <v>80000000</v>
      </c>
    </row>
    <row r="158" spans="1:15" s="75" customFormat="1" ht="28.5" customHeight="1" x14ac:dyDescent="0.25">
      <c r="A158" s="48" t="s">
        <v>259</v>
      </c>
      <c r="B158" s="50"/>
      <c r="C158" s="2" t="s">
        <v>260</v>
      </c>
      <c r="D158" s="58">
        <f t="shared" ref="D158:O158" si="29">D159</f>
        <v>11309900</v>
      </c>
      <c r="E158" s="58">
        <f t="shared" si="29"/>
        <v>11309900</v>
      </c>
      <c r="F158" s="58">
        <f t="shared" si="29"/>
        <v>0</v>
      </c>
      <c r="G158" s="58">
        <f t="shared" si="29"/>
        <v>0</v>
      </c>
      <c r="H158" s="58">
        <f t="shared" si="29"/>
        <v>0</v>
      </c>
      <c r="I158" s="58">
        <f t="shared" si="29"/>
        <v>2310000</v>
      </c>
      <c r="J158" s="58">
        <f t="shared" si="29"/>
        <v>2310000</v>
      </c>
      <c r="K158" s="58">
        <f t="shared" si="29"/>
        <v>0</v>
      </c>
      <c r="L158" s="58">
        <f t="shared" si="29"/>
        <v>0</v>
      </c>
      <c r="M158" s="58">
        <f t="shared" si="29"/>
        <v>0</v>
      </c>
      <c r="N158" s="58">
        <f t="shared" si="29"/>
        <v>2310000</v>
      </c>
      <c r="O158" s="58">
        <f t="shared" si="29"/>
        <v>13619900</v>
      </c>
    </row>
    <row r="159" spans="1:15" ht="37.5" customHeight="1" x14ac:dyDescent="0.25">
      <c r="A159" s="49" t="s">
        <v>257</v>
      </c>
      <c r="B159" s="49" t="s">
        <v>258</v>
      </c>
      <c r="C159" s="11" t="s">
        <v>256</v>
      </c>
      <c r="D159" s="59">
        <f>'дод 3'!E44+'дод 3'!E207</f>
        <v>11309900</v>
      </c>
      <c r="E159" s="59">
        <f>'дод 3'!F44+'дод 3'!F207</f>
        <v>11309900</v>
      </c>
      <c r="F159" s="59">
        <f>'дод 3'!G44+'дод 3'!G207</f>
        <v>0</v>
      </c>
      <c r="G159" s="59">
        <f>'дод 3'!H44+'дод 3'!H207</f>
        <v>0</v>
      </c>
      <c r="H159" s="59">
        <f>'дод 3'!I44+'дод 3'!I207</f>
        <v>0</v>
      </c>
      <c r="I159" s="59">
        <f>'дод 3'!J44+'дод 3'!J207</f>
        <v>2310000</v>
      </c>
      <c r="J159" s="59">
        <f>'дод 3'!K44+'дод 3'!K207</f>
        <v>2310000</v>
      </c>
      <c r="K159" s="59">
        <f>'дод 3'!L44+'дод 3'!L207</f>
        <v>0</v>
      </c>
      <c r="L159" s="59">
        <f>'дод 3'!M44+'дод 3'!M207</f>
        <v>0</v>
      </c>
      <c r="M159" s="59">
        <f>'дод 3'!N44+'дод 3'!N207</f>
        <v>0</v>
      </c>
      <c r="N159" s="59">
        <f>'дод 3'!O44+'дод 3'!O207</f>
        <v>2310000</v>
      </c>
      <c r="O159" s="59">
        <f>'дод 3'!P44+'дод 3'!P207</f>
        <v>13619900</v>
      </c>
    </row>
    <row r="160" spans="1:15" s="75" customFormat="1" ht="38.25" customHeight="1" x14ac:dyDescent="0.25">
      <c r="A160" s="47" t="s">
        <v>95</v>
      </c>
      <c r="B160" s="50"/>
      <c r="C160" s="2" t="s">
        <v>509</v>
      </c>
      <c r="D160" s="58">
        <f t="shared" ref="D160:O160" si="30">D162+D163+D165+D166+D167+D168+D169+D170</f>
        <v>9047443.8000000007</v>
      </c>
      <c r="E160" s="58">
        <f t="shared" si="30"/>
        <v>6730443.7999999998</v>
      </c>
      <c r="F160" s="58">
        <f t="shared" si="30"/>
        <v>0</v>
      </c>
      <c r="G160" s="58">
        <f t="shared" si="30"/>
        <v>0</v>
      </c>
      <c r="H160" s="58">
        <f t="shared" si="30"/>
        <v>2317000</v>
      </c>
      <c r="I160" s="58">
        <f t="shared" si="30"/>
        <v>117315733.33</v>
      </c>
      <c r="J160" s="58">
        <f t="shared" si="30"/>
        <v>103691601.2</v>
      </c>
      <c r="K160" s="58">
        <f t="shared" si="30"/>
        <v>1941363.01</v>
      </c>
      <c r="L160" s="58">
        <f t="shared" si="30"/>
        <v>0</v>
      </c>
      <c r="M160" s="58">
        <f t="shared" si="30"/>
        <v>0</v>
      </c>
      <c r="N160" s="58">
        <f t="shared" si="30"/>
        <v>115374370.32000001</v>
      </c>
      <c r="O160" s="58">
        <f t="shared" si="30"/>
        <v>126363177.13</v>
      </c>
    </row>
    <row r="161" spans="1:15" s="76" customFormat="1" ht="23.25" customHeight="1" x14ac:dyDescent="0.25">
      <c r="A161" s="137"/>
      <c r="B161" s="137"/>
      <c r="C161" s="161" t="s">
        <v>507</v>
      </c>
      <c r="D161" s="154">
        <f>D164</f>
        <v>0</v>
      </c>
      <c r="E161" s="154">
        <f t="shared" ref="E161:O161" si="31">E164</f>
        <v>0</v>
      </c>
      <c r="F161" s="154">
        <f t="shared" si="31"/>
        <v>0</v>
      </c>
      <c r="G161" s="154">
        <f t="shared" si="31"/>
        <v>0</v>
      </c>
      <c r="H161" s="154">
        <f t="shared" si="31"/>
        <v>0</v>
      </c>
      <c r="I161" s="154">
        <f t="shared" si="31"/>
        <v>58776907</v>
      </c>
      <c r="J161" s="154">
        <f t="shared" si="31"/>
        <v>58776907</v>
      </c>
      <c r="K161" s="154">
        <f t="shared" si="31"/>
        <v>0</v>
      </c>
      <c r="L161" s="154">
        <f t="shared" si="31"/>
        <v>0</v>
      </c>
      <c r="M161" s="154">
        <f t="shared" si="31"/>
        <v>0</v>
      </c>
      <c r="N161" s="154">
        <f t="shared" si="31"/>
        <v>58776907</v>
      </c>
      <c r="O161" s="154">
        <f t="shared" si="31"/>
        <v>58776907</v>
      </c>
    </row>
    <row r="162" spans="1:15" ht="30.75" customHeight="1" x14ac:dyDescent="0.25">
      <c r="A162" s="46" t="s">
        <v>4</v>
      </c>
      <c r="B162" s="46" t="s">
        <v>94</v>
      </c>
      <c r="C162" s="3" t="s">
        <v>26</v>
      </c>
      <c r="D162" s="59">
        <f>'дод 3'!E45+'дод 3'!E247</f>
        <v>1235000</v>
      </c>
      <c r="E162" s="59">
        <f>'дод 3'!F45+'дод 3'!F247</f>
        <v>617000</v>
      </c>
      <c r="F162" s="59">
        <f>'дод 3'!G45+'дод 3'!G247</f>
        <v>0</v>
      </c>
      <c r="G162" s="59">
        <f>'дод 3'!H45+'дод 3'!H247</f>
        <v>0</v>
      </c>
      <c r="H162" s="59">
        <f>'дод 3'!I45+'дод 3'!I247</f>
        <v>618000</v>
      </c>
      <c r="I162" s="59">
        <f>'дод 3'!J45+'дод 3'!J247</f>
        <v>0</v>
      </c>
      <c r="J162" s="59">
        <f>'дод 3'!K45+'дод 3'!K247</f>
        <v>0</v>
      </c>
      <c r="K162" s="59">
        <f>'дод 3'!L45+'дод 3'!L247</f>
        <v>0</v>
      </c>
      <c r="L162" s="59">
        <f>'дод 3'!M45+'дод 3'!M247</f>
        <v>0</v>
      </c>
      <c r="M162" s="59">
        <f>'дод 3'!N45+'дод 3'!N247</f>
        <v>0</v>
      </c>
      <c r="N162" s="59">
        <f>'дод 3'!O45+'дод 3'!O247</f>
        <v>0</v>
      </c>
      <c r="O162" s="59">
        <f>'дод 3'!P45+'дод 3'!P247</f>
        <v>1235000</v>
      </c>
    </row>
    <row r="163" spans="1:15" ht="24.75" customHeight="1" x14ac:dyDescent="0.25">
      <c r="A163" s="46" t="s">
        <v>2</v>
      </c>
      <c r="B163" s="46" t="s">
        <v>93</v>
      </c>
      <c r="C163" s="3" t="s">
        <v>506</v>
      </c>
      <c r="D163" s="59">
        <f>'дод 3'!E97+'дод 3'!E131+'дод 3'!E183+'дод 3'!E208+'дод 3'!E232+'дод 3'!E257</f>
        <v>4999311.8</v>
      </c>
      <c r="E163" s="59">
        <f>'дод 3'!F97+'дод 3'!F131+'дод 3'!F183+'дод 3'!F208+'дод 3'!F232+'дод 3'!F257</f>
        <v>3300311.8</v>
      </c>
      <c r="F163" s="59">
        <f>'дод 3'!G97+'дод 3'!G131+'дод 3'!G183+'дод 3'!G208+'дод 3'!G232+'дод 3'!G257</f>
        <v>0</v>
      </c>
      <c r="G163" s="59">
        <f>'дод 3'!H97+'дод 3'!H131+'дод 3'!H183+'дод 3'!H208+'дод 3'!H232+'дод 3'!H257</f>
        <v>0</v>
      </c>
      <c r="H163" s="59">
        <f>'дод 3'!I97+'дод 3'!I131+'дод 3'!I183+'дод 3'!I208+'дод 3'!I232+'дод 3'!I257</f>
        <v>1699000</v>
      </c>
      <c r="I163" s="59">
        <f>'дод 3'!J97+'дод 3'!J131+'дод 3'!J183+'дод 3'!J208+'дод 3'!J232+'дод 3'!J257</f>
        <v>93693723.200000003</v>
      </c>
      <c r="J163" s="59">
        <f>'дод 3'!K97+'дод 3'!K131+'дод 3'!K183+'дод 3'!K208+'дод 3'!K232+'дод 3'!K257</f>
        <v>83957271.200000003</v>
      </c>
      <c r="K163" s="59">
        <f>'дод 3'!L97+'дод 3'!L131+'дод 3'!L183+'дод 3'!L208+'дод 3'!L232+'дод 3'!L257</f>
        <v>0</v>
      </c>
      <c r="L163" s="59">
        <f>'дод 3'!M97+'дод 3'!M131+'дод 3'!M183+'дод 3'!M208+'дод 3'!M232+'дод 3'!M257</f>
        <v>0</v>
      </c>
      <c r="M163" s="59">
        <f>'дод 3'!N97+'дод 3'!N131+'дод 3'!N183+'дод 3'!N208+'дод 3'!N232+'дод 3'!N257</f>
        <v>0</v>
      </c>
      <c r="N163" s="59">
        <f>'дод 3'!O97+'дод 3'!O131+'дод 3'!O183+'дод 3'!O208+'дод 3'!O232+'дод 3'!O257</f>
        <v>93693723.200000003</v>
      </c>
      <c r="O163" s="59">
        <f>'дод 3'!P97+'дод 3'!P131+'дод 3'!P183+'дод 3'!P208+'дод 3'!P232+'дод 3'!P257</f>
        <v>98693035</v>
      </c>
    </row>
    <row r="164" spans="1:15" s="77" customFormat="1" ht="23.25" customHeight="1" x14ac:dyDescent="0.25">
      <c r="A164" s="156"/>
      <c r="B164" s="156"/>
      <c r="C164" s="163" t="s">
        <v>507</v>
      </c>
      <c r="D164" s="158">
        <f>'дод 3'!E132+'дод 3'!E233</f>
        <v>0</v>
      </c>
      <c r="E164" s="158">
        <f>'дод 3'!F132+'дод 3'!F233</f>
        <v>0</v>
      </c>
      <c r="F164" s="158">
        <f>'дод 3'!G132+'дод 3'!G233</f>
        <v>0</v>
      </c>
      <c r="G164" s="158">
        <f>'дод 3'!H132+'дод 3'!H233</f>
        <v>0</v>
      </c>
      <c r="H164" s="158">
        <f>'дод 3'!I132+'дод 3'!I233</f>
        <v>0</v>
      </c>
      <c r="I164" s="158">
        <f>'дод 3'!J132+'дод 3'!J233</f>
        <v>58776907</v>
      </c>
      <c r="J164" s="158">
        <f>'дод 3'!K132+'дод 3'!K233</f>
        <v>58776907</v>
      </c>
      <c r="K164" s="158">
        <f>'дод 3'!L132+'дод 3'!L233</f>
        <v>0</v>
      </c>
      <c r="L164" s="158">
        <f>'дод 3'!M132+'дод 3'!M233</f>
        <v>0</v>
      </c>
      <c r="M164" s="158">
        <f>'дод 3'!N132+'дод 3'!N233</f>
        <v>0</v>
      </c>
      <c r="N164" s="158">
        <f>'дод 3'!O132+'дод 3'!O233</f>
        <v>58776907</v>
      </c>
      <c r="O164" s="158">
        <f>'дод 3'!P132+'дод 3'!P233</f>
        <v>58776907</v>
      </c>
    </row>
    <row r="165" spans="1:15" ht="33.75" customHeight="1" x14ac:dyDescent="0.25">
      <c r="A165" s="46" t="s">
        <v>289</v>
      </c>
      <c r="B165" s="46" t="s">
        <v>89</v>
      </c>
      <c r="C165" s="3" t="s">
        <v>381</v>
      </c>
      <c r="D165" s="59">
        <f>'дод 3'!E248</f>
        <v>0</v>
      </c>
      <c r="E165" s="59">
        <f>'дод 3'!F248</f>
        <v>0</v>
      </c>
      <c r="F165" s="59">
        <f>'дод 3'!G248</f>
        <v>0</v>
      </c>
      <c r="G165" s="59">
        <f>'дод 3'!H248</f>
        <v>0</v>
      </c>
      <c r="H165" s="59">
        <f>'дод 3'!I248</f>
        <v>0</v>
      </c>
      <c r="I165" s="59">
        <f>'дод 3'!J248</f>
        <v>30000</v>
      </c>
      <c r="J165" s="59">
        <f>'дод 3'!K248</f>
        <v>30000</v>
      </c>
      <c r="K165" s="59">
        <f>'дод 3'!L248</f>
        <v>0</v>
      </c>
      <c r="L165" s="59">
        <f>'дод 3'!M248</f>
        <v>0</v>
      </c>
      <c r="M165" s="59">
        <f>'дод 3'!N248</f>
        <v>0</v>
      </c>
      <c r="N165" s="59">
        <f>'дод 3'!O248</f>
        <v>30000</v>
      </c>
      <c r="O165" s="59">
        <f>'дод 3'!P248</f>
        <v>30000</v>
      </c>
    </row>
    <row r="166" spans="1:15" ht="59.25" customHeight="1" x14ac:dyDescent="0.25">
      <c r="A166" s="46" t="s">
        <v>291</v>
      </c>
      <c r="B166" s="46" t="s">
        <v>89</v>
      </c>
      <c r="C166" s="3" t="s">
        <v>292</v>
      </c>
      <c r="D166" s="59">
        <f>'дод 3'!E249</f>
        <v>0</v>
      </c>
      <c r="E166" s="59">
        <f>'дод 3'!F249</f>
        <v>0</v>
      </c>
      <c r="F166" s="59">
        <f>'дод 3'!G249</f>
        <v>0</v>
      </c>
      <c r="G166" s="59">
        <f>'дод 3'!H249</f>
        <v>0</v>
      </c>
      <c r="H166" s="59">
        <f>'дод 3'!I249</f>
        <v>0</v>
      </c>
      <c r="I166" s="59">
        <f>'дод 3'!J249</f>
        <v>90000</v>
      </c>
      <c r="J166" s="59">
        <f>'дод 3'!K249</f>
        <v>90000</v>
      </c>
      <c r="K166" s="59">
        <f>'дод 3'!L249</f>
        <v>0</v>
      </c>
      <c r="L166" s="59">
        <f>'дод 3'!M249</f>
        <v>0</v>
      </c>
      <c r="M166" s="59">
        <f>'дод 3'!N249</f>
        <v>0</v>
      </c>
      <c r="N166" s="59">
        <f>'дод 3'!O249</f>
        <v>90000</v>
      </c>
      <c r="O166" s="59">
        <f>'дод 3'!P249</f>
        <v>90000</v>
      </c>
    </row>
    <row r="167" spans="1:15" ht="30.75" customHeight="1" x14ac:dyDescent="0.25">
      <c r="A167" s="46" t="s">
        <v>5</v>
      </c>
      <c r="B167" s="46" t="s">
        <v>89</v>
      </c>
      <c r="C167" s="3" t="s">
        <v>27</v>
      </c>
      <c r="D167" s="59">
        <f>'дод 3'!E46+'дод 3'!E209</f>
        <v>0</v>
      </c>
      <c r="E167" s="59">
        <f>'дод 3'!F46+'дод 3'!F209</f>
        <v>0</v>
      </c>
      <c r="F167" s="59">
        <f>'дод 3'!G46+'дод 3'!G209</f>
        <v>0</v>
      </c>
      <c r="G167" s="59">
        <f>'дод 3'!H46+'дод 3'!H209</f>
        <v>0</v>
      </c>
      <c r="H167" s="59">
        <f>'дод 3'!I46+'дод 3'!I209</f>
        <v>0</v>
      </c>
      <c r="I167" s="59">
        <f>'дод 3'!J46+'дод 3'!J209</f>
        <v>19614330</v>
      </c>
      <c r="J167" s="59">
        <f>'дод 3'!K46+'дод 3'!K209</f>
        <v>19614330</v>
      </c>
      <c r="K167" s="59">
        <f>'дод 3'!L46+'дод 3'!L209</f>
        <v>0</v>
      </c>
      <c r="L167" s="59">
        <f>'дод 3'!M46+'дод 3'!M209</f>
        <v>0</v>
      </c>
      <c r="M167" s="59">
        <f>'дод 3'!N46+'дод 3'!N209</f>
        <v>0</v>
      </c>
      <c r="N167" s="59">
        <f>'дод 3'!O46+'дод 3'!O209</f>
        <v>19614330</v>
      </c>
      <c r="O167" s="59">
        <f>'дод 3'!P46+'дод 3'!P209</f>
        <v>19614330</v>
      </c>
    </row>
    <row r="168" spans="1:15" ht="36.75" customHeight="1" x14ac:dyDescent="0.25">
      <c r="A168" s="46" t="s">
        <v>270</v>
      </c>
      <c r="B168" s="46" t="s">
        <v>89</v>
      </c>
      <c r="C168" s="3" t="s">
        <v>271</v>
      </c>
      <c r="D168" s="59">
        <f>'дод 3'!E47</f>
        <v>221467</v>
      </c>
      <c r="E168" s="59">
        <f>'дод 3'!F47</f>
        <v>221467</v>
      </c>
      <c r="F168" s="59">
        <f>'дод 3'!G47</f>
        <v>0</v>
      </c>
      <c r="G168" s="59">
        <f>'дод 3'!H47</f>
        <v>0</v>
      </c>
      <c r="H168" s="59">
        <f>'дод 3'!I47</f>
        <v>0</v>
      </c>
      <c r="I168" s="59">
        <f>'дод 3'!J47</f>
        <v>0</v>
      </c>
      <c r="J168" s="59">
        <f>'дод 3'!K47</f>
        <v>0</v>
      </c>
      <c r="K168" s="59">
        <f>'дод 3'!L47</f>
        <v>0</v>
      </c>
      <c r="L168" s="59">
        <f>'дод 3'!M47</f>
        <v>0</v>
      </c>
      <c r="M168" s="59">
        <f>'дод 3'!N47</f>
        <v>0</v>
      </c>
      <c r="N168" s="59">
        <f>'дод 3'!O47</f>
        <v>0</v>
      </c>
      <c r="O168" s="59">
        <f>'дод 3'!P47</f>
        <v>221467</v>
      </c>
    </row>
    <row r="169" spans="1:15" s="77" customFormat="1" ht="108" customHeight="1" x14ac:dyDescent="0.25">
      <c r="A169" s="46" t="s">
        <v>324</v>
      </c>
      <c r="B169" s="46" t="s">
        <v>89</v>
      </c>
      <c r="C169" s="3" t="s">
        <v>345</v>
      </c>
      <c r="D169" s="59">
        <f>'дод 3'!E48+'дод 3'!E210+'дод 3'!E234+'дод 3'!E239</f>
        <v>0</v>
      </c>
      <c r="E169" s="59">
        <f>'дод 3'!F48+'дод 3'!F210+'дод 3'!F234+'дод 3'!F239</f>
        <v>0</v>
      </c>
      <c r="F169" s="59">
        <f>'дод 3'!G48+'дод 3'!G210+'дод 3'!G234+'дод 3'!G239</f>
        <v>0</v>
      </c>
      <c r="G169" s="59">
        <f>'дод 3'!H48+'дод 3'!H210+'дод 3'!H234+'дод 3'!H239</f>
        <v>0</v>
      </c>
      <c r="H169" s="59">
        <f>'дод 3'!I48+'дод 3'!I210+'дод 3'!I234+'дод 3'!I239</f>
        <v>0</v>
      </c>
      <c r="I169" s="59">
        <f>'дод 3'!J48+'дод 3'!J210+'дод 3'!J234+'дод 3'!J239</f>
        <v>3887680.13</v>
      </c>
      <c r="J169" s="59">
        <f>'дод 3'!K48+'дод 3'!K210+'дод 3'!K234+'дод 3'!K239</f>
        <v>0</v>
      </c>
      <c r="K169" s="59">
        <f>'дод 3'!L48+'дод 3'!L210+'дод 3'!L234+'дод 3'!L239</f>
        <v>1941363.01</v>
      </c>
      <c r="L169" s="59">
        <f>'дод 3'!M48+'дод 3'!M210+'дод 3'!M234+'дод 3'!M239</f>
        <v>0</v>
      </c>
      <c r="M169" s="59">
        <f>'дод 3'!N48+'дод 3'!N210+'дод 3'!N234+'дод 3'!N239</f>
        <v>0</v>
      </c>
      <c r="N169" s="59">
        <f>'дод 3'!O48+'дод 3'!O210+'дод 3'!O234+'дод 3'!O239</f>
        <v>1946317.12</v>
      </c>
      <c r="O169" s="59">
        <f>'дод 3'!P48+'дод 3'!P210+'дод 3'!P234+'дод 3'!P239</f>
        <v>3887680.13</v>
      </c>
    </row>
    <row r="170" spans="1:15" s="77" customFormat="1" ht="30.75" customHeight="1" x14ac:dyDescent="0.25">
      <c r="A170" s="46" t="s">
        <v>261</v>
      </c>
      <c r="B170" s="46" t="s">
        <v>89</v>
      </c>
      <c r="C170" s="3" t="s">
        <v>18</v>
      </c>
      <c r="D170" s="59">
        <f>'дод 3'!E49+'дод 3'!E250+'дод 3'!E258</f>
        <v>2591665</v>
      </c>
      <c r="E170" s="59">
        <f>'дод 3'!F49+'дод 3'!F250+'дод 3'!F258</f>
        <v>2591665</v>
      </c>
      <c r="F170" s="59">
        <f>'дод 3'!G49+'дод 3'!G250+'дод 3'!G258</f>
        <v>0</v>
      </c>
      <c r="G170" s="59">
        <f>'дод 3'!H49+'дод 3'!H250+'дод 3'!H258</f>
        <v>0</v>
      </c>
      <c r="H170" s="59">
        <f>'дод 3'!I49+'дод 3'!I250+'дод 3'!I258</f>
        <v>0</v>
      </c>
      <c r="I170" s="59">
        <f>'дод 3'!J49+'дод 3'!J250+'дод 3'!J258</f>
        <v>0</v>
      </c>
      <c r="J170" s="59">
        <f>'дод 3'!K49+'дод 3'!K250+'дод 3'!K258</f>
        <v>0</v>
      </c>
      <c r="K170" s="59">
        <f>'дод 3'!L49+'дод 3'!L250+'дод 3'!L258</f>
        <v>0</v>
      </c>
      <c r="L170" s="59">
        <f>'дод 3'!M49+'дод 3'!M250+'дод 3'!M258</f>
        <v>0</v>
      </c>
      <c r="M170" s="59">
        <f>'дод 3'!N49+'дод 3'!N250+'дод 3'!N258</f>
        <v>0</v>
      </c>
      <c r="N170" s="59">
        <f>'дод 3'!O49+'дод 3'!O250+'дод 3'!O258</f>
        <v>0</v>
      </c>
      <c r="O170" s="59">
        <f>'дод 3'!P49+'дод 3'!P250+'дод 3'!P258</f>
        <v>2591665</v>
      </c>
    </row>
    <row r="171" spans="1:15" s="76" customFormat="1" ht="48.75" customHeight="1" x14ac:dyDescent="0.25">
      <c r="A171" s="47">
        <v>7700</v>
      </c>
      <c r="B171" s="47"/>
      <c r="C171" s="140" t="s">
        <v>400</v>
      </c>
      <c r="D171" s="58">
        <f>D172</f>
        <v>0</v>
      </c>
      <c r="E171" s="58">
        <f t="shared" ref="E171:O171" si="32">E172</f>
        <v>0</v>
      </c>
      <c r="F171" s="58">
        <f t="shared" si="32"/>
        <v>0</v>
      </c>
      <c r="G171" s="58">
        <f t="shared" si="32"/>
        <v>0</v>
      </c>
      <c r="H171" s="58">
        <f t="shared" si="32"/>
        <v>0</v>
      </c>
      <c r="I171" s="58">
        <f t="shared" si="32"/>
        <v>885000</v>
      </c>
      <c r="J171" s="58">
        <f t="shared" si="32"/>
        <v>0</v>
      </c>
      <c r="K171" s="58">
        <f t="shared" si="32"/>
        <v>0</v>
      </c>
      <c r="L171" s="58">
        <f t="shared" si="32"/>
        <v>0</v>
      </c>
      <c r="M171" s="58">
        <f t="shared" si="32"/>
        <v>0</v>
      </c>
      <c r="N171" s="58">
        <f t="shared" si="32"/>
        <v>885000</v>
      </c>
      <c r="O171" s="58">
        <f t="shared" si="32"/>
        <v>885000</v>
      </c>
    </row>
    <row r="172" spans="1:15" s="77" customFormat="1" ht="46.5" customHeight="1" x14ac:dyDescent="0.25">
      <c r="A172" s="46">
        <v>7700</v>
      </c>
      <c r="B172" s="88" t="s">
        <v>100</v>
      </c>
      <c r="C172" s="96" t="s">
        <v>400</v>
      </c>
      <c r="D172" s="59">
        <f>'дод 3'!E133</f>
        <v>0</v>
      </c>
      <c r="E172" s="59">
        <f>'дод 3'!F133</f>
        <v>0</v>
      </c>
      <c r="F172" s="59">
        <f>'дод 3'!G133</f>
        <v>0</v>
      </c>
      <c r="G172" s="59">
        <f>'дод 3'!H133</f>
        <v>0</v>
      </c>
      <c r="H172" s="59">
        <f>'дод 3'!I133</f>
        <v>0</v>
      </c>
      <c r="I172" s="59">
        <f>'дод 3'!J133</f>
        <v>885000</v>
      </c>
      <c r="J172" s="59">
        <f>'дод 3'!K133</f>
        <v>0</v>
      </c>
      <c r="K172" s="59">
        <f>'дод 3'!L133</f>
        <v>0</v>
      </c>
      <c r="L172" s="59">
        <f>'дод 3'!M133</f>
        <v>0</v>
      </c>
      <c r="M172" s="59">
        <f>'дод 3'!N133</f>
        <v>0</v>
      </c>
      <c r="N172" s="59">
        <f>'дод 3'!O133</f>
        <v>885000</v>
      </c>
      <c r="O172" s="59">
        <f>'дод 3'!P133</f>
        <v>885000</v>
      </c>
    </row>
    <row r="173" spans="1:15" s="75" customFormat="1" x14ac:dyDescent="0.25">
      <c r="A173" s="47" t="s">
        <v>101</v>
      </c>
      <c r="B173" s="48"/>
      <c r="C173" s="2" t="s">
        <v>488</v>
      </c>
      <c r="D173" s="58">
        <f t="shared" ref="D173:O173" si="33">D175+D180+D182+D185+D187+D188</f>
        <v>13107065</v>
      </c>
      <c r="E173" s="58">
        <f t="shared" si="33"/>
        <v>6213813</v>
      </c>
      <c r="F173" s="58">
        <f t="shared" si="33"/>
        <v>1542220</v>
      </c>
      <c r="G173" s="58">
        <f t="shared" si="33"/>
        <v>353840</v>
      </c>
      <c r="H173" s="58">
        <f t="shared" si="33"/>
        <v>0</v>
      </c>
      <c r="I173" s="58">
        <f t="shared" si="33"/>
        <v>8664643.4499999993</v>
      </c>
      <c r="J173" s="58">
        <f t="shared" si="33"/>
        <v>2299600</v>
      </c>
      <c r="K173" s="58">
        <f t="shared" si="33"/>
        <v>2012000</v>
      </c>
      <c r="L173" s="58">
        <f t="shared" si="33"/>
        <v>0</v>
      </c>
      <c r="M173" s="58">
        <f t="shared" si="33"/>
        <v>1400</v>
      </c>
      <c r="N173" s="58">
        <f t="shared" si="33"/>
        <v>6652643.4500000002</v>
      </c>
      <c r="O173" s="58">
        <f t="shared" si="33"/>
        <v>21771708.449999999</v>
      </c>
    </row>
    <row r="174" spans="1:15" s="76" customFormat="1" ht="47.25" x14ac:dyDescent="0.25">
      <c r="A174" s="137"/>
      <c r="B174" s="152"/>
      <c r="C174" s="153" t="s">
        <v>444</v>
      </c>
      <c r="D174" s="154">
        <f>D176</f>
        <v>380580</v>
      </c>
      <c r="E174" s="154">
        <f t="shared" ref="E174:O174" si="34">E176</f>
        <v>380580</v>
      </c>
      <c r="F174" s="154">
        <f t="shared" si="34"/>
        <v>311950</v>
      </c>
      <c r="G174" s="154">
        <f t="shared" si="34"/>
        <v>0</v>
      </c>
      <c r="H174" s="154">
        <f t="shared" si="34"/>
        <v>0</v>
      </c>
      <c r="I174" s="154">
        <f t="shared" si="34"/>
        <v>0</v>
      </c>
      <c r="J174" s="154">
        <f t="shared" si="34"/>
        <v>0</v>
      </c>
      <c r="K174" s="154">
        <f t="shared" si="34"/>
        <v>0</v>
      </c>
      <c r="L174" s="154">
        <f t="shared" si="34"/>
        <v>0</v>
      </c>
      <c r="M174" s="154">
        <f t="shared" si="34"/>
        <v>0</v>
      </c>
      <c r="N174" s="154">
        <f t="shared" si="34"/>
        <v>0</v>
      </c>
      <c r="O174" s="154">
        <f t="shared" si="34"/>
        <v>380580</v>
      </c>
    </row>
    <row r="175" spans="1:15" s="75" customFormat="1" ht="49.5" customHeight="1" x14ac:dyDescent="0.25">
      <c r="A175" s="47" t="s">
        <v>103</v>
      </c>
      <c r="B175" s="48"/>
      <c r="C175" s="2" t="s">
        <v>446</v>
      </c>
      <c r="D175" s="58">
        <f t="shared" ref="D175:O175" si="35">D177+D178</f>
        <v>4699388</v>
      </c>
      <c r="E175" s="58">
        <f t="shared" si="35"/>
        <v>4699388</v>
      </c>
      <c r="F175" s="58">
        <f t="shared" si="35"/>
        <v>1542220</v>
      </c>
      <c r="G175" s="58">
        <f t="shared" si="35"/>
        <v>131680</v>
      </c>
      <c r="H175" s="58">
        <f t="shared" si="35"/>
        <v>0</v>
      </c>
      <c r="I175" s="58">
        <f t="shared" si="35"/>
        <v>2305100</v>
      </c>
      <c r="J175" s="58">
        <f t="shared" si="35"/>
        <v>2299600</v>
      </c>
      <c r="K175" s="58">
        <f t="shared" si="35"/>
        <v>5500</v>
      </c>
      <c r="L175" s="58">
        <f t="shared" si="35"/>
        <v>0</v>
      </c>
      <c r="M175" s="58">
        <f t="shared" si="35"/>
        <v>1400</v>
      </c>
      <c r="N175" s="58">
        <f t="shared" si="35"/>
        <v>2299600</v>
      </c>
      <c r="O175" s="58">
        <f t="shared" si="35"/>
        <v>7004488</v>
      </c>
    </row>
    <row r="176" spans="1:15" s="76" customFormat="1" ht="54" customHeight="1" x14ac:dyDescent="0.25">
      <c r="A176" s="137"/>
      <c r="B176" s="152"/>
      <c r="C176" s="155" t="str">
        <f>C179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176" s="154">
        <f>D179</f>
        <v>380580</v>
      </c>
      <c r="E176" s="154">
        <f t="shared" ref="E176:O176" si="36">E179</f>
        <v>380580</v>
      </c>
      <c r="F176" s="154">
        <f t="shared" si="36"/>
        <v>311950</v>
      </c>
      <c r="G176" s="154">
        <f t="shared" si="36"/>
        <v>0</v>
      </c>
      <c r="H176" s="154">
        <f t="shared" si="36"/>
        <v>0</v>
      </c>
      <c r="I176" s="154">
        <f t="shared" si="36"/>
        <v>0</v>
      </c>
      <c r="J176" s="154">
        <f t="shared" si="36"/>
        <v>0</v>
      </c>
      <c r="K176" s="154">
        <f t="shared" si="36"/>
        <v>0</v>
      </c>
      <c r="L176" s="154">
        <f t="shared" si="36"/>
        <v>0</v>
      </c>
      <c r="M176" s="154">
        <f t="shared" si="36"/>
        <v>0</v>
      </c>
      <c r="N176" s="154">
        <f t="shared" si="36"/>
        <v>0</v>
      </c>
      <c r="O176" s="154">
        <f t="shared" si="36"/>
        <v>380580</v>
      </c>
    </row>
    <row r="177" spans="1:15" s="75" customFormat="1" ht="36.75" customHeight="1" x14ac:dyDescent="0.25">
      <c r="A177" s="49" t="s">
        <v>7</v>
      </c>
      <c r="B177" s="49" t="s">
        <v>96</v>
      </c>
      <c r="C177" s="3" t="s">
        <v>325</v>
      </c>
      <c r="D177" s="59">
        <f>'дод 3'!E50+'дод 3'!E211</f>
        <v>2672818</v>
      </c>
      <c r="E177" s="59">
        <f>'дод 3'!F50+'дод 3'!F211</f>
        <v>2672818</v>
      </c>
      <c r="F177" s="59">
        <f>'дод 3'!G50+'дод 3'!G211</f>
        <v>0</v>
      </c>
      <c r="G177" s="59">
        <f>'дод 3'!H50+'дод 3'!H211</f>
        <v>55500</v>
      </c>
      <c r="H177" s="59">
        <f>'дод 3'!I50+'дод 3'!I211</f>
        <v>0</v>
      </c>
      <c r="I177" s="59">
        <f>'дод 3'!J50+'дод 3'!J211</f>
        <v>2299600</v>
      </c>
      <c r="J177" s="59">
        <f>'дод 3'!K50+'дод 3'!K211</f>
        <v>2299600</v>
      </c>
      <c r="K177" s="59">
        <f>'дод 3'!L50+'дод 3'!L211</f>
        <v>0</v>
      </c>
      <c r="L177" s="59">
        <f>'дод 3'!M50+'дод 3'!M211</f>
        <v>0</v>
      </c>
      <c r="M177" s="59">
        <f>'дод 3'!N50+'дод 3'!N211</f>
        <v>0</v>
      </c>
      <c r="N177" s="59">
        <f>'дод 3'!O50+'дод 3'!O211</f>
        <v>2299600</v>
      </c>
      <c r="O177" s="59">
        <f>'дод 3'!P50+'дод 3'!P211</f>
        <v>4972418</v>
      </c>
    </row>
    <row r="178" spans="1:15" ht="24.75" customHeight="1" x14ac:dyDescent="0.25">
      <c r="A178" s="46" t="s">
        <v>159</v>
      </c>
      <c r="B178" s="51" t="s">
        <v>96</v>
      </c>
      <c r="C178" s="3" t="s">
        <v>493</v>
      </c>
      <c r="D178" s="59">
        <f>'дод 3'!E51</f>
        <v>2026570</v>
      </c>
      <c r="E178" s="59">
        <f>'дод 3'!F51</f>
        <v>2026570</v>
      </c>
      <c r="F178" s="59">
        <f>'дод 3'!G51</f>
        <v>1542220</v>
      </c>
      <c r="G178" s="59">
        <f>'дод 3'!H51</f>
        <v>76180</v>
      </c>
      <c r="H178" s="59">
        <f>'дод 3'!I51</f>
        <v>0</v>
      </c>
      <c r="I178" s="59">
        <f>'дод 3'!J51</f>
        <v>5500</v>
      </c>
      <c r="J178" s="59">
        <f>'дод 3'!K51</f>
        <v>0</v>
      </c>
      <c r="K178" s="59">
        <f>'дод 3'!L51</f>
        <v>5500</v>
      </c>
      <c r="L178" s="59">
        <f>'дод 3'!M51</f>
        <v>0</v>
      </c>
      <c r="M178" s="59">
        <f>'дод 3'!N51</f>
        <v>1400</v>
      </c>
      <c r="N178" s="59">
        <f>'дод 3'!O51</f>
        <v>0</v>
      </c>
      <c r="O178" s="59">
        <f>'дод 3'!P51</f>
        <v>2032070</v>
      </c>
    </row>
    <row r="179" spans="1:15" ht="51.75" customHeight="1" x14ac:dyDescent="0.25">
      <c r="A179" s="46"/>
      <c r="B179" s="51"/>
      <c r="C179" s="42" t="s">
        <v>444</v>
      </c>
      <c r="D179" s="59">
        <f>'дод 3'!E52</f>
        <v>380580</v>
      </c>
      <c r="E179" s="59">
        <f>'дод 3'!F52</f>
        <v>380580</v>
      </c>
      <c r="F179" s="59">
        <f>'дод 3'!G52</f>
        <v>311950</v>
      </c>
      <c r="G179" s="59">
        <f>'дод 3'!H52</f>
        <v>0</v>
      </c>
      <c r="H179" s="59">
        <f>'дод 3'!I52</f>
        <v>0</v>
      </c>
      <c r="I179" s="59">
        <f>'дод 3'!J52</f>
        <v>0</v>
      </c>
      <c r="J179" s="59">
        <f>'дод 3'!K52</f>
        <v>0</v>
      </c>
      <c r="K179" s="59">
        <f>'дод 3'!L52</f>
        <v>0</v>
      </c>
      <c r="L179" s="59">
        <f>'дод 3'!M52</f>
        <v>0</v>
      </c>
      <c r="M179" s="59">
        <f>'дод 3'!N52</f>
        <v>0</v>
      </c>
      <c r="N179" s="59">
        <f>'дод 3'!O52</f>
        <v>0</v>
      </c>
      <c r="O179" s="59">
        <f>'дод 3'!P52</f>
        <v>380580</v>
      </c>
    </row>
    <row r="180" spans="1:15" s="75" customFormat="1" ht="30" customHeight="1" x14ac:dyDescent="0.25">
      <c r="A180" s="47" t="s">
        <v>272</v>
      </c>
      <c r="B180" s="47"/>
      <c r="C180" s="12" t="s">
        <v>273</v>
      </c>
      <c r="D180" s="58">
        <f t="shared" ref="D180:O180" si="37">D181</f>
        <v>627360</v>
      </c>
      <c r="E180" s="58">
        <f t="shared" si="37"/>
        <v>627360</v>
      </c>
      <c r="F180" s="58">
        <f t="shared" si="37"/>
        <v>0</v>
      </c>
      <c r="G180" s="58">
        <f t="shared" si="37"/>
        <v>222160</v>
      </c>
      <c r="H180" s="58">
        <f t="shared" si="37"/>
        <v>0</v>
      </c>
      <c r="I180" s="58">
        <f t="shared" si="37"/>
        <v>0</v>
      </c>
      <c r="J180" s="58">
        <f t="shared" si="37"/>
        <v>0</v>
      </c>
      <c r="K180" s="58">
        <f t="shared" si="37"/>
        <v>0</v>
      </c>
      <c r="L180" s="58">
        <f t="shared" si="37"/>
        <v>0</v>
      </c>
      <c r="M180" s="58">
        <f t="shared" si="37"/>
        <v>0</v>
      </c>
      <c r="N180" s="58">
        <f t="shared" si="37"/>
        <v>0</v>
      </c>
      <c r="O180" s="58">
        <f t="shared" si="37"/>
        <v>627360</v>
      </c>
    </row>
    <row r="181" spans="1:15" ht="30" customHeight="1" x14ac:dyDescent="0.25">
      <c r="A181" s="46" t="s">
        <v>266</v>
      </c>
      <c r="B181" s="51" t="s">
        <v>267</v>
      </c>
      <c r="C181" s="3" t="s">
        <v>268</v>
      </c>
      <c r="D181" s="59">
        <f>'дод 3'!E53+'дод 3'!E212</f>
        <v>627360</v>
      </c>
      <c r="E181" s="59">
        <f>'дод 3'!F53+'дод 3'!F212</f>
        <v>627360</v>
      </c>
      <c r="F181" s="59">
        <f>'дод 3'!G53+'дод 3'!G212</f>
        <v>0</v>
      </c>
      <c r="G181" s="59">
        <f>'дод 3'!H53+'дод 3'!H212</f>
        <v>222160</v>
      </c>
      <c r="H181" s="59">
        <f>'дод 3'!I53+'дод 3'!I212</f>
        <v>0</v>
      </c>
      <c r="I181" s="59">
        <f>'дод 3'!J53+'дод 3'!J212</f>
        <v>0</v>
      </c>
      <c r="J181" s="59">
        <f>'дод 3'!K53+'дод 3'!K212</f>
        <v>0</v>
      </c>
      <c r="K181" s="59">
        <f>'дод 3'!L53+'дод 3'!L212</f>
        <v>0</v>
      </c>
      <c r="L181" s="59">
        <f>'дод 3'!M53+'дод 3'!M212</f>
        <v>0</v>
      </c>
      <c r="M181" s="59">
        <f>'дод 3'!N53+'дод 3'!N212</f>
        <v>0</v>
      </c>
      <c r="N181" s="59">
        <f>'дод 3'!O53+'дод 3'!O212</f>
        <v>0</v>
      </c>
      <c r="O181" s="59">
        <f>'дод 3'!P53+'дод 3'!P212</f>
        <v>627360</v>
      </c>
    </row>
    <row r="182" spans="1:15" s="75" customFormat="1" ht="22.5" customHeight="1" x14ac:dyDescent="0.25">
      <c r="A182" s="47" t="s">
        <v>6</v>
      </c>
      <c r="B182" s="48"/>
      <c r="C182" s="2" t="s">
        <v>8</v>
      </c>
      <c r="D182" s="58">
        <f t="shared" ref="D182:O182" si="38">D184+D183</f>
        <v>75000</v>
      </c>
      <c r="E182" s="58">
        <f t="shared" si="38"/>
        <v>75000</v>
      </c>
      <c r="F182" s="58">
        <f t="shared" si="38"/>
        <v>0</v>
      </c>
      <c r="G182" s="58">
        <f t="shared" si="38"/>
        <v>0</v>
      </c>
      <c r="H182" s="58">
        <f t="shared" si="38"/>
        <v>0</v>
      </c>
      <c r="I182" s="58">
        <f t="shared" si="38"/>
        <v>6359543.4500000002</v>
      </c>
      <c r="J182" s="58">
        <f t="shared" si="38"/>
        <v>0</v>
      </c>
      <c r="K182" s="58">
        <f t="shared" si="38"/>
        <v>2006500</v>
      </c>
      <c r="L182" s="58">
        <f t="shared" si="38"/>
        <v>0</v>
      </c>
      <c r="M182" s="58">
        <f t="shared" si="38"/>
        <v>0</v>
      </c>
      <c r="N182" s="58">
        <f t="shared" si="38"/>
        <v>4353043.45</v>
      </c>
      <c r="O182" s="58">
        <f t="shared" si="38"/>
        <v>6434543.4500000002</v>
      </c>
    </row>
    <row r="183" spans="1:15" s="75" customFormat="1" ht="33.75" customHeight="1" x14ac:dyDescent="0.25">
      <c r="A183" s="46">
        <v>8330</v>
      </c>
      <c r="B183" s="46">
        <v>540</v>
      </c>
      <c r="C183" s="3" t="s">
        <v>383</v>
      </c>
      <c r="D183" s="59">
        <f>'дод 3'!E259</f>
        <v>75000</v>
      </c>
      <c r="E183" s="59">
        <f>'дод 3'!F259</f>
        <v>75000</v>
      </c>
      <c r="F183" s="59">
        <f>'дод 3'!G259</f>
        <v>0</v>
      </c>
      <c r="G183" s="59">
        <f>'дод 3'!H259</f>
        <v>0</v>
      </c>
      <c r="H183" s="59">
        <f>'дод 3'!I259</f>
        <v>0</v>
      </c>
      <c r="I183" s="59">
        <f>'дод 3'!J259</f>
        <v>0</v>
      </c>
      <c r="J183" s="59">
        <f>'дод 3'!K259</f>
        <v>0</v>
      </c>
      <c r="K183" s="59">
        <f>'дод 3'!L259</f>
        <v>0</v>
      </c>
      <c r="L183" s="59">
        <f>'дод 3'!M259</f>
        <v>0</v>
      </c>
      <c r="M183" s="59">
        <f>'дод 3'!N259</f>
        <v>0</v>
      </c>
      <c r="N183" s="59">
        <f>'дод 3'!O259</f>
        <v>0</v>
      </c>
      <c r="O183" s="59">
        <f>'дод 3'!P259</f>
        <v>75000</v>
      </c>
    </row>
    <row r="184" spans="1:15" s="75" customFormat="1" ht="19.5" customHeight="1" x14ac:dyDescent="0.25">
      <c r="A184" s="46" t="s">
        <v>9</v>
      </c>
      <c r="B184" s="46" t="s">
        <v>99</v>
      </c>
      <c r="C184" s="3" t="s">
        <v>10</v>
      </c>
      <c r="D184" s="59">
        <f>'дод 3'!E54+'дод 3'!E98+'дод 3'!E213+'дод 3'!E260+'дод 3'!E184</f>
        <v>0</v>
      </c>
      <c r="E184" s="59">
        <f>'дод 3'!F54+'дод 3'!F98+'дод 3'!F213+'дод 3'!F260+'дод 3'!F184</f>
        <v>0</v>
      </c>
      <c r="F184" s="59">
        <f>'дод 3'!G54+'дод 3'!G98+'дод 3'!G213+'дод 3'!G260+'дод 3'!G184</f>
        <v>0</v>
      </c>
      <c r="G184" s="59">
        <f>'дод 3'!H54+'дод 3'!H98+'дод 3'!H213+'дод 3'!H260+'дод 3'!H184</f>
        <v>0</v>
      </c>
      <c r="H184" s="59">
        <f>'дод 3'!I54+'дод 3'!I98+'дод 3'!I213+'дод 3'!I260+'дод 3'!I184</f>
        <v>0</v>
      </c>
      <c r="I184" s="59">
        <f>'дод 3'!J54+'дод 3'!J98+'дод 3'!J213+'дод 3'!J260+'дод 3'!J184</f>
        <v>6359543.4500000002</v>
      </c>
      <c r="J184" s="59">
        <f>'дод 3'!K54+'дод 3'!K98+'дод 3'!K213+'дод 3'!K260+'дод 3'!K184</f>
        <v>0</v>
      </c>
      <c r="K184" s="59">
        <f>'дод 3'!L54+'дод 3'!L98+'дод 3'!L213+'дод 3'!L260+'дод 3'!L184</f>
        <v>2006500</v>
      </c>
      <c r="L184" s="59">
        <f>'дод 3'!M54+'дод 3'!M98+'дод 3'!M213+'дод 3'!M260+'дод 3'!M184</f>
        <v>0</v>
      </c>
      <c r="M184" s="59">
        <f>'дод 3'!N54+'дод 3'!N98+'дод 3'!N213+'дод 3'!N260+'дод 3'!N184</f>
        <v>0</v>
      </c>
      <c r="N184" s="59">
        <f>'дод 3'!O54+'дод 3'!O98+'дод 3'!O213+'дод 3'!O260+'дод 3'!O184</f>
        <v>4353043.45</v>
      </c>
      <c r="O184" s="59">
        <f>'дод 3'!P54+'дод 3'!P98+'дод 3'!P213+'дод 3'!P260+'дод 3'!P184</f>
        <v>6359543.4500000002</v>
      </c>
    </row>
    <row r="185" spans="1:15" s="75" customFormat="1" ht="20.25" customHeight="1" x14ac:dyDescent="0.25">
      <c r="A185" s="47" t="s">
        <v>144</v>
      </c>
      <c r="B185" s="48"/>
      <c r="C185" s="2" t="s">
        <v>82</v>
      </c>
      <c r="D185" s="58">
        <f t="shared" ref="D185:O185" si="39">D186</f>
        <v>100000</v>
      </c>
      <c r="E185" s="58">
        <f t="shared" si="39"/>
        <v>100000</v>
      </c>
      <c r="F185" s="58">
        <f t="shared" si="39"/>
        <v>0</v>
      </c>
      <c r="G185" s="58">
        <f t="shared" si="39"/>
        <v>0</v>
      </c>
      <c r="H185" s="58">
        <f t="shared" si="39"/>
        <v>0</v>
      </c>
      <c r="I185" s="58">
        <f t="shared" si="39"/>
        <v>0</v>
      </c>
      <c r="J185" s="58">
        <f t="shared" si="39"/>
        <v>0</v>
      </c>
      <c r="K185" s="58">
        <f t="shared" si="39"/>
        <v>0</v>
      </c>
      <c r="L185" s="58">
        <f t="shared" si="39"/>
        <v>0</v>
      </c>
      <c r="M185" s="58">
        <f t="shared" si="39"/>
        <v>0</v>
      </c>
      <c r="N185" s="58">
        <f t="shared" si="39"/>
        <v>0</v>
      </c>
      <c r="O185" s="58">
        <f t="shared" si="39"/>
        <v>100000</v>
      </c>
    </row>
    <row r="186" spans="1:15" s="75" customFormat="1" ht="21" customHeight="1" x14ac:dyDescent="0.25">
      <c r="A186" s="46" t="s">
        <v>277</v>
      </c>
      <c r="B186" s="51" t="s">
        <v>83</v>
      </c>
      <c r="C186" s="3" t="s">
        <v>278</v>
      </c>
      <c r="D186" s="59">
        <f>'дод 3'!E55</f>
        <v>100000</v>
      </c>
      <c r="E186" s="59">
        <f>'дод 3'!F55</f>
        <v>100000</v>
      </c>
      <c r="F186" s="59">
        <f>'дод 3'!G55</f>
        <v>0</v>
      </c>
      <c r="G186" s="59">
        <f>'дод 3'!H55</f>
        <v>0</v>
      </c>
      <c r="H186" s="59">
        <f>'дод 3'!I55</f>
        <v>0</v>
      </c>
      <c r="I186" s="59">
        <f>'дод 3'!J55</f>
        <v>0</v>
      </c>
      <c r="J186" s="59">
        <f>'дод 3'!K55</f>
        <v>0</v>
      </c>
      <c r="K186" s="59">
        <f>'дод 3'!L55</f>
        <v>0</v>
      </c>
      <c r="L186" s="59">
        <f>'дод 3'!M55</f>
        <v>0</v>
      </c>
      <c r="M186" s="59">
        <f>'дод 3'!N55</f>
        <v>0</v>
      </c>
      <c r="N186" s="59">
        <f>'дод 3'!O55</f>
        <v>0</v>
      </c>
      <c r="O186" s="59">
        <f>'дод 3'!P55</f>
        <v>100000</v>
      </c>
    </row>
    <row r="187" spans="1:15" s="75" customFormat="1" ht="21" customHeight="1" x14ac:dyDescent="0.25">
      <c r="A187" s="47" t="s">
        <v>102</v>
      </c>
      <c r="B187" s="47" t="s">
        <v>97</v>
      </c>
      <c r="C187" s="2" t="s">
        <v>11</v>
      </c>
      <c r="D187" s="58">
        <f>'дод 3'!E261</f>
        <v>712065</v>
      </c>
      <c r="E187" s="58">
        <f>'дод 3'!F261</f>
        <v>712065</v>
      </c>
      <c r="F187" s="58">
        <f>'дод 3'!G261</f>
        <v>0</v>
      </c>
      <c r="G187" s="58">
        <f>'дод 3'!H261</f>
        <v>0</v>
      </c>
      <c r="H187" s="58">
        <f>'дод 3'!I261</f>
        <v>0</v>
      </c>
      <c r="I187" s="58">
        <f>'дод 3'!J261</f>
        <v>0</v>
      </c>
      <c r="J187" s="58">
        <f>'дод 3'!K261</f>
        <v>0</v>
      </c>
      <c r="K187" s="58">
        <f>'дод 3'!L261</f>
        <v>0</v>
      </c>
      <c r="L187" s="58">
        <f>'дод 3'!M261</f>
        <v>0</v>
      </c>
      <c r="M187" s="58">
        <f>'дод 3'!N261</f>
        <v>0</v>
      </c>
      <c r="N187" s="58">
        <f>'дод 3'!O261</f>
        <v>0</v>
      </c>
      <c r="O187" s="58">
        <f>'дод 3'!P261</f>
        <v>712065</v>
      </c>
    </row>
    <row r="188" spans="1:15" s="75" customFormat="1" ht="21" customHeight="1" x14ac:dyDescent="0.25">
      <c r="A188" s="47" t="s">
        <v>12</v>
      </c>
      <c r="B188" s="47" t="s">
        <v>100</v>
      </c>
      <c r="C188" s="2" t="s">
        <v>21</v>
      </c>
      <c r="D188" s="58">
        <f>'дод 3'!E262</f>
        <v>6893252</v>
      </c>
      <c r="E188" s="58">
        <f>'дод 3'!F262</f>
        <v>0</v>
      </c>
      <c r="F188" s="58">
        <f>'дод 3'!G262</f>
        <v>0</v>
      </c>
      <c r="G188" s="58">
        <f>'дод 3'!H262</f>
        <v>0</v>
      </c>
      <c r="H188" s="58">
        <f>'дод 3'!I262</f>
        <v>0</v>
      </c>
      <c r="I188" s="58">
        <f>'дод 3'!J262</f>
        <v>0</v>
      </c>
      <c r="J188" s="58">
        <f>'дод 3'!K262</f>
        <v>0</v>
      </c>
      <c r="K188" s="58">
        <f>'дод 3'!L262</f>
        <v>0</v>
      </c>
      <c r="L188" s="58">
        <f>'дод 3'!M262</f>
        <v>0</v>
      </c>
      <c r="M188" s="58">
        <f>'дод 3'!N262</f>
        <v>0</v>
      </c>
      <c r="N188" s="58">
        <f>'дод 3'!O262</f>
        <v>0</v>
      </c>
      <c r="O188" s="58">
        <f>'дод 3'!P262</f>
        <v>6893252</v>
      </c>
    </row>
    <row r="189" spans="1:15" s="75" customFormat="1" ht="20.25" customHeight="1" x14ac:dyDescent="0.25">
      <c r="A189" s="47" t="s">
        <v>13</v>
      </c>
      <c r="B189" s="47"/>
      <c r="C189" s="2" t="s">
        <v>118</v>
      </c>
      <c r="D189" s="58">
        <f>D190+D192+D196+D198</f>
        <v>136541439</v>
      </c>
      <c r="E189" s="58">
        <f t="shared" ref="E189:O189" si="40">E190+E192+E196+E198</f>
        <v>136541439</v>
      </c>
      <c r="F189" s="58">
        <f t="shared" si="40"/>
        <v>0</v>
      </c>
      <c r="G189" s="58">
        <f t="shared" si="40"/>
        <v>0</v>
      </c>
      <c r="H189" s="58">
        <f t="shared" si="40"/>
        <v>0</v>
      </c>
      <c r="I189" s="58">
        <f t="shared" si="40"/>
        <v>8271000</v>
      </c>
      <c r="J189" s="58">
        <f t="shared" si="40"/>
        <v>8271000</v>
      </c>
      <c r="K189" s="58">
        <f t="shared" si="40"/>
        <v>0</v>
      </c>
      <c r="L189" s="58">
        <f t="shared" si="40"/>
        <v>0</v>
      </c>
      <c r="M189" s="58">
        <f t="shared" si="40"/>
        <v>0</v>
      </c>
      <c r="N189" s="58">
        <f t="shared" si="40"/>
        <v>8271000</v>
      </c>
      <c r="O189" s="58">
        <f t="shared" si="40"/>
        <v>144812439</v>
      </c>
    </row>
    <row r="190" spans="1:15" s="75" customFormat="1" ht="21.75" customHeight="1" x14ac:dyDescent="0.25">
      <c r="A190" s="47" t="s">
        <v>275</v>
      </c>
      <c r="B190" s="47"/>
      <c r="C190" s="2" t="s">
        <v>326</v>
      </c>
      <c r="D190" s="58">
        <f t="shared" ref="D190:O190" si="41">D191</f>
        <v>108116600</v>
      </c>
      <c r="E190" s="58">
        <f t="shared" si="41"/>
        <v>108116600</v>
      </c>
      <c r="F190" s="58">
        <f t="shared" si="41"/>
        <v>0</v>
      </c>
      <c r="G190" s="58">
        <f t="shared" si="41"/>
        <v>0</v>
      </c>
      <c r="H190" s="58">
        <f t="shared" si="41"/>
        <v>0</v>
      </c>
      <c r="I190" s="58">
        <f t="shared" si="41"/>
        <v>0</v>
      </c>
      <c r="J190" s="58">
        <f t="shared" si="41"/>
        <v>0</v>
      </c>
      <c r="K190" s="58">
        <f t="shared" si="41"/>
        <v>0</v>
      </c>
      <c r="L190" s="58">
        <f t="shared" si="41"/>
        <v>0</v>
      </c>
      <c r="M190" s="58">
        <f t="shared" si="41"/>
        <v>0</v>
      </c>
      <c r="N190" s="58">
        <f t="shared" si="41"/>
        <v>0</v>
      </c>
      <c r="O190" s="58">
        <f t="shared" si="41"/>
        <v>108116600</v>
      </c>
    </row>
    <row r="191" spans="1:15" s="75" customFormat="1" ht="21.75" customHeight="1" x14ac:dyDescent="0.25">
      <c r="A191" s="46" t="s">
        <v>98</v>
      </c>
      <c r="B191" s="51" t="s">
        <v>49</v>
      </c>
      <c r="C191" s="3" t="s">
        <v>117</v>
      </c>
      <c r="D191" s="59">
        <f>'дод 3'!E263</f>
        <v>108116600</v>
      </c>
      <c r="E191" s="59">
        <f>'дод 3'!F263</f>
        <v>108116600</v>
      </c>
      <c r="F191" s="59">
        <f>'дод 3'!G263</f>
        <v>0</v>
      </c>
      <c r="G191" s="59">
        <f>'дод 3'!H263</f>
        <v>0</v>
      </c>
      <c r="H191" s="59">
        <f>'дод 3'!I263</f>
        <v>0</v>
      </c>
      <c r="I191" s="59">
        <f>'дод 3'!J263</f>
        <v>0</v>
      </c>
      <c r="J191" s="59">
        <f>'дод 3'!K263</f>
        <v>0</v>
      </c>
      <c r="K191" s="59">
        <f>'дод 3'!L263</f>
        <v>0</v>
      </c>
      <c r="L191" s="59">
        <f>'дод 3'!M263</f>
        <v>0</v>
      </c>
      <c r="M191" s="59">
        <f>'дод 3'!N263</f>
        <v>0</v>
      </c>
      <c r="N191" s="59">
        <f>'дод 3'!O263</f>
        <v>0</v>
      </c>
      <c r="O191" s="59">
        <f>'дод 3'!P263</f>
        <v>108116600</v>
      </c>
    </row>
    <row r="192" spans="1:15" s="75" customFormat="1" ht="64.5" customHeight="1" x14ac:dyDescent="0.25">
      <c r="A192" s="47">
        <v>9300</v>
      </c>
      <c r="B192" s="48"/>
      <c r="C192" s="2" t="s">
        <v>512</v>
      </c>
      <c r="D192" s="58">
        <f>D194</f>
        <v>9791954</v>
      </c>
      <c r="E192" s="58">
        <f t="shared" ref="E192:O193" si="42">E194</f>
        <v>9791954</v>
      </c>
      <c r="F192" s="58">
        <f t="shared" si="42"/>
        <v>0</v>
      </c>
      <c r="G192" s="58">
        <f t="shared" si="42"/>
        <v>0</v>
      </c>
      <c r="H192" s="58">
        <f t="shared" si="42"/>
        <v>0</v>
      </c>
      <c r="I192" s="58">
        <f t="shared" si="42"/>
        <v>0</v>
      </c>
      <c r="J192" s="58">
        <f t="shared" si="42"/>
        <v>0</v>
      </c>
      <c r="K192" s="58">
        <f t="shared" si="42"/>
        <v>0</v>
      </c>
      <c r="L192" s="58">
        <f t="shared" si="42"/>
        <v>0</v>
      </c>
      <c r="M192" s="58">
        <f t="shared" si="42"/>
        <v>0</v>
      </c>
      <c r="N192" s="58">
        <f t="shared" si="42"/>
        <v>0</v>
      </c>
      <c r="O192" s="58">
        <f t="shared" si="42"/>
        <v>9791954</v>
      </c>
    </row>
    <row r="193" spans="1:16" s="76" customFormat="1" ht="41.25" customHeight="1" x14ac:dyDescent="0.25">
      <c r="A193" s="137"/>
      <c r="B193" s="152"/>
      <c r="C193" s="155" t="s">
        <v>453</v>
      </c>
      <c r="D193" s="154">
        <f>D195</f>
        <v>9791954</v>
      </c>
      <c r="E193" s="154">
        <f t="shared" si="42"/>
        <v>9791954</v>
      </c>
      <c r="F193" s="154">
        <f t="shared" si="42"/>
        <v>0</v>
      </c>
      <c r="G193" s="154">
        <f t="shared" si="42"/>
        <v>0</v>
      </c>
      <c r="H193" s="154">
        <f t="shared" si="42"/>
        <v>0</v>
      </c>
      <c r="I193" s="154">
        <f t="shared" si="42"/>
        <v>0</v>
      </c>
      <c r="J193" s="154">
        <f t="shared" si="42"/>
        <v>0</v>
      </c>
      <c r="K193" s="154">
        <f t="shared" si="42"/>
        <v>0</v>
      </c>
      <c r="L193" s="154">
        <f t="shared" si="42"/>
        <v>0</v>
      </c>
      <c r="M193" s="154">
        <f t="shared" si="42"/>
        <v>0</v>
      </c>
      <c r="N193" s="154">
        <f t="shared" si="42"/>
        <v>0</v>
      </c>
      <c r="O193" s="154">
        <f t="shared" si="42"/>
        <v>9791954</v>
      </c>
    </row>
    <row r="194" spans="1:16" s="75" customFormat="1" ht="48" customHeight="1" x14ac:dyDescent="0.25">
      <c r="A194" s="46">
        <v>9310</v>
      </c>
      <c r="B194" s="51" t="s">
        <v>49</v>
      </c>
      <c r="C194" s="3" t="s">
        <v>511</v>
      </c>
      <c r="D194" s="59">
        <f>'дод 3'!E99</f>
        <v>9791954</v>
      </c>
      <c r="E194" s="59">
        <f>'дод 3'!F99</f>
        <v>9791954</v>
      </c>
      <c r="F194" s="59">
        <f>'дод 3'!G99</f>
        <v>0</v>
      </c>
      <c r="G194" s="59">
        <f>'дод 3'!H99</f>
        <v>0</v>
      </c>
      <c r="H194" s="59">
        <f>'дод 3'!I99</f>
        <v>0</v>
      </c>
      <c r="I194" s="59">
        <f>'дод 3'!J99</f>
        <v>0</v>
      </c>
      <c r="J194" s="59">
        <f>'дод 3'!K99</f>
        <v>0</v>
      </c>
      <c r="K194" s="59">
        <f>'дод 3'!L99</f>
        <v>0</v>
      </c>
      <c r="L194" s="59">
        <f>'дод 3'!M99</f>
        <v>0</v>
      </c>
      <c r="M194" s="59">
        <f>'дод 3'!N99</f>
        <v>0</v>
      </c>
      <c r="N194" s="59">
        <f>'дод 3'!O99</f>
        <v>0</v>
      </c>
      <c r="O194" s="59">
        <f>'дод 3'!P99</f>
        <v>9791954</v>
      </c>
    </row>
    <row r="195" spans="1:16" s="75" customFormat="1" ht="36.75" customHeight="1" x14ac:dyDescent="0.25">
      <c r="A195" s="46"/>
      <c r="B195" s="51"/>
      <c r="C195" s="165" t="s">
        <v>453</v>
      </c>
      <c r="D195" s="158">
        <f>'дод 3'!E100</f>
        <v>9791954</v>
      </c>
      <c r="E195" s="158">
        <f>'дод 3'!F100</f>
        <v>9791954</v>
      </c>
      <c r="F195" s="158">
        <f>'дод 3'!G100</f>
        <v>0</v>
      </c>
      <c r="G195" s="158">
        <f>'дод 3'!H100</f>
        <v>0</v>
      </c>
      <c r="H195" s="158">
        <f>'дод 3'!I100</f>
        <v>0</v>
      </c>
      <c r="I195" s="158">
        <f>'дод 3'!J100</f>
        <v>0</v>
      </c>
      <c r="J195" s="158">
        <f>'дод 3'!K100</f>
        <v>0</v>
      </c>
      <c r="K195" s="158">
        <f>'дод 3'!L100</f>
        <v>0</v>
      </c>
      <c r="L195" s="158">
        <f>'дод 3'!M100</f>
        <v>0</v>
      </c>
      <c r="M195" s="158">
        <f>'дод 3'!N100</f>
        <v>0</v>
      </c>
      <c r="N195" s="158">
        <f>'дод 3'!O100</f>
        <v>0</v>
      </c>
      <c r="O195" s="158">
        <f>'дод 3'!P100</f>
        <v>9791954</v>
      </c>
    </row>
    <row r="196" spans="1:16" s="75" customFormat="1" ht="50.25" customHeight="1" x14ac:dyDescent="0.25">
      <c r="A196" s="47" t="s">
        <v>14</v>
      </c>
      <c r="B196" s="48"/>
      <c r="C196" s="2" t="s">
        <v>382</v>
      </c>
      <c r="D196" s="58">
        <f t="shared" ref="D196:O196" si="43">D197</f>
        <v>17462000</v>
      </c>
      <c r="E196" s="58">
        <f t="shared" si="43"/>
        <v>17462000</v>
      </c>
      <c r="F196" s="58">
        <f t="shared" si="43"/>
        <v>0</v>
      </c>
      <c r="G196" s="58">
        <f t="shared" si="43"/>
        <v>0</v>
      </c>
      <c r="H196" s="58">
        <f t="shared" si="43"/>
        <v>0</v>
      </c>
      <c r="I196" s="58">
        <f t="shared" si="43"/>
        <v>7632000</v>
      </c>
      <c r="J196" s="58">
        <f t="shared" si="43"/>
        <v>7632000</v>
      </c>
      <c r="K196" s="58">
        <f t="shared" si="43"/>
        <v>0</v>
      </c>
      <c r="L196" s="58">
        <f t="shared" si="43"/>
        <v>0</v>
      </c>
      <c r="M196" s="58">
        <f t="shared" si="43"/>
        <v>0</v>
      </c>
      <c r="N196" s="58">
        <f t="shared" si="43"/>
        <v>7632000</v>
      </c>
      <c r="O196" s="58">
        <f t="shared" si="43"/>
        <v>25094000</v>
      </c>
    </row>
    <row r="197" spans="1:16" s="75" customFormat="1" ht="21.75" customHeight="1" x14ac:dyDescent="0.25">
      <c r="A197" s="46" t="s">
        <v>15</v>
      </c>
      <c r="B197" s="51" t="s">
        <v>49</v>
      </c>
      <c r="C197" s="6" t="s">
        <v>391</v>
      </c>
      <c r="D197" s="59">
        <f>'дод 3'!E214+'дод 3'!E169+'дод 3'!E101</f>
        <v>17462000</v>
      </c>
      <c r="E197" s="59">
        <f>'дод 3'!F214+'дод 3'!F169+'дод 3'!F101</f>
        <v>17462000</v>
      </c>
      <c r="F197" s="59">
        <f>'дод 3'!G214+'дод 3'!G169+'дод 3'!G101</f>
        <v>0</v>
      </c>
      <c r="G197" s="59">
        <f>'дод 3'!H214+'дод 3'!H169+'дод 3'!H101</f>
        <v>0</v>
      </c>
      <c r="H197" s="59">
        <f>'дод 3'!I214+'дод 3'!I169+'дод 3'!I101</f>
        <v>0</v>
      </c>
      <c r="I197" s="59">
        <f>'дод 3'!J214+'дод 3'!J169+'дод 3'!J101</f>
        <v>7632000</v>
      </c>
      <c r="J197" s="59">
        <f>'дод 3'!K214+'дод 3'!K169+'дод 3'!K101</f>
        <v>7632000</v>
      </c>
      <c r="K197" s="59">
        <f>'дод 3'!L214+'дод 3'!L169+'дод 3'!L101</f>
        <v>0</v>
      </c>
      <c r="L197" s="59">
        <f>'дод 3'!M214+'дод 3'!M169+'дод 3'!M101</f>
        <v>0</v>
      </c>
      <c r="M197" s="59">
        <f>'дод 3'!N214+'дод 3'!N169+'дод 3'!N101</f>
        <v>0</v>
      </c>
      <c r="N197" s="59">
        <f>'дод 3'!O214+'дод 3'!O169+'дод 3'!O101</f>
        <v>7632000</v>
      </c>
      <c r="O197" s="59">
        <f>'дод 3'!P214+'дод 3'!P169+'дод 3'!P101</f>
        <v>25094000</v>
      </c>
    </row>
    <row r="198" spans="1:16" s="75" customFormat="1" ht="55.5" customHeight="1" x14ac:dyDescent="0.25">
      <c r="A198" s="47" t="s">
        <v>414</v>
      </c>
      <c r="B198" s="48" t="s">
        <v>49</v>
      </c>
      <c r="C198" s="9" t="s">
        <v>411</v>
      </c>
      <c r="D198" s="59">
        <f>'дод 3'!E102+'дод 3'!E56</f>
        <v>1170885</v>
      </c>
      <c r="E198" s="59">
        <f>'дод 3'!F102+'дод 3'!F56</f>
        <v>1170885</v>
      </c>
      <c r="F198" s="59">
        <f>'дод 3'!G102+'дод 3'!G56</f>
        <v>0</v>
      </c>
      <c r="G198" s="59">
        <f>'дод 3'!H102+'дод 3'!H56</f>
        <v>0</v>
      </c>
      <c r="H198" s="59">
        <f>'дод 3'!I102+'дод 3'!I56</f>
        <v>0</v>
      </c>
      <c r="I198" s="59">
        <f>'дод 3'!J102+'дод 3'!J56</f>
        <v>639000</v>
      </c>
      <c r="J198" s="59">
        <f>'дод 3'!K102+'дод 3'!K56</f>
        <v>639000</v>
      </c>
      <c r="K198" s="59">
        <f>'дод 3'!L102+'дод 3'!L56</f>
        <v>0</v>
      </c>
      <c r="L198" s="59">
        <f>'дод 3'!M102+'дод 3'!M56</f>
        <v>0</v>
      </c>
      <c r="M198" s="59">
        <f>'дод 3'!N102+'дод 3'!N56</f>
        <v>0</v>
      </c>
      <c r="N198" s="59">
        <f>'дод 3'!O102+'дод 3'!O56</f>
        <v>639000</v>
      </c>
      <c r="O198" s="59">
        <f>'дод 3'!P102+'дод 3'!P56</f>
        <v>1809885</v>
      </c>
    </row>
    <row r="199" spans="1:16" s="75" customFormat="1" ht="25.5" customHeight="1" x14ac:dyDescent="0.25">
      <c r="A199" s="7"/>
      <c r="B199" s="7"/>
      <c r="C199" s="2" t="s">
        <v>489</v>
      </c>
      <c r="D199" s="58">
        <f t="shared" ref="D199:O199" si="44">D19+D22+D54+D74+D111+D116+D123+D132+D173+D189</f>
        <v>2028066077.0200002</v>
      </c>
      <c r="E199" s="58">
        <f t="shared" si="44"/>
        <v>1939697587.0200002</v>
      </c>
      <c r="F199" s="58">
        <f t="shared" si="44"/>
        <v>891623262</v>
      </c>
      <c r="G199" s="58">
        <f t="shared" si="44"/>
        <v>108146706</v>
      </c>
      <c r="H199" s="58">
        <f t="shared" si="44"/>
        <v>81475238</v>
      </c>
      <c r="I199" s="58">
        <f t="shared" si="44"/>
        <v>686168960.05999994</v>
      </c>
      <c r="J199" s="58">
        <f t="shared" si="44"/>
        <v>525517713.41999996</v>
      </c>
      <c r="K199" s="58">
        <f t="shared" si="44"/>
        <v>143463011.00999999</v>
      </c>
      <c r="L199" s="58">
        <f t="shared" si="44"/>
        <v>9012497</v>
      </c>
      <c r="M199" s="58">
        <f t="shared" si="44"/>
        <v>3270541</v>
      </c>
      <c r="N199" s="58">
        <f t="shared" si="44"/>
        <v>542705949.04999995</v>
      </c>
      <c r="O199" s="58">
        <f t="shared" si="44"/>
        <v>2714235037.0799999</v>
      </c>
    </row>
    <row r="200" spans="1:16" s="76" customFormat="1" ht="18" customHeight="1" x14ac:dyDescent="0.25">
      <c r="A200" s="164"/>
      <c r="B200" s="164"/>
      <c r="C200" s="153" t="s">
        <v>466</v>
      </c>
      <c r="D200" s="154">
        <f>D23+D55+D133+D193</f>
        <v>423878400</v>
      </c>
      <c r="E200" s="154">
        <f t="shared" ref="E200:O200" si="45">E23+E55+E133+E193</f>
        <v>423878400</v>
      </c>
      <c r="F200" s="154">
        <f t="shared" si="45"/>
        <v>296702414</v>
      </c>
      <c r="G200" s="154">
        <f t="shared" si="45"/>
        <v>0</v>
      </c>
      <c r="H200" s="154">
        <f t="shared" si="45"/>
        <v>0</v>
      </c>
      <c r="I200" s="154">
        <f t="shared" si="45"/>
        <v>13809968.930000002</v>
      </c>
      <c r="J200" s="154">
        <f t="shared" si="45"/>
        <v>13809968.930000002</v>
      </c>
      <c r="K200" s="154">
        <f t="shared" si="45"/>
        <v>0</v>
      </c>
      <c r="L200" s="154">
        <f t="shared" si="45"/>
        <v>0</v>
      </c>
      <c r="M200" s="154">
        <f t="shared" si="45"/>
        <v>0</v>
      </c>
      <c r="N200" s="154">
        <f t="shared" si="45"/>
        <v>13809968.930000002</v>
      </c>
      <c r="O200" s="154">
        <f t="shared" si="45"/>
        <v>437688368.93000001</v>
      </c>
    </row>
    <row r="201" spans="1:16" s="76" customFormat="1" ht="31.5" x14ac:dyDescent="0.25">
      <c r="A201" s="164"/>
      <c r="B201" s="164"/>
      <c r="C201" s="153" t="s">
        <v>467</v>
      </c>
      <c r="D201" s="154">
        <f t="shared" ref="D201:O201" si="46">D24</f>
        <v>2739700</v>
      </c>
      <c r="E201" s="154">
        <f t="shared" si="46"/>
        <v>2739700</v>
      </c>
      <c r="F201" s="154">
        <f t="shared" si="46"/>
        <v>2249257</v>
      </c>
      <c r="G201" s="154">
        <f t="shared" si="46"/>
        <v>0</v>
      </c>
      <c r="H201" s="154">
        <f t="shared" si="46"/>
        <v>0</v>
      </c>
      <c r="I201" s="154">
        <f t="shared" si="46"/>
        <v>0</v>
      </c>
      <c r="J201" s="154">
        <f t="shared" si="46"/>
        <v>0</v>
      </c>
      <c r="K201" s="154">
        <f t="shared" si="46"/>
        <v>0</v>
      </c>
      <c r="L201" s="154">
        <f t="shared" si="46"/>
        <v>0</v>
      </c>
      <c r="M201" s="154">
        <f t="shared" si="46"/>
        <v>0</v>
      </c>
      <c r="N201" s="154">
        <f t="shared" si="46"/>
        <v>0</v>
      </c>
      <c r="O201" s="154">
        <f t="shared" si="46"/>
        <v>2739700</v>
      </c>
    </row>
    <row r="202" spans="1:16" s="76" customFormat="1" ht="31.5" x14ac:dyDescent="0.25">
      <c r="A202" s="164"/>
      <c r="B202" s="164"/>
      <c r="C202" s="153" t="s">
        <v>468</v>
      </c>
      <c r="D202" s="154">
        <f>D25+D26+D27+D28+D29+D56+D57+D58+D75++D134+D174</f>
        <v>25159224.509999998</v>
      </c>
      <c r="E202" s="154">
        <f t="shared" ref="E202:O202" si="47">E25+E26+E27+E28+E29+E56+E57+E58+E75++E134+E174</f>
        <v>25159224.509999998</v>
      </c>
      <c r="F202" s="154">
        <f t="shared" si="47"/>
        <v>2774450</v>
      </c>
      <c r="G202" s="154">
        <f t="shared" si="47"/>
        <v>0</v>
      </c>
      <c r="H202" s="154">
        <f t="shared" si="47"/>
        <v>0</v>
      </c>
      <c r="I202" s="154">
        <f t="shared" si="47"/>
        <v>83695179</v>
      </c>
      <c r="J202" s="154">
        <f t="shared" si="47"/>
        <v>3695179</v>
      </c>
      <c r="K202" s="154">
        <f t="shared" si="47"/>
        <v>80000000</v>
      </c>
      <c r="L202" s="154">
        <f t="shared" si="47"/>
        <v>0</v>
      </c>
      <c r="M202" s="154">
        <f t="shared" si="47"/>
        <v>0</v>
      </c>
      <c r="N202" s="154">
        <f t="shared" si="47"/>
        <v>3695179</v>
      </c>
      <c r="O202" s="154">
        <f t="shared" si="47"/>
        <v>108854403.50999999</v>
      </c>
    </row>
    <row r="203" spans="1:16" s="76" customFormat="1" ht="23.25" customHeight="1" x14ac:dyDescent="0.25">
      <c r="A203" s="137"/>
      <c r="B203" s="137"/>
      <c r="C203" s="161" t="s">
        <v>507</v>
      </c>
      <c r="D203" s="154">
        <f>D135</f>
        <v>0</v>
      </c>
      <c r="E203" s="154">
        <f t="shared" ref="E203:O203" si="48">E135</f>
        <v>0</v>
      </c>
      <c r="F203" s="154">
        <f t="shared" si="48"/>
        <v>0</v>
      </c>
      <c r="G203" s="154">
        <f t="shared" si="48"/>
        <v>0</v>
      </c>
      <c r="H203" s="154">
        <f t="shared" si="48"/>
        <v>0</v>
      </c>
      <c r="I203" s="154">
        <f t="shared" si="48"/>
        <v>58776907</v>
      </c>
      <c r="J203" s="154">
        <f t="shared" si="48"/>
        <v>58776907</v>
      </c>
      <c r="K203" s="154">
        <f t="shared" si="48"/>
        <v>0</v>
      </c>
      <c r="L203" s="154">
        <f t="shared" si="48"/>
        <v>0</v>
      </c>
      <c r="M203" s="154">
        <f t="shared" si="48"/>
        <v>0</v>
      </c>
      <c r="N203" s="154">
        <f t="shared" si="48"/>
        <v>58776907</v>
      </c>
      <c r="O203" s="154">
        <f t="shared" si="48"/>
        <v>58776907</v>
      </c>
    </row>
    <row r="204" spans="1:16" s="75" customFormat="1" ht="54.75" customHeight="1" x14ac:dyDescent="0.25">
      <c r="A204" s="127"/>
      <c r="B204" s="127"/>
      <c r="C204" s="128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</row>
    <row r="205" spans="1:16" ht="28.5" customHeight="1" x14ac:dyDescent="0.45">
      <c r="A205" s="119" t="s">
        <v>426</v>
      </c>
      <c r="B205" s="119"/>
      <c r="C205" s="119"/>
      <c r="D205" s="119"/>
      <c r="E205" s="119"/>
      <c r="F205" s="119"/>
      <c r="G205" s="119"/>
      <c r="H205" s="119"/>
      <c r="I205" s="120"/>
      <c r="J205" s="120"/>
      <c r="K205" s="120"/>
      <c r="L205" s="121"/>
      <c r="M205" s="121"/>
      <c r="N205" s="179" t="s">
        <v>427</v>
      </c>
      <c r="O205" s="179"/>
      <c r="P205" s="179"/>
    </row>
    <row r="206" spans="1:16" ht="30" customHeight="1" x14ac:dyDescent="0.45">
      <c r="A206" s="122"/>
      <c r="B206" s="122"/>
      <c r="C206" s="122"/>
      <c r="D206" s="123"/>
      <c r="E206" s="124"/>
      <c r="F206" s="124"/>
      <c r="G206" s="124"/>
      <c r="H206" s="124"/>
      <c r="I206" s="124"/>
      <c r="J206" s="124"/>
      <c r="K206" s="125"/>
      <c r="L206" s="124"/>
      <c r="M206" s="124"/>
      <c r="N206" s="34"/>
      <c r="O206" s="34"/>
      <c r="P206" s="34"/>
    </row>
    <row r="207" spans="1:16" ht="30" customHeight="1" x14ac:dyDescent="0.4">
      <c r="A207" s="126" t="s">
        <v>527</v>
      </c>
      <c r="B207" s="101"/>
      <c r="C207" s="101"/>
      <c r="D207" s="98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</row>
    <row r="208" spans="1:16" ht="34.5" customHeight="1" x14ac:dyDescent="0.4">
      <c r="A208" s="126" t="s">
        <v>428</v>
      </c>
      <c r="B208" s="101"/>
      <c r="C208" s="101"/>
      <c r="D208" s="98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</row>
    <row r="209" spans="1:24" s="111" customFormat="1" ht="35.25" customHeight="1" x14ac:dyDescent="0.5">
      <c r="A209" s="109"/>
      <c r="B209" s="109"/>
      <c r="C209" s="109"/>
      <c r="D209" s="109"/>
      <c r="E209" s="109"/>
      <c r="F209" s="109"/>
      <c r="G209" s="109"/>
      <c r="H209" s="109"/>
      <c r="I209" s="110"/>
      <c r="J209" s="110"/>
      <c r="K209" s="110"/>
      <c r="M209" s="186"/>
      <c r="N209" s="186"/>
      <c r="O209" s="186"/>
      <c r="P209" s="94"/>
      <c r="Q209" s="112"/>
      <c r="R209" s="112"/>
      <c r="S209" s="112"/>
      <c r="T209" s="112"/>
      <c r="U209" s="112"/>
      <c r="V209" s="112"/>
      <c r="W209" s="113"/>
      <c r="X209" s="114"/>
    </row>
    <row r="210" spans="1:24" ht="23.25" customHeight="1" x14ac:dyDescent="0.25"/>
    <row r="212" spans="1:24" ht="22.5" customHeight="1" x14ac:dyDescent="0.25"/>
  </sheetData>
  <mergeCells count="23">
    <mergeCell ref="K1:N1"/>
    <mergeCell ref="K3:O3"/>
    <mergeCell ref="K4:O4"/>
    <mergeCell ref="F17:G17"/>
    <mergeCell ref="K17:K18"/>
    <mergeCell ref="L17:M17"/>
    <mergeCell ref="N17:N18"/>
    <mergeCell ref="D16:H16"/>
    <mergeCell ref="A12:O12"/>
    <mergeCell ref="B16:B18"/>
    <mergeCell ref="C16:C18"/>
    <mergeCell ref="A16:A18"/>
    <mergeCell ref="D17:D18"/>
    <mergeCell ref="A13:B13"/>
    <mergeCell ref="A14:B14"/>
    <mergeCell ref="E17:E18"/>
    <mergeCell ref="M209:O209"/>
    <mergeCell ref="N205:P205"/>
    <mergeCell ref="I16:N16"/>
    <mergeCell ref="H17:H18"/>
    <mergeCell ref="I17:I18"/>
    <mergeCell ref="J17:J18"/>
    <mergeCell ref="O16:O18"/>
  </mergeCells>
  <phoneticPr fontId="3" type="noConversion"/>
  <printOptions horizontalCentered="1"/>
  <pageMargins left="0" right="0" top="0.78740157480314965" bottom="0.59055118110236227" header="0.59055118110236227" footer="0.19685039370078741"/>
  <pageSetup paperSize="9" scale="45" fitToHeight="100" orientation="landscape" verticalDpi="300" r:id="rId1"/>
  <headerFooter scaleWithDoc="0" alignWithMargins="0">
    <oddFooter>&amp;R&amp;9Сторінка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4</vt:lpstr>
      <vt:lpstr>'дод 3'!Заголовки_для_печати</vt:lpstr>
      <vt:lpstr>'дод 4'!Заголовки_для_печати</vt:lpstr>
      <vt:lpstr>'дод 3'!Область_печати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2020-07-31T06:52:39Z</cp:lastPrinted>
  <dcterms:created xsi:type="dcterms:W3CDTF">2014-01-17T10:52:16Z</dcterms:created>
  <dcterms:modified xsi:type="dcterms:W3CDTF">2020-07-31T08:26:47Z</dcterms:modified>
</cp:coreProperties>
</file>