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БУДУЩЕЕ РЕШЕНИЕ\27.05.2022 - бюджет\Доопрацьовано\"/>
    </mc:Choice>
  </mc:AlternateContent>
  <bookViews>
    <workbookView xWindow="-120" yWindow="-120" windowWidth="20730" windowHeight="11160" tabRatio="488"/>
  </bookViews>
  <sheets>
    <sheet name="дод 3" sheetId="1" r:id="rId1"/>
    <sheet name="дод 7" sheetId="3" r:id="rId2"/>
  </sheets>
  <definedNames>
    <definedName name="_xlnm.Print_Titles" localSheetId="0">'дод 3'!$9:$11</definedName>
    <definedName name="_xlnm.Print_Titles" localSheetId="1">'дод 7'!$9:$11</definedName>
    <definedName name="_xlnm.Print_Area" localSheetId="0">'дод 3'!$A$1:$Q$349</definedName>
    <definedName name="_xlnm.Print_Area" localSheetId="1">'дод 7'!$A$1:$P$290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7" i="1" l="1"/>
  <c r="O252" i="1"/>
  <c r="K252" i="1"/>
  <c r="E336" i="1" l="1"/>
  <c r="F60" i="1"/>
  <c r="E169" i="1" l="1"/>
  <c r="F56" i="1" l="1"/>
  <c r="F203" i="1" l="1"/>
  <c r="G111" i="1" l="1"/>
  <c r="G110" i="1"/>
  <c r="F111" i="1" l="1"/>
  <c r="F110" i="1"/>
  <c r="F61" i="1" l="1"/>
  <c r="F97" i="1" l="1"/>
  <c r="F78" i="1"/>
  <c r="F242" i="1" l="1"/>
  <c r="F28" i="1" l="1"/>
  <c r="F177" i="1"/>
  <c r="F176" i="1"/>
  <c r="F339" i="1" l="1"/>
  <c r="G339" i="1"/>
  <c r="H339" i="1"/>
  <c r="I339" i="1"/>
  <c r="J339" i="1"/>
  <c r="K339" i="1"/>
  <c r="L339" i="1"/>
  <c r="M339" i="1"/>
  <c r="N339" i="1"/>
  <c r="O339" i="1"/>
  <c r="P339" i="1"/>
  <c r="F341" i="1"/>
  <c r="G341" i="1"/>
  <c r="H341" i="1"/>
  <c r="I341" i="1"/>
  <c r="J341" i="1"/>
  <c r="K341" i="1"/>
  <c r="L341" i="1"/>
  <c r="M341" i="1"/>
  <c r="N341" i="1"/>
  <c r="O341" i="1"/>
  <c r="P341" i="1"/>
  <c r="F83" i="1"/>
  <c r="F82" i="1"/>
  <c r="E14" i="1"/>
  <c r="F208" i="1" l="1"/>
  <c r="G53" i="1" l="1"/>
  <c r="G54" i="1"/>
  <c r="F54" i="1"/>
  <c r="F53" i="1"/>
  <c r="F204" i="1" l="1"/>
  <c r="F81" i="1"/>
  <c r="G101" i="1"/>
  <c r="G100" i="1"/>
  <c r="F101" i="1"/>
  <c r="F100" i="1"/>
  <c r="O247" i="1" l="1"/>
  <c r="K247" i="1"/>
  <c r="G82" i="1" l="1"/>
  <c r="G81" i="1"/>
  <c r="G319" i="1" l="1"/>
  <c r="F319" i="1"/>
  <c r="G282" i="1"/>
  <c r="F282" i="1"/>
  <c r="M231" i="1" l="1"/>
  <c r="N231" i="1"/>
  <c r="H166" i="1"/>
  <c r="H165" i="1" s="1"/>
  <c r="I166" i="1"/>
  <c r="I165" i="1" s="1"/>
  <c r="L166" i="1"/>
  <c r="L165" i="1" s="1"/>
  <c r="M166" i="1"/>
  <c r="M165" i="1" s="1"/>
  <c r="N166" i="1"/>
  <c r="N165" i="1" s="1"/>
  <c r="F167" i="1"/>
  <c r="G167" i="1"/>
  <c r="H167" i="1"/>
  <c r="I167" i="1"/>
  <c r="K167" i="1"/>
  <c r="L167" i="1"/>
  <c r="M167" i="1"/>
  <c r="N167" i="1"/>
  <c r="O167" i="1"/>
  <c r="F168" i="1"/>
  <c r="G168" i="1"/>
  <c r="H168" i="1"/>
  <c r="I168" i="1"/>
  <c r="K168" i="1"/>
  <c r="L168" i="1"/>
  <c r="M168" i="1"/>
  <c r="N168" i="1"/>
  <c r="O168" i="1"/>
  <c r="F169" i="1"/>
  <c r="G169" i="1"/>
  <c r="H169" i="1"/>
  <c r="H340" i="1" s="1"/>
  <c r="I169" i="1"/>
  <c r="I340" i="1" s="1"/>
  <c r="K169" i="1"/>
  <c r="K340" i="1" s="1"/>
  <c r="L169" i="1"/>
  <c r="L340" i="1" s="1"/>
  <c r="M169" i="1"/>
  <c r="M340" i="1" s="1"/>
  <c r="N169" i="1"/>
  <c r="N340" i="1" s="1"/>
  <c r="O169" i="1"/>
  <c r="O340" i="1" s="1"/>
  <c r="C207" i="1"/>
  <c r="D207" i="1"/>
  <c r="B207" i="1"/>
  <c r="C274" i="1"/>
  <c r="D274" i="1"/>
  <c r="B274" i="1"/>
  <c r="C279" i="1"/>
  <c r="D279" i="1"/>
  <c r="B279" i="1"/>
  <c r="E247" i="3"/>
  <c r="F247" i="3"/>
  <c r="G247" i="3"/>
  <c r="H247" i="3"/>
  <c r="J247" i="3"/>
  <c r="K247" i="3"/>
  <c r="L247" i="3"/>
  <c r="M247" i="3"/>
  <c r="N247" i="3"/>
  <c r="E246" i="3"/>
  <c r="F246" i="3"/>
  <c r="G246" i="3"/>
  <c r="H246" i="3"/>
  <c r="J246" i="3"/>
  <c r="K246" i="3"/>
  <c r="L246" i="3"/>
  <c r="M246" i="3"/>
  <c r="N246" i="3"/>
  <c r="F261" i="3"/>
  <c r="G261" i="3"/>
  <c r="H261" i="3"/>
  <c r="J261" i="3"/>
  <c r="K261" i="3"/>
  <c r="L261" i="3"/>
  <c r="M261" i="3"/>
  <c r="N261" i="3"/>
  <c r="J279" i="1"/>
  <c r="E279" i="1"/>
  <c r="J274" i="1"/>
  <c r="I246" i="3" s="1"/>
  <c r="E274" i="1"/>
  <c r="J207" i="1"/>
  <c r="I247" i="3" s="1"/>
  <c r="E207" i="1"/>
  <c r="I44" i="1"/>
  <c r="I42" i="1"/>
  <c r="I250" i="1"/>
  <c r="F179" i="1"/>
  <c r="G96" i="1"/>
  <c r="G95" i="1"/>
  <c r="F96" i="1"/>
  <c r="F95" i="1"/>
  <c r="G85" i="1"/>
  <c r="G84" i="1"/>
  <c r="F85" i="1"/>
  <c r="F84" i="1"/>
  <c r="E261" i="3"/>
  <c r="L50" i="1"/>
  <c r="P207" i="1" l="1"/>
  <c r="O247" i="3" s="1"/>
  <c r="P274" i="1"/>
  <c r="O246" i="3" s="1"/>
  <c r="P279" i="1"/>
  <c r="D246" i="3"/>
  <c r="D247" i="3"/>
  <c r="L13" i="1" l="1"/>
  <c r="M13" i="1"/>
  <c r="N13" i="1"/>
  <c r="I43" i="1"/>
  <c r="I41" i="1"/>
  <c r="E41" i="1"/>
  <c r="I13" i="1" l="1"/>
  <c r="G68" i="1" l="1"/>
  <c r="H68" i="1"/>
  <c r="I68" i="1"/>
  <c r="K68" i="1"/>
  <c r="L68" i="1"/>
  <c r="M68" i="1"/>
  <c r="N68" i="1"/>
  <c r="O68" i="1"/>
  <c r="I242" i="1" l="1"/>
  <c r="I231" i="1" s="1"/>
  <c r="C243" i="1" l="1"/>
  <c r="D243" i="1"/>
  <c r="B243" i="1"/>
  <c r="E159" i="3"/>
  <c r="F159" i="3"/>
  <c r="G159" i="3"/>
  <c r="H159" i="3"/>
  <c r="J159" i="3"/>
  <c r="K159" i="3"/>
  <c r="L159" i="3"/>
  <c r="M159" i="3"/>
  <c r="N159" i="3"/>
  <c r="J243" i="1"/>
  <c r="I159" i="3" s="1"/>
  <c r="E243" i="1"/>
  <c r="P243" i="1" s="1"/>
  <c r="O159" i="3" s="1"/>
  <c r="D159" i="3" l="1"/>
  <c r="C56" i="1" l="1"/>
  <c r="D56" i="1"/>
  <c r="B56" i="1"/>
  <c r="E237" i="3"/>
  <c r="F237" i="3"/>
  <c r="G237" i="3"/>
  <c r="H237" i="3"/>
  <c r="J237" i="3"/>
  <c r="K237" i="3"/>
  <c r="L237" i="3"/>
  <c r="M237" i="3"/>
  <c r="N237" i="3"/>
  <c r="F275" i="1"/>
  <c r="J56" i="1"/>
  <c r="I237" i="3" s="1"/>
  <c r="E56" i="1"/>
  <c r="F52" i="1"/>
  <c r="F248" i="3"/>
  <c r="G248" i="3"/>
  <c r="H248" i="3"/>
  <c r="J248" i="3"/>
  <c r="K248" i="3"/>
  <c r="L248" i="3"/>
  <c r="M248" i="3"/>
  <c r="N248" i="3"/>
  <c r="J275" i="1"/>
  <c r="E275" i="1"/>
  <c r="E248" i="3" l="1"/>
  <c r="P56" i="1"/>
  <c r="O237" i="3" s="1"/>
  <c r="P275" i="1"/>
  <c r="D237" i="3"/>
  <c r="E60" i="1" l="1"/>
  <c r="E164" i="1"/>
  <c r="E208" i="1"/>
  <c r="J208" i="1"/>
  <c r="P208" i="1" s="1"/>
  <c r="H130" i="1"/>
  <c r="I130" i="1"/>
  <c r="L130" i="1"/>
  <c r="M130" i="1"/>
  <c r="N130" i="1"/>
  <c r="J164" i="1"/>
  <c r="J60" i="1"/>
  <c r="D248" i="3" l="1"/>
  <c r="P164" i="1"/>
  <c r="I248" i="3"/>
  <c r="P60" i="1"/>
  <c r="P146" i="1"/>
  <c r="O248" i="3" l="1"/>
  <c r="O292" i="1"/>
  <c r="K292" i="1"/>
  <c r="O299" i="1" l="1"/>
  <c r="K299" i="1"/>
  <c r="O253" i="1"/>
  <c r="K253" i="1"/>
  <c r="N82" i="3" l="1"/>
  <c r="M82" i="3"/>
  <c r="L82" i="3"/>
  <c r="K82" i="3"/>
  <c r="J82" i="3"/>
  <c r="H82" i="3"/>
  <c r="G82" i="3"/>
  <c r="F82" i="3"/>
  <c r="N284" i="1"/>
  <c r="M284" i="1"/>
  <c r="L284" i="1"/>
  <c r="I284" i="1"/>
  <c r="H284" i="1"/>
  <c r="J291" i="1"/>
  <c r="P291" i="1" s="1"/>
  <c r="F37" i="1"/>
  <c r="G34" i="1" l="1"/>
  <c r="N187" i="3" l="1"/>
  <c r="M187" i="3"/>
  <c r="L187" i="3"/>
  <c r="K187" i="3"/>
  <c r="J187" i="3"/>
  <c r="H187" i="3"/>
  <c r="G187" i="3"/>
  <c r="F187" i="3"/>
  <c r="E187" i="3"/>
  <c r="F35" i="1" l="1"/>
  <c r="F34" i="1"/>
  <c r="O34" i="1"/>
  <c r="K34" i="1"/>
  <c r="F32" i="1"/>
  <c r="H52" i="1" l="1"/>
  <c r="H13" i="1" s="1"/>
  <c r="G93" i="1" l="1"/>
  <c r="O79" i="1"/>
  <c r="K79" i="1"/>
  <c r="O78" i="1"/>
  <c r="K78" i="1"/>
  <c r="O288" i="1" l="1"/>
  <c r="O298" i="1" l="1"/>
  <c r="K298" i="1"/>
  <c r="F25" i="1"/>
  <c r="F24" i="1"/>
  <c r="O295" i="1"/>
  <c r="K295" i="1"/>
  <c r="J163" i="3"/>
  <c r="K228" i="1"/>
  <c r="O228" i="1"/>
  <c r="O224" i="1"/>
  <c r="K224" i="1"/>
  <c r="O223" i="1"/>
  <c r="K223" i="1"/>
  <c r="O160" i="1"/>
  <c r="K160" i="1"/>
  <c r="O157" i="1"/>
  <c r="O130" i="1" s="1"/>
  <c r="K157" i="1"/>
  <c r="K130" i="1" s="1"/>
  <c r="O122" i="1"/>
  <c r="K122" i="1"/>
  <c r="O77" i="1"/>
  <c r="K77" i="1"/>
  <c r="O305" i="1"/>
  <c r="K305" i="1"/>
  <c r="N40" i="3"/>
  <c r="M40" i="3"/>
  <c r="L40" i="3"/>
  <c r="K40" i="3"/>
  <c r="J40" i="3"/>
  <c r="H40" i="3"/>
  <c r="G40" i="3"/>
  <c r="J290" i="1"/>
  <c r="E290" i="1"/>
  <c r="N33" i="3"/>
  <c r="M33" i="3"/>
  <c r="L33" i="3"/>
  <c r="K33" i="3"/>
  <c r="J33" i="3"/>
  <c r="H33" i="3"/>
  <c r="J289" i="1"/>
  <c r="E289" i="1"/>
  <c r="K288" i="1"/>
  <c r="F93" i="1"/>
  <c r="O284" i="1" l="1"/>
  <c r="K284" i="1"/>
  <c r="P289" i="1"/>
  <c r="P290" i="1"/>
  <c r="G287" i="1"/>
  <c r="G284" i="1" s="1"/>
  <c r="F287" i="1"/>
  <c r="F284" i="1" s="1"/>
  <c r="G330" i="1"/>
  <c r="F330" i="1"/>
  <c r="G322" i="1"/>
  <c r="F322" i="1"/>
  <c r="G311" i="1"/>
  <c r="F311" i="1"/>
  <c r="G238" i="1"/>
  <c r="G231" i="1" s="1"/>
  <c r="F238" i="1"/>
  <c r="G221" i="1"/>
  <c r="F221" i="1"/>
  <c r="G213" i="1"/>
  <c r="F213" i="1"/>
  <c r="G172" i="1"/>
  <c r="G166" i="1" s="1"/>
  <c r="G165" i="1" s="1"/>
  <c r="F172" i="1"/>
  <c r="G138" i="1"/>
  <c r="G130" i="1" s="1"/>
  <c r="F138" i="1"/>
  <c r="G76" i="1"/>
  <c r="F76" i="1"/>
  <c r="G16" i="1"/>
  <c r="F16" i="1"/>
  <c r="N259" i="3" l="1"/>
  <c r="M259" i="3"/>
  <c r="L259" i="3"/>
  <c r="K259" i="3"/>
  <c r="J259" i="3"/>
  <c r="H259" i="3"/>
  <c r="G259" i="3"/>
  <c r="F259" i="3"/>
  <c r="E259" i="3"/>
  <c r="J277" i="1"/>
  <c r="I259" i="3" s="1"/>
  <c r="E277" i="1"/>
  <c r="D259" i="3" s="1"/>
  <c r="P277" i="1" l="1"/>
  <c r="O259" i="3" s="1"/>
  <c r="G29" i="1"/>
  <c r="M31" i="3" l="1"/>
  <c r="L31" i="3"/>
  <c r="K31" i="3"/>
  <c r="H31" i="3"/>
  <c r="F77" i="1"/>
  <c r="E31" i="3" s="1"/>
  <c r="F29" i="1"/>
  <c r="F226" i="1" l="1"/>
  <c r="F222" i="1"/>
  <c r="F139" i="1"/>
  <c r="E33" i="3"/>
  <c r="N31" i="3"/>
  <c r="J31" i="3"/>
  <c r="F36" i="1"/>
  <c r="J288" i="1"/>
  <c r="E288" i="1"/>
  <c r="E82" i="3" l="1"/>
  <c r="P288" i="1"/>
  <c r="O244" i="1"/>
  <c r="K244" i="1"/>
  <c r="O241" i="1"/>
  <c r="K241" i="1"/>
  <c r="F80" i="1"/>
  <c r="F33" i="1"/>
  <c r="F13" i="1" s="1"/>
  <c r="O25" i="1" l="1"/>
  <c r="K25" i="1"/>
  <c r="G25" i="1"/>
  <c r="G13" i="1" s="1"/>
  <c r="O268" i="1" l="1"/>
  <c r="O231" i="1" s="1"/>
  <c r="K268" i="1"/>
  <c r="K231" i="1" s="1"/>
  <c r="J254" i="1"/>
  <c r="J255" i="1"/>
  <c r="J256" i="1"/>
  <c r="J257" i="1"/>
  <c r="G78" i="1"/>
  <c r="F33" i="3" s="1"/>
  <c r="G116" i="1"/>
  <c r="F116" i="1"/>
  <c r="G77" i="1" l="1"/>
  <c r="F31" i="3" s="1"/>
  <c r="F94" i="1"/>
  <c r="F251" i="1"/>
  <c r="F231" i="1" s="1"/>
  <c r="O93" i="1" l="1"/>
  <c r="K93" i="1"/>
  <c r="H102" i="1" l="1"/>
  <c r="F102" i="1"/>
  <c r="H78" i="1"/>
  <c r="G33" i="3" s="1"/>
  <c r="F147" i="1" l="1"/>
  <c r="F130" i="1" s="1"/>
  <c r="G80" i="1"/>
  <c r="G79" i="1"/>
  <c r="F40" i="3" s="1"/>
  <c r="F79" i="1"/>
  <c r="E40" i="3" s="1"/>
  <c r="K80" i="1" l="1"/>
  <c r="F184" i="1" l="1"/>
  <c r="F166" i="1" s="1"/>
  <c r="F165" i="1" s="1"/>
  <c r="O184" i="1"/>
  <c r="K184" i="1"/>
  <c r="L124" i="1" l="1"/>
  <c r="L273" i="1" l="1"/>
  <c r="L231" i="1" s="1"/>
  <c r="E337" i="1" l="1"/>
  <c r="H247" i="1" l="1"/>
  <c r="H231" i="1" s="1"/>
  <c r="H77" i="1" l="1"/>
  <c r="G31" i="3" s="1"/>
  <c r="F215" i="1" l="1"/>
  <c r="E57" i="3" l="1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F63" i="1"/>
  <c r="G63" i="1"/>
  <c r="H63" i="1"/>
  <c r="I63" i="1"/>
  <c r="K63" i="1"/>
  <c r="L63" i="1"/>
  <c r="M63" i="1"/>
  <c r="N63" i="1"/>
  <c r="O63" i="1"/>
  <c r="F64" i="1"/>
  <c r="G64" i="1"/>
  <c r="H64" i="1"/>
  <c r="I64" i="1"/>
  <c r="K64" i="1"/>
  <c r="L64" i="1"/>
  <c r="M64" i="1"/>
  <c r="N64" i="1"/>
  <c r="O64" i="1"/>
  <c r="J94" i="1"/>
  <c r="I57" i="3" s="1"/>
  <c r="J95" i="1"/>
  <c r="I58" i="3" s="1"/>
  <c r="J96" i="1"/>
  <c r="I59" i="3" s="1"/>
  <c r="E94" i="1"/>
  <c r="D57" i="3" s="1"/>
  <c r="E95" i="1"/>
  <c r="D58" i="3" s="1"/>
  <c r="E96" i="1"/>
  <c r="D59" i="3" s="1"/>
  <c r="D95" i="1"/>
  <c r="D94" i="1"/>
  <c r="D86" i="1"/>
  <c r="E97" i="1"/>
  <c r="P94" i="1" l="1"/>
  <c r="O57" i="3" s="1"/>
  <c r="P96" i="1"/>
  <c r="P95" i="1"/>
  <c r="O58" i="3" s="1"/>
  <c r="O59" i="3" l="1"/>
  <c r="D173" i="1" l="1"/>
  <c r="D185" i="1"/>
  <c r="D189" i="1"/>
  <c r="D193" i="1"/>
  <c r="D205" i="1"/>
  <c r="D222" i="1"/>
  <c r="D227" i="1"/>
  <c r="D238" i="1"/>
  <c r="D250" i="1"/>
  <c r="D252" i="1"/>
  <c r="D253" i="1"/>
  <c r="D293" i="1"/>
  <c r="D295" i="1"/>
  <c r="D296" i="1"/>
  <c r="D297" i="1"/>
  <c r="D298" i="1"/>
  <c r="D299" i="1"/>
  <c r="D305" i="1"/>
  <c r="D313" i="1"/>
  <c r="D315" i="1"/>
  <c r="D330" i="1"/>
  <c r="D322" i="1"/>
  <c r="D319" i="1"/>
  <c r="D311" i="1"/>
  <c r="D287" i="1"/>
  <c r="D282" i="1"/>
  <c r="D221" i="1"/>
  <c r="D213" i="1"/>
  <c r="D172" i="1"/>
  <c r="D156" i="1"/>
  <c r="D147" i="1"/>
  <c r="D144" i="1"/>
  <c r="D139" i="1"/>
  <c r="D138" i="1"/>
  <c r="D127" i="1"/>
  <c r="D124" i="1"/>
  <c r="D118" i="1"/>
  <c r="D116" i="1"/>
  <c r="D114" i="1"/>
  <c r="D106" i="1"/>
  <c r="D103" i="1"/>
  <c r="D102" i="1"/>
  <c r="D100" i="1"/>
  <c r="D99" i="1"/>
  <c r="D98" i="1"/>
  <c r="D97" i="1"/>
  <c r="D93" i="1"/>
  <c r="D84" i="1"/>
  <c r="D81" i="1"/>
  <c r="D80" i="1"/>
  <c r="D79" i="1"/>
  <c r="D78" i="1"/>
  <c r="D77" i="1"/>
  <c r="D76" i="1"/>
  <c r="D48" i="1"/>
  <c r="D46" i="1"/>
  <c r="D45" i="1"/>
  <c r="D43" i="1"/>
  <c r="D40" i="1"/>
  <c r="D39" i="1"/>
  <c r="D38" i="1"/>
  <c r="D36" i="1"/>
  <c r="D35" i="1"/>
  <c r="D34" i="1"/>
  <c r="D33" i="1"/>
  <c r="D32" i="1"/>
  <c r="D31" i="1"/>
  <c r="D30" i="1"/>
  <c r="D29" i="1"/>
  <c r="D27" i="1"/>
  <c r="D26" i="1"/>
  <c r="D25" i="1"/>
  <c r="D23" i="1"/>
  <c r="D21" i="1"/>
  <c r="D16" i="1"/>
  <c r="E14" i="3" l="1"/>
  <c r="F14" i="3"/>
  <c r="G14" i="3"/>
  <c r="H14" i="3"/>
  <c r="K14" i="3"/>
  <c r="L14" i="3"/>
  <c r="M14" i="3"/>
  <c r="E139" i="3"/>
  <c r="F139" i="3"/>
  <c r="G139" i="3"/>
  <c r="H139" i="3"/>
  <c r="J139" i="3"/>
  <c r="K139" i="3"/>
  <c r="L139" i="3"/>
  <c r="M139" i="3"/>
  <c r="N139" i="3"/>
  <c r="F211" i="1"/>
  <c r="G211" i="1"/>
  <c r="H211" i="1"/>
  <c r="I211" i="1"/>
  <c r="L211" i="1"/>
  <c r="M211" i="1"/>
  <c r="N211" i="1"/>
  <c r="J216" i="1"/>
  <c r="E216" i="1"/>
  <c r="E25" i="1"/>
  <c r="P216" i="1" l="1"/>
  <c r="F310" i="1"/>
  <c r="G310" i="1"/>
  <c r="H310" i="1"/>
  <c r="I310" i="1"/>
  <c r="L310" i="1"/>
  <c r="M310" i="1"/>
  <c r="N310" i="1"/>
  <c r="J313" i="1"/>
  <c r="E313" i="1"/>
  <c r="E164" i="3"/>
  <c r="F164" i="3"/>
  <c r="G164" i="3"/>
  <c r="H164" i="3"/>
  <c r="J164" i="3"/>
  <c r="K164" i="3"/>
  <c r="L164" i="3"/>
  <c r="M164" i="3"/>
  <c r="N164" i="3"/>
  <c r="J250" i="1"/>
  <c r="I164" i="3" s="1"/>
  <c r="E250" i="1"/>
  <c r="P250" i="1" l="1"/>
  <c r="O164" i="3" s="1"/>
  <c r="P313" i="1"/>
  <c r="D164" i="3"/>
  <c r="E217" i="3"/>
  <c r="F217" i="3"/>
  <c r="G217" i="3"/>
  <c r="H217" i="3"/>
  <c r="J217" i="3"/>
  <c r="K217" i="3"/>
  <c r="L217" i="3"/>
  <c r="M217" i="3"/>
  <c r="N217" i="3"/>
  <c r="J206" i="1"/>
  <c r="E206" i="1"/>
  <c r="E121" i="3"/>
  <c r="F121" i="3"/>
  <c r="G121" i="3"/>
  <c r="H121" i="3"/>
  <c r="J121" i="3"/>
  <c r="K121" i="3"/>
  <c r="L121" i="3"/>
  <c r="M121" i="3"/>
  <c r="N121" i="3"/>
  <c r="J185" i="1"/>
  <c r="E185" i="1"/>
  <c r="E115" i="1"/>
  <c r="P206" i="1" l="1"/>
  <c r="P185" i="1"/>
  <c r="E240" i="3"/>
  <c r="F240" i="3"/>
  <c r="G240" i="3"/>
  <c r="H240" i="3"/>
  <c r="J240" i="3"/>
  <c r="K240" i="3"/>
  <c r="L240" i="3"/>
  <c r="M240" i="3"/>
  <c r="N240" i="3"/>
  <c r="O222" i="1"/>
  <c r="E120" i="3" l="1"/>
  <c r="F120" i="3"/>
  <c r="G120" i="3"/>
  <c r="H120" i="3"/>
  <c r="J120" i="3"/>
  <c r="K120" i="3"/>
  <c r="L120" i="3"/>
  <c r="M120" i="3"/>
  <c r="N120" i="3"/>
  <c r="D120" i="3"/>
  <c r="J25" i="1"/>
  <c r="I120" i="3" s="1"/>
  <c r="O48" i="1"/>
  <c r="E183" i="3"/>
  <c r="F183" i="3"/>
  <c r="G183" i="3"/>
  <c r="H183" i="3"/>
  <c r="J183" i="3"/>
  <c r="K183" i="3"/>
  <c r="L183" i="3"/>
  <c r="M183" i="3"/>
  <c r="N183" i="3"/>
  <c r="J38" i="1"/>
  <c r="J39" i="1"/>
  <c r="O16" i="1"/>
  <c r="O13" i="1" s="1"/>
  <c r="K16" i="1"/>
  <c r="K13" i="1" s="1"/>
  <c r="P25" i="1" l="1"/>
  <c r="O120" i="3" s="1"/>
  <c r="P38" i="1"/>
  <c r="K171" i="1"/>
  <c r="O171" i="1"/>
  <c r="F134" i="1" l="1"/>
  <c r="F136" i="1"/>
  <c r="M192" i="3" l="1"/>
  <c r="L192" i="3"/>
  <c r="K192" i="3"/>
  <c r="H192" i="3"/>
  <c r="G192" i="3"/>
  <c r="F192" i="3"/>
  <c r="E192" i="3"/>
  <c r="M191" i="3"/>
  <c r="L191" i="3"/>
  <c r="K191" i="3"/>
  <c r="H191" i="3"/>
  <c r="G191" i="3"/>
  <c r="F191" i="3"/>
  <c r="E191" i="3"/>
  <c r="O285" i="1"/>
  <c r="N285" i="1"/>
  <c r="M285" i="1"/>
  <c r="L285" i="1"/>
  <c r="K285" i="1"/>
  <c r="I285" i="1"/>
  <c r="H285" i="1"/>
  <c r="G285" i="1"/>
  <c r="F285" i="1"/>
  <c r="E303" i="1"/>
  <c r="E285" i="1" s="1"/>
  <c r="J303" i="1"/>
  <c r="N191" i="3"/>
  <c r="J191" i="3"/>
  <c r="N192" i="3"/>
  <c r="J192" i="3" l="1"/>
  <c r="P303" i="1"/>
  <c r="P285" i="1" s="1"/>
  <c r="J285" i="1"/>
  <c r="F260" i="3" l="1"/>
  <c r="G260" i="3"/>
  <c r="H260" i="3"/>
  <c r="K260" i="3"/>
  <c r="L260" i="3"/>
  <c r="M260" i="3"/>
  <c r="J58" i="1"/>
  <c r="J59" i="1"/>
  <c r="E59" i="1"/>
  <c r="J251" i="1"/>
  <c r="P59" i="1" l="1"/>
  <c r="E165" i="3" l="1"/>
  <c r="F165" i="3"/>
  <c r="G165" i="3"/>
  <c r="H165" i="3"/>
  <c r="J165" i="3"/>
  <c r="K165" i="3"/>
  <c r="L165" i="3"/>
  <c r="M165" i="3"/>
  <c r="N165" i="3"/>
  <c r="E166" i="3"/>
  <c r="F166" i="3"/>
  <c r="G166" i="3"/>
  <c r="H166" i="3"/>
  <c r="J166" i="3"/>
  <c r="K166" i="3"/>
  <c r="L166" i="3"/>
  <c r="M166" i="3"/>
  <c r="N166" i="3"/>
  <c r="F235" i="1"/>
  <c r="G235" i="1"/>
  <c r="H235" i="1"/>
  <c r="I235" i="1"/>
  <c r="K235" i="1"/>
  <c r="L235" i="1"/>
  <c r="M235" i="1"/>
  <c r="N235" i="1"/>
  <c r="O235" i="1"/>
  <c r="J249" i="1" l="1"/>
  <c r="E249" i="1"/>
  <c r="J248" i="1"/>
  <c r="E248" i="1"/>
  <c r="P249" i="1" l="1"/>
  <c r="P248" i="1"/>
  <c r="P235" i="1" s="1"/>
  <c r="E235" i="1"/>
  <c r="J235" i="1"/>
  <c r="O172" i="1" l="1"/>
  <c r="O166" i="1" s="1"/>
  <c r="O165" i="1" s="1"/>
  <c r="K172" i="1"/>
  <c r="K166" i="1" s="1"/>
  <c r="K165" i="1" s="1"/>
  <c r="N49" i="3" l="1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N42" i="3"/>
  <c r="M42" i="3"/>
  <c r="L42" i="3"/>
  <c r="K42" i="3"/>
  <c r="J42" i="3"/>
  <c r="H42" i="3"/>
  <c r="G42" i="3"/>
  <c r="F42" i="3"/>
  <c r="E42" i="3"/>
  <c r="J87" i="1"/>
  <c r="I49" i="3" s="1"/>
  <c r="J86" i="1"/>
  <c r="I48" i="3" s="1"/>
  <c r="E87" i="1"/>
  <c r="E86" i="1"/>
  <c r="J80" i="1"/>
  <c r="I42" i="3" s="1"/>
  <c r="E80" i="1"/>
  <c r="P80" i="1" l="1"/>
  <c r="O42" i="3" s="1"/>
  <c r="P87" i="1"/>
  <c r="O49" i="3" s="1"/>
  <c r="P86" i="1"/>
  <c r="O48" i="3" s="1"/>
  <c r="D42" i="3"/>
  <c r="D48" i="3"/>
  <c r="D49" i="3"/>
  <c r="N211" i="3"/>
  <c r="N199" i="3" s="1"/>
  <c r="M211" i="3"/>
  <c r="M199" i="3" s="1"/>
  <c r="L211" i="3"/>
  <c r="L199" i="3" s="1"/>
  <c r="K211" i="3"/>
  <c r="K199" i="3" s="1"/>
  <c r="J211" i="3"/>
  <c r="J199" i="3" s="1"/>
  <c r="H211" i="3"/>
  <c r="H199" i="3" s="1"/>
  <c r="G211" i="3"/>
  <c r="G199" i="3" s="1"/>
  <c r="F211" i="3"/>
  <c r="F199" i="3" s="1"/>
  <c r="E211" i="3"/>
  <c r="E199" i="3" s="1"/>
  <c r="N210" i="3"/>
  <c r="M210" i="3"/>
  <c r="L210" i="3"/>
  <c r="K210" i="3"/>
  <c r="J210" i="3"/>
  <c r="H210" i="3"/>
  <c r="G210" i="3"/>
  <c r="F210" i="3"/>
  <c r="E210" i="3"/>
  <c r="N194" i="3"/>
  <c r="M194" i="3"/>
  <c r="L194" i="3"/>
  <c r="K194" i="3"/>
  <c r="J194" i="3"/>
  <c r="H194" i="3"/>
  <c r="G194" i="3"/>
  <c r="F194" i="3"/>
  <c r="E194" i="3"/>
  <c r="N193" i="3"/>
  <c r="M193" i="3"/>
  <c r="L193" i="3"/>
  <c r="K193" i="3"/>
  <c r="J193" i="3"/>
  <c r="H193" i="3"/>
  <c r="G193" i="3"/>
  <c r="F193" i="3"/>
  <c r="E193" i="3"/>
  <c r="O136" i="1" l="1"/>
  <c r="N136" i="1"/>
  <c r="M136" i="1"/>
  <c r="L136" i="1"/>
  <c r="K136" i="1"/>
  <c r="I136" i="1"/>
  <c r="H136" i="1"/>
  <c r="G136" i="1"/>
  <c r="N85" i="3"/>
  <c r="M85" i="3"/>
  <c r="L85" i="3"/>
  <c r="K85" i="3"/>
  <c r="J85" i="3"/>
  <c r="H85" i="3"/>
  <c r="G85" i="3"/>
  <c r="F85" i="3"/>
  <c r="E85" i="3"/>
  <c r="N181" i="3"/>
  <c r="M181" i="3"/>
  <c r="L181" i="3"/>
  <c r="K181" i="3"/>
  <c r="J181" i="3"/>
  <c r="J178" i="3" s="1"/>
  <c r="H181" i="3"/>
  <c r="G181" i="3"/>
  <c r="F181" i="3"/>
  <c r="E181" i="3"/>
  <c r="N70" i="3"/>
  <c r="N30" i="3" s="1"/>
  <c r="M70" i="3"/>
  <c r="M30" i="3" s="1"/>
  <c r="L70" i="3"/>
  <c r="L30" i="3" s="1"/>
  <c r="K70" i="3"/>
  <c r="K30" i="3" s="1"/>
  <c r="J70" i="3"/>
  <c r="J30" i="3" s="1"/>
  <c r="H70" i="3"/>
  <c r="H30" i="3" s="1"/>
  <c r="G70" i="3"/>
  <c r="G30" i="3" s="1"/>
  <c r="F70" i="3"/>
  <c r="F30" i="3" s="1"/>
  <c r="E70" i="3"/>
  <c r="E30" i="3" s="1"/>
  <c r="O236" i="1"/>
  <c r="N236" i="1"/>
  <c r="M236" i="1"/>
  <c r="L236" i="1"/>
  <c r="K236" i="1"/>
  <c r="I236" i="1"/>
  <c r="H236" i="1"/>
  <c r="G236" i="1"/>
  <c r="F236" i="1"/>
  <c r="J260" i="1"/>
  <c r="I194" i="3" s="1"/>
  <c r="J259" i="1"/>
  <c r="I193" i="3" s="1"/>
  <c r="E260" i="1"/>
  <c r="E259" i="1"/>
  <c r="D193" i="3" s="1"/>
  <c r="J265" i="1"/>
  <c r="I211" i="3" s="1"/>
  <c r="I199" i="3" s="1"/>
  <c r="E265" i="1"/>
  <c r="D211" i="3" s="1"/>
  <c r="D199" i="3" s="1"/>
  <c r="J264" i="1"/>
  <c r="I210" i="3" s="1"/>
  <c r="E264" i="1"/>
  <c r="D210" i="3" s="1"/>
  <c r="O75" i="1"/>
  <c r="N75" i="1"/>
  <c r="M75" i="1"/>
  <c r="L75" i="1"/>
  <c r="K75" i="1"/>
  <c r="I75" i="1"/>
  <c r="H75" i="1"/>
  <c r="G75" i="1"/>
  <c r="F75" i="1"/>
  <c r="E119" i="1"/>
  <c r="D181" i="3" s="1"/>
  <c r="J119" i="1"/>
  <c r="I181" i="3" s="1"/>
  <c r="J107" i="1"/>
  <c r="I70" i="3" s="1"/>
  <c r="I30" i="3" s="1"/>
  <c r="E107" i="1"/>
  <c r="D70" i="3" s="1"/>
  <c r="D30" i="3" s="1"/>
  <c r="E236" i="1" l="1"/>
  <c r="D194" i="3"/>
  <c r="D178" i="3" s="1"/>
  <c r="D172" i="3" s="1"/>
  <c r="F178" i="3"/>
  <c r="F172" i="3" s="1"/>
  <c r="H178" i="3"/>
  <c r="H172" i="3" s="1"/>
  <c r="K178" i="3"/>
  <c r="K172" i="3" s="1"/>
  <c r="M178" i="3"/>
  <c r="M172" i="3" s="1"/>
  <c r="I178" i="3"/>
  <c r="I172" i="3" s="1"/>
  <c r="E178" i="3"/>
  <c r="E172" i="3" s="1"/>
  <c r="G178" i="3"/>
  <c r="G172" i="3" s="1"/>
  <c r="J172" i="3"/>
  <c r="L178" i="3"/>
  <c r="L172" i="3" s="1"/>
  <c r="N178" i="3"/>
  <c r="N172" i="3" s="1"/>
  <c r="P260" i="1"/>
  <c r="O194" i="3" s="1"/>
  <c r="J236" i="1"/>
  <c r="P264" i="1"/>
  <c r="O210" i="3" s="1"/>
  <c r="P265" i="1"/>
  <c r="O211" i="3" s="1"/>
  <c r="O199" i="3" s="1"/>
  <c r="P259" i="1"/>
  <c r="O193" i="3" s="1"/>
  <c r="P119" i="1"/>
  <c r="O181" i="3" s="1"/>
  <c r="P107" i="1"/>
  <c r="O70" i="3" s="1"/>
  <c r="O30" i="3" s="1"/>
  <c r="O178" i="3" l="1"/>
  <c r="O172" i="3" s="1"/>
  <c r="P236" i="1"/>
  <c r="N171" i="1" l="1"/>
  <c r="M171" i="1"/>
  <c r="L171" i="1"/>
  <c r="I171" i="1"/>
  <c r="H171" i="1"/>
  <c r="G171" i="1"/>
  <c r="F171" i="1"/>
  <c r="O170" i="1"/>
  <c r="N170" i="1"/>
  <c r="M170" i="1"/>
  <c r="L170" i="1"/>
  <c r="K170" i="1"/>
  <c r="I170" i="1"/>
  <c r="H170" i="1"/>
  <c r="G170" i="1"/>
  <c r="F170" i="1"/>
  <c r="J127" i="1" l="1"/>
  <c r="E127" i="1"/>
  <c r="P127" i="1" l="1"/>
  <c r="N202" i="3" l="1"/>
  <c r="M202" i="3"/>
  <c r="L202" i="3"/>
  <c r="K202" i="3"/>
  <c r="J202" i="3"/>
  <c r="H202" i="3"/>
  <c r="G202" i="3"/>
  <c r="F202" i="3"/>
  <c r="E202" i="3"/>
  <c r="N258" i="3"/>
  <c r="M258" i="3"/>
  <c r="L258" i="3"/>
  <c r="K258" i="3"/>
  <c r="J258" i="3"/>
  <c r="H258" i="3"/>
  <c r="G258" i="3"/>
  <c r="F258" i="3"/>
  <c r="E258" i="3"/>
  <c r="M184" i="3"/>
  <c r="L184" i="3"/>
  <c r="K184" i="3"/>
  <c r="H184" i="3"/>
  <c r="G184" i="3"/>
  <c r="F184" i="3"/>
  <c r="E184" i="3"/>
  <c r="N260" i="3" l="1"/>
  <c r="J260" i="3"/>
  <c r="E260" i="3"/>
  <c r="J276" i="1"/>
  <c r="I258" i="3" s="1"/>
  <c r="E276" i="1"/>
  <c r="D258" i="3" s="1"/>
  <c r="N69" i="3"/>
  <c r="M69" i="3"/>
  <c r="L69" i="3"/>
  <c r="K69" i="3"/>
  <c r="J69" i="3"/>
  <c r="H69" i="3"/>
  <c r="G69" i="3"/>
  <c r="F69" i="3"/>
  <c r="E69" i="3"/>
  <c r="N66" i="3"/>
  <c r="M66" i="3"/>
  <c r="L66" i="3"/>
  <c r="K66" i="3"/>
  <c r="J66" i="3"/>
  <c r="H66" i="3"/>
  <c r="G66" i="3"/>
  <c r="F66" i="3"/>
  <c r="E66" i="3"/>
  <c r="J106" i="1"/>
  <c r="E106" i="1"/>
  <c r="D69" i="3" s="1"/>
  <c r="J103" i="1"/>
  <c r="I66" i="3" s="1"/>
  <c r="E103" i="1"/>
  <c r="D66" i="3" s="1"/>
  <c r="J43" i="1"/>
  <c r="I202" i="3" s="1"/>
  <c r="E43" i="1"/>
  <c r="D202" i="3" s="1"/>
  <c r="O73" i="1"/>
  <c r="N73" i="1"/>
  <c r="M73" i="1"/>
  <c r="L73" i="1"/>
  <c r="K73" i="1"/>
  <c r="I73" i="1"/>
  <c r="H73" i="1"/>
  <c r="G73" i="1"/>
  <c r="F73" i="1"/>
  <c r="O72" i="1"/>
  <c r="N72" i="1"/>
  <c r="M72" i="1"/>
  <c r="L72" i="1"/>
  <c r="K72" i="1"/>
  <c r="I72" i="1"/>
  <c r="H72" i="1"/>
  <c r="G72" i="1"/>
  <c r="F72" i="1"/>
  <c r="N151" i="3"/>
  <c r="N147" i="3" s="1"/>
  <c r="M151" i="3"/>
  <c r="M147" i="3" s="1"/>
  <c r="L151" i="3"/>
  <c r="L147" i="3" s="1"/>
  <c r="K151" i="3"/>
  <c r="K147" i="3" s="1"/>
  <c r="J151" i="3"/>
  <c r="J147" i="3" s="1"/>
  <c r="H151" i="3"/>
  <c r="H147" i="3" s="1"/>
  <c r="G151" i="3"/>
  <c r="G147" i="3" s="1"/>
  <c r="F151" i="3"/>
  <c r="F147" i="3" s="1"/>
  <c r="E151" i="3"/>
  <c r="E147" i="3" s="1"/>
  <c r="N135" i="3"/>
  <c r="N104" i="3" s="1"/>
  <c r="M135" i="3"/>
  <c r="M104" i="3" s="1"/>
  <c r="L135" i="3"/>
  <c r="L104" i="3" s="1"/>
  <c r="K135" i="3"/>
  <c r="K104" i="3" s="1"/>
  <c r="J135" i="3"/>
  <c r="J104" i="3" s="1"/>
  <c r="H135" i="3"/>
  <c r="H104" i="3" s="1"/>
  <c r="G135" i="3"/>
  <c r="G104" i="3" s="1"/>
  <c r="F135" i="3"/>
  <c r="F104" i="3" s="1"/>
  <c r="E135" i="3"/>
  <c r="E104" i="3" s="1"/>
  <c r="N134" i="3"/>
  <c r="M134" i="3"/>
  <c r="L134" i="3"/>
  <c r="K134" i="3"/>
  <c r="J134" i="3"/>
  <c r="H134" i="3"/>
  <c r="G134" i="3"/>
  <c r="F134" i="3"/>
  <c r="E134" i="3"/>
  <c r="J297" i="1"/>
  <c r="E297" i="1"/>
  <c r="N184" i="3"/>
  <c r="J184" i="3"/>
  <c r="P106" i="1" l="1"/>
  <c r="O69" i="3" s="1"/>
  <c r="P276" i="1"/>
  <c r="O258" i="3" s="1"/>
  <c r="P297" i="1"/>
  <c r="P43" i="1"/>
  <c r="O202" i="3" s="1"/>
  <c r="I69" i="3"/>
  <c r="P103" i="1"/>
  <c r="O66" i="3" s="1"/>
  <c r="J199" i="1"/>
  <c r="J171" i="1" s="1"/>
  <c r="E199" i="1"/>
  <c r="J198" i="1"/>
  <c r="I134" i="3" s="1"/>
  <c r="E198" i="1"/>
  <c r="J117" i="1"/>
  <c r="J75" i="1" s="1"/>
  <c r="E117" i="1"/>
  <c r="E75" i="1" s="1"/>
  <c r="N72" i="3"/>
  <c r="N29" i="3" s="1"/>
  <c r="M72" i="3"/>
  <c r="M29" i="3" s="1"/>
  <c r="L72" i="3"/>
  <c r="L29" i="3" s="1"/>
  <c r="K72" i="3"/>
  <c r="K29" i="3" s="1"/>
  <c r="J72" i="3"/>
  <c r="J29" i="3" s="1"/>
  <c r="H72" i="3"/>
  <c r="H29" i="3" s="1"/>
  <c r="G72" i="3"/>
  <c r="G29" i="3" s="1"/>
  <c r="F72" i="3"/>
  <c r="F29" i="3" s="1"/>
  <c r="E72" i="3"/>
  <c r="E29" i="3" s="1"/>
  <c r="N71" i="3"/>
  <c r="M71" i="3"/>
  <c r="L71" i="3"/>
  <c r="K71" i="3"/>
  <c r="J71" i="3"/>
  <c r="H71" i="3"/>
  <c r="G71" i="3"/>
  <c r="F71" i="3"/>
  <c r="E71" i="3"/>
  <c r="N68" i="3"/>
  <c r="N28" i="3" s="1"/>
  <c r="M68" i="3"/>
  <c r="M28" i="3" s="1"/>
  <c r="L68" i="3"/>
  <c r="L28" i="3" s="1"/>
  <c r="K68" i="3"/>
  <c r="K28" i="3" s="1"/>
  <c r="J68" i="3"/>
  <c r="J28" i="3" s="1"/>
  <c r="H68" i="3"/>
  <c r="H28" i="3" s="1"/>
  <c r="G68" i="3"/>
  <c r="G28" i="3" s="1"/>
  <c r="F68" i="3"/>
  <c r="F28" i="3" s="1"/>
  <c r="E68" i="3"/>
  <c r="E28" i="3" s="1"/>
  <c r="N67" i="3"/>
  <c r="M67" i="3"/>
  <c r="L67" i="3"/>
  <c r="K67" i="3"/>
  <c r="J67" i="3"/>
  <c r="H67" i="3"/>
  <c r="G67" i="3"/>
  <c r="F67" i="3"/>
  <c r="E67" i="3"/>
  <c r="E109" i="1"/>
  <c r="E108" i="1"/>
  <c r="D71" i="3" s="1"/>
  <c r="E105" i="1"/>
  <c r="E104" i="1"/>
  <c r="D67" i="3" s="1"/>
  <c r="J109" i="1"/>
  <c r="J108" i="1"/>
  <c r="P108" i="1" s="1"/>
  <c r="O71" i="3" s="1"/>
  <c r="J105" i="1"/>
  <c r="J104" i="1"/>
  <c r="P104" i="1" l="1"/>
  <c r="O67" i="3" s="1"/>
  <c r="D135" i="3"/>
  <c r="D104" i="3" s="1"/>
  <c r="E171" i="1"/>
  <c r="I135" i="3"/>
  <c r="I104" i="3" s="1"/>
  <c r="I151" i="3"/>
  <c r="I147" i="3" s="1"/>
  <c r="P105" i="1"/>
  <c r="J73" i="1"/>
  <c r="P109" i="1"/>
  <c r="J72" i="1"/>
  <c r="D68" i="3"/>
  <c r="D28" i="3" s="1"/>
  <c r="E73" i="1"/>
  <c r="D72" i="3"/>
  <c r="D29" i="3" s="1"/>
  <c r="E72" i="1"/>
  <c r="P117" i="1"/>
  <c r="P75" i="1" s="1"/>
  <c r="D151" i="3"/>
  <c r="D147" i="3" s="1"/>
  <c r="P198" i="1"/>
  <c r="O134" i="3" s="1"/>
  <c r="D134" i="3"/>
  <c r="P199" i="1"/>
  <c r="I67" i="3"/>
  <c r="I71" i="3"/>
  <c r="I68" i="3"/>
  <c r="I28" i="3" s="1"/>
  <c r="I72" i="3"/>
  <c r="I29" i="3" s="1"/>
  <c r="O135" i="3" l="1"/>
  <c r="O104" i="3" s="1"/>
  <c r="P171" i="1"/>
  <c r="O151" i="3"/>
  <c r="O147" i="3" s="1"/>
  <c r="O72" i="3"/>
  <c r="O29" i="3" s="1"/>
  <c r="P72" i="1"/>
  <c r="O68" i="3"/>
  <c r="O28" i="3" s="1"/>
  <c r="P73" i="1"/>
  <c r="E252" i="3"/>
  <c r="E251" i="3" s="1"/>
  <c r="F252" i="3"/>
  <c r="F251" i="3" s="1"/>
  <c r="G252" i="3"/>
  <c r="G251" i="3" s="1"/>
  <c r="H252" i="3"/>
  <c r="H251" i="3" s="1"/>
  <c r="J252" i="3"/>
  <c r="J251" i="3" s="1"/>
  <c r="K252" i="3"/>
  <c r="K251" i="3" s="1"/>
  <c r="L252" i="3"/>
  <c r="L251" i="3" s="1"/>
  <c r="M252" i="3"/>
  <c r="M251" i="3" s="1"/>
  <c r="N252" i="3"/>
  <c r="N251" i="3" s="1"/>
  <c r="E255" i="3"/>
  <c r="E253" i="3" s="1"/>
  <c r="F255" i="3"/>
  <c r="F253" i="3" s="1"/>
  <c r="G255" i="3"/>
  <c r="G253" i="3" s="1"/>
  <c r="H255" i="3"/>
  <c r="H253" i="3" s="1"/>
  <c r="J255" i="3"/>
  <c r="J253" i="3" s="1"/>
  <c r="K255" i="3"/>
  <c r="K253" i="3" s="1"/>
  <c r="L255" i="3"/>
  <c r="L253" i="3" s="1"/>
  <c r="M255" i="3"/>
  <c r="M253" i="3" s="1"/>
  <c r="N255" i="3"/>
  <c r="N253" i="3" s="1"/>
  <c r="E256" i="3"/>
  <c r="E254" i="3" s="1"/>
  <c r="E250" i="3" s="1"/>
  <c r="F256" i="3"/>
  <c r="F254" i="3" s="1"/>
  <c r="F250" i="3" s="1"/>
  <c r="G256" i="3"/>
  <c r="G254" i="3" s="1"/>
  <c r="G250" i="3" s="1"/>
  <c r="H256" i="3"/>
  <c r="H254" i="3" s="1"/>
  <c r="H250" i="3" s="1"/>
  <c r="J256" i="3"/>
  <c r="J254" i="3" s="1"/>
  <c r="J250" i="3" s="1"/>
  <c r="K256" i="3"/>
  <c r="K254" i="3" s="1"/>
  <c r="K250" i="3" s="1"/>
  <c r="L256" i="3"/>
  <c r="L254" i="3" s="1"/>
  <c r="L250" i="3" s="1"/>
  <c r="M256" i="3"/>
  <c r="M254" i="3" s="1"/>
  <c r="M250" i="3" s="1"/>
  <c r="N256" i="3"/>
  <c r="N254" i="3" s="1"/>
  <c r="N250" i="3" s="1"/>
  <c r="L257" i="3" l="1"/>
  <c r="G257" i="3"/>
  <c r="G249" i="3" s="1"/>
  <c r="M257" i="3"/>
  <c r="M249" i="3" s="1"/>
  <c r="K257" i="3"/>
  <c r="K249" i="3" s="1"/>
  <c r="H257" i="3"/>
  <c r="H249" i="3" s="1"/>
  <c r="F257" i="3"/>
  <c r="F249" i="3" s="1"/>
  <c r="L249" i="3"/>
  <c r="N195" i="3" l="1"/>
  <c r="M195" i="3"/>
  <c r="L195" i="3"/>
  <c r="K195" i="3"/>
  <c r="J195" i="3"/>
  <c r="H195" i="3"/>
  <c r="G195" i="3"/>
  <c r="F195" i="3"/>
  <c r="O234" i="1"/>
  <c r="N234" i="1"/>
  <c r="M234" i="1"/>
  <c r="L234" i="1"/>
  <c r="K234" i="1"/>
  <c r="I234" i="1"/>
  <c r="H234" i="1"/>
  <c r="G234" i="1"/>
  <c r="F234" i="1"/>
  <c r="E195" i="3"/>
  <c r="O314" i="1"/>
  <c r="K314" i="1"/>
  <c r="K310" i="1" s="1"/>
  <c r="J315" i="1"/>
  <c r="O135" i="1"/>
  <c r="N135" i="1"/>
  <c r="M135" i="1"/>
  <c r="L135" i="1"/>
  <c r="K135" i="1"/>
  <c r="I135" i="1"/>
  <c r="H135" i="1"/>
  <c r="G135" i="1"/>
  <c r="F135" i="1"/>
  <c r="O74" i="1"/>
  <c r="N74" i="1"/>
  <c r="M74" i="1"/>
  <c r="L74" i="1"/>
  <c r="K74" i="1"/>
  <c r="I74" i="1"/>
  <c r="H74" i="1"/>
  <c r="G74" i="1"/>
  <c r="F74" i="1"/>
  <c r="E121" i="1"/>
  <c r="E120" i="1"/>
  <c r="J121" i="1"/>
  <c r="J120" i="1"/>
  <c r="O282" i="1"/>
  <c r="K282" i="1"/>
  <c r="O310" i="1" l="1"/>
  <c r="J314" i="1"/>
  <c r="E74" i="1"/>
  <c r="P121" i="1"/>
  <c r="E315" i="1"/>
  <c r="P315" i="1" s="1"/>
  <c r="P120" i="1"/>
  <c r="J74" i="1"/>
  <c r="P74" i="1" l="1"/>
  <c r="N257" i="3"/>
  <c r="N249" i="3" s="1"/>
  <c r="J257" i="3"/>
  <c r="J249" i="3" s="1"/>
  <c r="F71" i="1"/>
  <c r="N51" i="3" l="1"/>
  <c r="N21" i="3" s="1"/>
  <c r="M51" i="3"/>
  <c r="M21" i="3" s="1"/>
  <c r="L51" i="3"/>
  <c r="L21" i="3" s="1"/>
  <c r="K51" i="3"/>
  <c r="K21" i="3" s="1"/>
  <c r="J51" i="3"/>
  <c r="J21" i="3" s="1"/>
  <c r="H51" i="3"/>
  <c r="H21" i="3" s="1"/>
  <c r="G51" i="3"/>
  <c r="G21" i="3" s="1"/>
  <c r="F51" i="3"/>
  <c r="F21" i="3" s="1"/>
  <c r="E51" i="3"/>
  <c r="E21" i="3" s="1"/>
  <c r="O66" i="1"/>
  <c r="N66" i="1"/>
  <c r="M66" i="1"/>
  <c r="L66" i="1"/>
  <c r="K66" i="1"/>
  <c r="I66" i="1"/>
  <c r="H66" i="1"/>
  <c r="G66" i="1"/>
  <c r="F66" i="1"/>
  <c r="J89" i="1"/>
  <c r="I51" i="3" s="1"/>
  <c r="I21" i="3" s="1"/>
  <c r="E89" i="1"/>
  <c r="D51" i="3" s="1"/>
  <c r="D21" i="3" s="1"/>
  <c r="N16" i="3"/>
  <c r="M16" i="3"/>
  <c r="L16" i="3"/>
  <c r="K16" i="3"/>
  <c r="J16" i="3"/>
  <c r="H16" i="3"/>
  <c r="G16" i="3"/>
  <c r="F16" i="3"/>
  <c r="E16" i="3"/>
  <c r="J239" i="1"/>
  <c r="E239" i="1"/>
  <c r="O214" i="1"/>
  <c r="K214" i="1"/>
  <c r="O213" i="1"/>
  <c r="K213" i="1"/>
  <c r="O211" i="1" l="1"/>
  <c r="N14" i="3"/>
  <c r="K211" i="1"/>
  <c r="J14" i="3"/>
  <c r="P239" i="1"/>
  <c r="P89" i="1"/>
  <c r="E66" i="1"/>
  <c r="J66" i="1"/>
  <c r="N208" i="3"/>
  <c r="M208" i="3"/>
  <c r="L208" i="3"/>
  <c r="K208" i="3"/>
  <c r="J208" i="3"/>
  <c r="H208" i="3"/>
  <c r="G208" i="3"/>
  <c r="F208" i="3"/>
  <c r="E208" i="3"/>
  <c r="N209" i="3"/>
  <c r="N198" i="3" s="1"/>
  <c r="M209" i="3"/>
  <c r="M198" i="3" s="1"/>
  <c r="L209" i="3"/>
  <c r="L198" i="3" s="1"/>
  <c r="K209" i="3"/>
  <c r="K198" i="3" s="1"/>
  <c r="J209" i="3"/>
  <c r="J198" i="3" s="1"/>
  <c r="H209" i="3"/>
  <c r="H198" i="3" s="1"/>
  <c r="G209" i="3"/>
  <c r="G198" i="3" s="1"/>
  <c r="F209" i="3"/>
  <c r="F198" i="3" s="1"/>
  <c r="E209" i="3"/>
  <c r="E198" i="3" s="1"/>
  <c r="N53" i="3"/>
  <c r="M53" i="3"/>
  <c r="L53" i="3"/>
  <c r="K53" i="3"/>
  <c r="J53" i="3"/>
  <c r="H53" i="3"/>
  <c r="G53" i="3"/>
  <c r="F53" i="3"/>
  <c r="E53" i="3"/>
  <c r="N54" i="3"/>
  <c r="M54" i="3"/>
  <c r="L54" i="3"/>
  <c r="K54" i="3"/>
  <c r="J54" i="3"/>
  <c r="H54" i="3"/>
  <c r="G54" i="3"/>
  <c r="F54" i="3"/>
  <c r="E54" i="3"/>
  <c r="N71" i="1"/>
  <c r="M71" i="1"/>
  <c r="L71" i="1"/>
  <c r="I71" i="1"/>
  <c r="H71" i="1"/>
  <c r="G71" i="1"/>
  <c r="J126" i="1"/>
  <c r="I256" i="3" s="1"/>
  <c r="I254" i="3" s="1"/>
  <c r="I250" i="3" s="1"/>
  <c r="J125" i="1"/>
  <c r="I255" i="3" s="1"/>
  <c r="I253" i="3" s="1"/>
  <c r="E126" i="1"/>
  <c r="E125" i="1"/>
  <c r="J92" i="1"/>
  <c r="I54" i="3" s="1"/>
  <c r="J91" i="1"/>
  <c r="I53" i="3" s="1"/>
  <c r="E92" i="1"/>
  <c r="P92" i="1" s="1"/>
  <c r="O54" i="3" s="1"/>
  <c r="E91" i="1"/>
  <c r="P91" i="1" s="1"/>
  <c r="O53" i="3" s="1"/>
  <c r="O71" i="1"/>
  <c r="K71" i="1"/>
  <c r="P125" i="1" l="1"/>
  <c r="O255" i="3" s="1"/>
  <c r="O253" i="3" s="1"/>
  <c r="P126" i="1"/>
  <c r="O256" i="3" s="1"/>
  <c r="O254" i="3" s="1"/>
  <c r="O250" i="3" s="1"/>
  <c r="D256" i="3"/>
  <c r="D254" i="3" s="1"/>
  <c r="D250" i="3" s="1"/>
  <c r="D54" i="3"/>
  <c r="O51" i="3"/>
  <c r="O21" i="3" s="1"/>
  <c r="P66" i="1"/>
  <c r="D53" i="3"/>
  <c r="D255" i="3"/>
  <c r="D253" i="3" s="1"/>
  <c r="J173" i="1" l="1"/>
  <c r="E173" i="1" l="1"/>
  <c r="P173" i="1" s="1"/>
  <c r="N52" i="3" l="1"/>
  <c r="N27" i="3" s="1"/>
  <c r="M52" i="3"/>
  <c r="M27" i="3" s="1"/>
  <c r="L52" i="3"/>
  <c r="L27" i="3" s="1"/>
  <c r="K52" i="3"/>
  <c r="K27" i="3" s="1"/>
  <c r="J52" i="3"/>
  <c r="J27" i="3" s="1"/>
  <c r="H52" i="3"/>
  <c r="H27" i="3" s="1"/>
  <c r="G52" i="3"/>
  <c r="G27" i="3" s="1"/>
  <c r="F52" i="3"/>
  <c r="F27" i="3" s="1"/>
  <c r="E52" i="3"/>
  <c r="E27" i="3" s="1"/>
  <c r="J90" i="1"/>
  <c r="J71" i="1" s="1"/>
  <c r="E90" i="1"/>
  <c r="E71" i="1" s="1"/>
  <c r="E257" i="3" l="1"/>
  <c r="E249" i="3" s="1"/>
  <c r="P90" i="1"/>
  <c r="P71" i="1" s="1"/>
  <c r="D52" i="3"/>
  <c r="D27" i="3" s="1"/>
  <c r="I52" i="3"/>
  <c r="I27" i="3" s="1"/>
  <c r="O52" i="3" l="1"/>
  <c r="O27" i="3" s="1"/>
  <c r="N180" i="3" l="1"/>
  <c r="M180" i="3"/>
  <c r="L180" i="3"/>
  <c r="K180" i="3"/>
  <c r="J180" i="3"/>
  <c r="H180" i="3"/>
  <c r="G180" i="3"/>
  <c r="F180" i="3"/>
  <c r="E180" i="3"/>
  <c r="K134" i="1" l="1"/>
  <c r="N50" i="3" l="1"/>
  <c r="M50" i="3"/>
  <c r="L50" i="3"/>
  <c r="K50" i="3"/>
  <c r="J50" i="3"/>
  <c r="H50" i="3"/>
  <c r="G50" i="3"/>
  <c r="F50" i="3"/>
  <c r="E50" i="3"/>
  <c r="J88" i="1"/>
  <c r="I50" i="3" s="1"/>
  <c r="E88" i="1"/>
  <c r="J308" i="1"/>
  <c r="E308" i="1"/>
  <c r="D50" i="3" l="1"/>
  <c r="P308" i="1"/>
  <c r="P88" i="1"/>
  <c r="O50" i="3" s="1"/>
  <c r="J128" i="1"/>
  <c r="E128" i="1" l="1"/>
  <c r="N76" i="3"/>
  <c r="N26" i="3" s="1"/>
  <c r="M76" i="3"/>
  <c r="M26" i="3" s="1"/>
  <c r="L76" i="3"/>
  <c r="L26" i="3" s="1"/>
  <c r="K76" i="3"/>
  <c r="K26" i="3" s="1"/>
  <c r="J76" i="3"/>
  <c r="J26" i="3" s="1"/>
  <c r="H76" i="3"/>
  <c r="H26" i="3" s="1"/>
  <c r="G76" i="3"/>
  <c r="G26" i="3" s="1"/>
  <c r="F76" i="3"/>
  <c r="F26" i="3" s="1"/>
  <c r="E76" i="3"/>
  <c r="E26" i="3" s="1"/>
  <c r="N75" i="3"/>
  <c r="M75" i="3"/>
  <c r="L75" i="3"/>
  <c r="K75" i="3"/>
  <c r="J75" i="3"/>
  <c r="H75" i="3"/>
  <c r="G75" i="3"/>
  <c r="F75" i="3"/>
  <c r="E75" i="3"/>
  <c r="O70" i="1"/>
  <c r="N70" i="1"/>
  <c r="M70" i="1"/>
  <c r="L70" i="1"/>
  <c r="K70" i="1"/>
  <c r="I70" i="1"/>
  <c r="H70" i="1"/>
  <c r="G70" i="1"/>
  <c r="F70" i="1"/>
  <c r="J113" i="1"/>
  <c r="I76" i="3" s="1"/>
  <c r="I26" i="3" s="1"/>
  <c r="J112" i="1"/>
  <c r="I75" i="3" s="1"/>
  <c r="E113" i="1"/>
  <c r="P113" i="1" s="1"/>
  <c r="O76" i="3" s="1"/>
  <c r="O26" i="3" s="1"/>
  <c r="E112" i="1"/>
  <c r="P112" i="1" s="1"/>
  <c r="O75" i="3" s="1"/>
  <c r="D76" i="3" l="1"/>
  <c r="D26" i="3" s="1"/>
  <c r="E70" i="1"/>
  <c r="P128" i="1"/>
  <c r="D75" i="3"/>
  <c r="J70" i="1"/>
  <c r="P70" i="1"/>
  <c r="N56" i="3" l="1"/>
  <c r="M56" i="3"/>
  <c r="L56" i="3"/>
  <c r="K56" i="3"/>
  <c r="J56" i="3"/>
  <c r="H56" i="3"/>
  <c r="G56" i="3"/>
  <c r="F56" i="3"/>
  <c r="E56" i="3"/>
  <c r="E222" i="1"/>
  <c r="J222" i="1"/>
  <c r="I56" i="3" s="1"/>
  <c r="D56" i="3" l="1"/>
  <c r="P222" i="1"/>
  <c r="O56" i="3" s="1"/>
  <c r="N227" i="3" l="1"/>
  <c r="M227" i="3"/>
  <c r="L227" i="3"/>
  <c r="K227" i="3"/>
  <c r="J227" i="3"/>
  <c r="H227" i="3"/>
  <c r="G227" i="3"/>
  <c r="F227" i="3"/>
  <c r="E227" i="3"/>
  <c r="E123" i="1"/>
  <c r="D227" i="3" s="1"/>
  <c r="J123" i="1"/>
  <c r="I227" i="3" s="1"/>
  <c r="N150" i="3"/>
  <c r="M150" i="3"/>
  <c r="L150" i="3"/>
  <c r="K150" i="3"/>
  <c r="J150" i="3"/>
  <c r="H150" i="3"/>
  <c r="G150" i="3"/>
  <c r="F150" i="3"/>
  <c r="E150" i="3"/>
  <c r="N74" i="3"/>
  <c r="N24" i="3" s="1"/>
  <c r="M74" i="3"/>
  <c r="M24" i="3" s="1"/>
  <c r="L74" i="3"/>
  <c r="L24" i="3" s="1"/>
  <c r="K74" i="3"/>
  <c r="K24" i="3" s="1"/>
  <c r="J74" i="3"/>
  <c r="J24" i="3" s="1"/>
  <c r="H74" i="3"/>
  <c r="H24" i="3" s="1"/>
  <c r="G74" i="3"/>
  <c r="G24" i="3" s="1"/>
  <c r="F74" i="3"/>
  <c r="F24" i="3" s="1"/>
  <c r="E74" i="3"/>
  <c r="E24" i="3" s="1"/>
  <c r="N73" i="3"/>
  <c r="M73" i="3"/>
  <c r="L73" i="3"/>
  <c r="K73" i="3"/>
  <c r="J73" i="3"/>
  <c r="H73" i="3"/>
  <c r="G73" i="3"/>
  <c r="F73" i="3"/>
  <c r="E73" i="3"/>
  <c r="N65" i="3"/>
  <c r="M65" i="3"/>
  <c r="L65" i="3"/>
  <c r="K65" i="3"/>
  <c r="J65" i="3"/>
  <c r="H65" i="3"/>
  <c r="G65" i="3"/>
  <c r="F65" i="3"/>
  <c r="E65" i="3"/>
  <c r="B65" i="3"/>
  <c r="N64" i="3"/>
  <c r="M64" i="3"/>
  <c r="L64" i="3"/>
  <c r="K64" i="3"/>
  <c r="J64" i="3"/>
  <c r="H64" i="3"/>
  <c r="G64" i="3"/>
  <c r="F64" i="3"/>
  <c r="E64" i="3"/>
  <c r="N63" i="3"/>
  <c r="M63" i="3"/>
  <c r="L63" i="3"/>
  <c r="K63" i="3"/>
  <c r="J63" i="3"/>
  <c r="H63" i="3"/>
  <c r="G63" i="3"/>
  <c r="F63" i="3"/>
  <c r="E63" i="3"/>
  <c r="N62" i="3"/>
  <c r="M62" i="3"/>
  <c r="L62" i="3"/>
  <c r="K62" i="3"/>
  <c r="J62" i="3"/>
  <c r="H62" i="3"/>
  <c r="G62" i="3"/>
  <c r="F62" i="3"/>
  <c r="E62" i="3"/>
  <c r="N61" i="3"/>
  <c r="M61" i="3"/>
  <c r="L61" i="3"/>
  <c r="K61" i="3"/>
  <c r="J61" i="3"/>
  <c r="H61" i="3"/>
  <c r="G61" i="3"/>
  <c r="F61" i="3"/>
  <c r="E61" i="3"/>
  <c r="N60" i="3"/>
  <c r="M60" i="3"/>
  <c r="L60" i="3"/>
  <c r="K60" i="3"/>
  <c r="J60" i="3"/>
  <c r="H60" i="3"/>
  <c r="G60" i="3"/>
  <c r="F60" i="3"/>
  <c r="E60" i="3"/>
  <c r="N55" i="3"/>
  <c r="M55" i="3"/>
  <c r="L55" i="3"/>
  <c r="K55" i="3"/>
  <c r="J55" i="3"/>
  <c r="H55" i="3"/>
  <c r="G55" i="3"/>
  <c r="F55" i="3"/>
  <c r="E55" i="3"/>
  <c r="N47" i="3"/>
  <c r="M47" i="3"/>
  <c r="L47" i="3"/>
  <c r="K47" i="3"/>
  <c r="J47" i="3"/>
  <c r="H47" i="3"/>
  <c r="G47" i="3"/>
  <c r="F47" i="3"/>
  <c r="E47" i="3"/>
  <c r="N46" i="3"/>
  <c r="M46" i="3"/>
  <c r="L46" i="3"/>
  <c r="K46" i="3"/>
  <c r="J46" i="3"/>
  <c r="H46" i="3"/>
  <c r="G46" i="3"/>
  <c r="F46" i="3"/>
  <c r="E46" i="3"/>
  <c r="N45" i="3"/>
  <c r="N22" i="3" s="1"/>
  <c r="M45" i="3"/>
  <c r="M22" i="3" s="1"/>
  <c r="L45" i="3"/>
  <c r="L22" i="3" s="1"/>
  <c r="K45" i="3"/>
  <c r="K22" i="3" s="1"/>
  <c r="J45" i="3"/>
  <c r="J22" i="3" s="1"/>
  <c r="H45" i="3"/>
  <c r="H22" i="3" s="1"/>
  <c r="G45" i="3"/>
  <c r="G22" i="3" s="1"/>
  <c r="F45" i="3"/>
  <c r="F22" i="3" s="1"/>
  <c r="E45" i="3"/>
  <c r="N44" i="3"/>
  <c r="M44" i="3"/>
  <c r="L44" i="3"/>
  <c r="K44" i="3"/>
  <c r="J44" i="3"/>
  <c r="H44" i="3"/>
  <c r="G44" i="3"/>
  <c r="F44" i="3"/>
  <c r="E44" i="3"/>
  <c r="N43" i="3"/>
  <c r="M43" i="3"/>
  <c r="L43" i="3"/>
  <c r="K43" i="3"/>
  <c r="J43" i="3"/>
  <c r="H43" i="3"/>
  <c r="G43" i="3"/>
  <c r="F43" i="3"/>
  <c r="E43" i="3"/>
  <c r="E22" i="3" l="1"/>
  <c r="K19" i="3"/>
  <c r="M19" i="3"/>
  <c r="E20" i="3"/>
  <c r="G20" i="3"/>
  <c r="J20" i="3"/>
  <c r="L20" i="3"/>
  <c r="N20" i="3"/>
  <c r="H19" i="3"/>
  <c r="L19" i="3"/>
  <c r="F20" i="3"/>
  <c r="H20" i="3"/>
  <c r="K20" i="3"/>
  <c r="M20" i="3"/>
  <c r="F19" i="3"/>
  <c r="J19" i="3"/>
  <c r="N19" i="3"/>
  <c r="G19" i="3"/>
  <c r="E19" i="3"/>
  <c r="P123" i="1"/>
  <c r="O227" i="3" s="1"/>
  <c r="J124" i="1"/>
  <c r="J122" i="1"/>
  <c r="J118" i="1"/>
  <c r="J116" i="1"/>
  <c r="J115" i="1"/>
  <c r="J114" i="1"/>
  <c r="E124" i="1"/>
  <c r="E122" i="1"/>
  <c r="E118" i="1"/>
  <c r="E116" i="1"/>
  <c r="E114" i="1"/>
  <c r="P114" i="1" l="1"/>
  <c r="P116" i="1"/>
  <c r="P122" i="1"/>
  <c r="P118" i="1"/>
  <c r="P124" i="1"/>
  <c r="P115" i="1"/>
  <c r="O69" i="1"/>
  <c r="N69" i="1"/>
  <c r="M69" i="1"/>
  <c r="L69" i="1"/>
  <c r="K69" i="1"/>
  <c r="I69" i="1"/>
  <c r="H69" i="1"/>
  <c r="G69" i="1"/>
  <c r="G340" i="1" s="1"/>
  <c r="F69" i="1"/>
  <c r="F340" i="1" s="1"/>
  <c r="O67" i="1"/>
  <c r="N67" i="1"/>
  <c r="M67" i="1"/>
  <c r="L67" i="1"/>
  <c r="K67" i="1"/>
  <c r="I67" i="1"/>
  <c r="H67" i="1"/>
  <c r="G67" i="1"/>
  <c r="F67" i="1"/>
  <c r="J101" i="1"/>
  <c r="I64" i="3" s="1"/>
  <c r="E101" i="1"/>
  <c r="J85" i="1"/>
  <c r="I47" i="3" s="1"/>
  <c r="E85" i="1"/>
  <c r="D47" i="3" s="1"/>
  <c r="D64" i="3" l="1"/>
  <c r="P101" i="1"/>
  <c r="O64" i="3" s="1"/>
  <c r="P85" i="1"/>
  <c r="O47" i="3" s="1"/>
  <c r="D224" i="1" l="1"/>
  <c r="D53" i="1" l="1"/>
  <c r="N224" i="3" l="1"/>
  <c r="M224" i="3"/>
  <c r="L224" i="3"/>
  <c r="K224" i="3"/>
  <c r="J224" i="3"/>
  <c r="H224" i="3"/>
  <c r="G224" i="3"/>
  <c r="F224" i="3"/>
  <c r="E224" i="3"/>
  <c r="N185" i="3"/>
  <c r="N188" i="3"/>
  <c r="M188" i="3"/>
  <c r="L188" i="3"/>
  <c r="K188" i="3"/>
  <c r="J188" i="3"/>
  <c r="H188" i="3"/>
  <c r="G188" i="3"/>
  <c r="F188" i="3"/>
  <c r="E188" i="3"/>
  <c r="O220" i="1"/>
  <c r="N220" i="1"/>
  <c r="M220" i="1"/>
  <c r="L220" i="1"/>
  <c r="K220" i="1"/>
  <c r="I220" i="1"/>
  <c r="H220" i="1"/>
  <c r="G220" i="1"/>
  <c r="F220" i="1"/>
  <c r="N222" i="3"/>
  <c r="M222" i="3"/>
  <c r="L222" i="3"/>
  <c r="K222" i="3"/>
  <c r="J222" i="3"/>
  <c r="H222" i="3"/>
  <c r="G222" i="3"/>
  <c r="F222" i="3"/>
  <c r="E222" i="3"/>
  <c r="O237" i="1"/>
  <c r="N237" i="1"/>
  <c r="M237" i="1"/>
  <c r="L237" i="1"/>
  <c r="K237" i="1"/>
  <c r="I237" i="1"/>
  <c r="H237" i="1"/>
  <c r="G237" i="1"/>
  <c r="F237" i="1"/>
  <c r="E314" i="1"/>
  <c r="E269" i="1"/>
  <c r="D222" i="3" s="1"/>
  <c r="J269" i="1"/>
  <c r="I222" i="3" s="1"/>
  <c r="E227" i="1"/>
  <c r="D184" i="3" s="1"/>
  <c r="J227" i="1"/>
  <c r="I184" i="3" s="1"/>
  <c r="D188" i="3" l="1"/>
  <c r="I188" i="3"/>
  <c r="P227" i="1"/>
  <c r="O184" i="3" s="1"/>
  <c r="P269" i="1"/>
  <c r="E237" i="1"/>
  <c r="P314" i="1"/>
  <c r="J237" i="1"/>
  <c r="E15" i="3"/>
  <c r="F15" i="3"/>
  <c r="G15" i="3"/>
  <c r="H15" i="3"/>
  <c r="J15" i="3"/>
  <c r="K15" i="3"/>
  <c r="L15" i="3"/>
  <c r="M15" i="3"/>
  <c r="N15" i="3"/>
  <c r="O188" i="3" l="1"/>
  <c r="O222" i="3"/>
  <c r="P237" i="1"/>
  <c r="N207" i="3"/>
  <c r="M207" i="3"/>
  <c r="L207" i="3"/>
  <c r="K207" i="3"/>
  <c r="J207" i="3"/>
  <c r="H207" i="3"/>
  <c r="G207" i="3"/>
  <c r="F207" i="3"/>
  <c r="E207" i="3"/>
  <c r="J45" i="1" l="1"/>
  <c r="I207" i="3" s="1"/>
  <c r="E45" i="1"/>
  <c r="J17" i="1"/>
  <c r="I15" i="3" s="1"/>
  <c r="E17" i="1"/>
  <c r="D207" i="3" l="1"/>
  <c r="P45" i="1"/>
  <c r="O207" i="3" s="1"/>
  <c r="P17" i="1"/>
  <c r="O15" i="3" s="1"/>
  <c r="D15" i="3"/>
  <c r="F212" i="1" l="1"/>
  <c r="G212" i="1"/>
  <c r="H212" i="1"/>
  <c r="I212" i="1"/>
  <c r="K212" i="1"/>
  <c r="L212" i="1"/>
  <c r="M212" i="1"/>
  <c r="N212" i="1"/>
  <c r="O212" i="1"/>
  <c r="E86" i="3" l="1"/>
  <c r="F86" i="3"/>
  <c r="G86" i="3"/>
  <c r="H86" i="3"/>
  <c r="J86" i="3"/>
  <c r="K86" i="3"/>
  <c r="L86" i="3"/>
  <c r="M86" i="3"/>
  <c r="N86" i="3"/>
  <c r="E143" i="1" l="1"/>
  <c r="J143" i="1"/>
  <c r="I86" i="3" s="1"/>
  <c r="D143" i="1"/>
  <c r="P143" i="1" l="1"/>
  <c r="O86" i="3" s="1"/>
  <c r="D86" i="3"/>
  <c r="E206" i="3"/>
  <c r="F206" i="3"/>
  <c r="G206" i="3"/>
  <c r="H206" i="3"/>
  <c r="J206" i="3"/>
  <c r="K206" i="3"/>
  <c r="L206" i="3"/>
  <c r="M206" i="3"/>
  <c r="N206" i="3"/>
  <c r="E263" i="1"/>
  <c r="J263" i="1"/>
  <c r="F233" i="1"/>
  <c r="G233" i="1"/>
  <c r="H233" i="1"/>
  <c r="I233" i="1"/>
  <c r="K233" i="1"/>
  <c r="L233" i="1"/>
  <c r="M233" i="1"/>
  <c r="N233" i="1"/>
  <c r="O233" i="1"/>
  <c r="D206" i="3" l="1"/>
  <c r="D209" i="3"/>
  <c r="D198" i="3" s="1"/>
  <c r="J233" i="1"/>
  <c r="I209" i="3"/>
  <c r="I198" i="3" s="1"/>
  <c r="E233" i="1"/>
  <c r="P263" i="1"/>
  <c r="O209" i="3" s="1"/>
  <c r="O198" i="3" s="1"/>
  <c r="I206" i="3"/>
  <c r="E218" i="1"/>
  <c r="J218" i="1"/>
  <c r="I166" i="3" s="1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6" i="3"/>
  <c r="F136" i="3"/>
  <c r="G136" i="3"/>
  <c r="H136" i="3"/>
  <c r="J136" i="3"/>
  <c r="K136" i="3"/>
  <c r="L136" i="3"/>
  <c r="M136" i="3"/>
  <c r="N136" i="3"/>
  <c r="E137" i="3"/>
  <c r="E101" i="3" s="1"/>
  <c r="F137" i="3"/>
  <c r="F101" i="3" s="1"/>
  <c r="G137" i="3"/>
  <c r="G101" i="3" s="1"/>
  <c r="H137" i="3"/>
  <c r="H101" i="3" s="1"/>
  <c r="J137" i="3"/>
  <c r="J101" i="3" s="1"/>
  <c r="K137" i="3"/>
  <c r="K101" i="3" s="1"/>
  <c r="L137" i="3"/>
  <c r="L101" i="3" s="1"/>
  <c r="M137" i="3"/>
  <c r="M101" i="3" s="1"/>
  <c r="N137" i="3"/>
  <c r="N101" i="3" s="1"/>
  <c r="E197" i="1"/>
  <c r="E196" i="1"/>
  <c r="D132" i="3" s="1"/>
  <c r="J197" i="1"/>
  <c r="J196" i="1"/>
  <c r="I132" i="3" s="1"/>
  <c r="E156" i="3"/>
  <c r="F156" i="3"/>
  <c r="G156" i="3"/>
  <c r="H156" i="3"/>
  <c r="J156" i="3"/>
  <c r="K156" i="3"/>
  <c r="L156" i="3"/>
  <c r="M156" i="3"/>
  <c r="N156" i="3"/>
  <c r="J200" i="1"/>
  <c r="I136" i="3" s="1"/>
  <c r="J201" i="1"/>
  <c r="J168" i="1" s="1"/>
  <c r="E200" i="1"/>
  <c r="D136" i="3" s="1"/>
  <c r="E201" i="1"/>
  <c r="D167" i="1"/>
  <c r="D201" i="1"/>
  <c r="D168" i="1"/>
  <c r="D200" i="1"/>
  <c r="J18" i="1"/>
  <c r="J19" i="1"/>
  <c r="J20" i="1"/>
  <c r="J15" i="1" s="1"/>
  <c r="E20" i="1"/>
  <c r="D18" i="3" s="1"/>
  <c r="D13" i="3" s="1"/>
  <c r="D15" i="1"/>
  <c r="D20" i="1"/>
  <c r="E18" i="3"/>
  <c r="E13" i="3" s="1"/>
  <c r="F18" i="3"/>
  <c r="F13" i="3" s="1"/>
  <c r="G18" i="3"/>
  <c r="G13" i="3" s="1"/>
  <c r="H18" i="3"/>
  <c r="H13" i="3" s="1"/>
  <c r="I18" i="3"/>
  <c r="I13" i="3" s="1"/>
  <c r="J18" i="3"/>
  <c r="J13" i="3" s="1"/>
  <c r="K18" i="3"/>
  <c r="K13" i="3" s="1"/>
  <c r="L18" i="3"/>
  <c r="L13" i="3" s="1"/>
  <c r="M18" i="3"/>
  <c r="M13" i="3" s="1"/>
  <c r="N18" i="3"/>
  <c r="N13" i="3" s="1"/>
  <c r="F15" i="1"/>
  <c r="G15" i="1"/>
  <c r="H15" i="1"/>
  <c r="I15" i="1"/>
  <c r="K15" i="1"/>
  <c r="L15" i="1"/>
  <c r="M15" i="1"/>
  <c r="N15" i="1"/>
  <c r="O15" i="1"/>
  <c r="J170" i="1" l="1"/>
  <c r="J167" i="1"/>
  <c r="I16" i="3"/>
  <c r="E212" i="1"/>
  <c r="D166" i="3"/>
  <c r="D156" i="3" s="1"/>
  <c r="D133" i="3"/>
  <c r="D103" i="3" s="1"/>
  <c r="E170" i="1"/>
  <c r="N100" i="3"/>
  <c r="N103" i="3"/>
  <c r="L100" i="3"/>
  <c r="L103" i="3"/>
  <c r="J100" i="3"/>
  <c r="J103" i="3"/>
  <c r="G100" i="3"/>
  <c r="G103" i="3"/>
  <c r="E100" i="3"/>
  <c r="E103" i="3"/>
  <c r="M100" i="3"/>
  <c r="M103" i="3"/>
  <c r="K100" i="3"/>
  <c r="K103" i="3"/>
  <c r="H100" i="3"/>
  <c r="H103" i="3"/>
  <c r="F100" i="3"/>
  <c r="F103" i="3"/>
  <c r="P233" i="1"/>
  <c r="O206" i="3"/>
  <c r="P218" i="1"/>
  <c r="J212" i="1"/>
  <c r="P197" i="1"/>
  <c r="P167" i="1" s="1"/>
  <c r="I156" i="3"/>
  <c r="D137" i="3"/>
  <c r="D101" i="3" s="1"/>
  <c r="I133" i="3"/>
  <c r="I137" i="3"/>
  <c r="I101" i="3" s="1"/>
  <c r="P196" i="1"/>
  <c r="P200" i="1"/>
  <c r="O136" i="3" s="1"/>
  <c r="E167" i="1"/>
  <c r="P201" i="1"/>
  <c r="P168" i="1" s="1"/>
  <c r="E168" i="1"/>
  <c r="P20" i="1"/>
  <c r="P15" i="1" s="1"/>
  <c r="E15" i="1"/>
  <c r="P212" i="1" l="1"/>
  <c r="O166" i="3"/>
  <c r="D100" i="3"/>
  <c r="O133" i="3"/>
  <c r="O103" i="3" s="1"/>
  <c r="P170" i="1"/>
  <c r="I100" i="3"/>
  <c r="I103" i="3"/>
  <c r="O132" i="3"/>
  <c r="O137" i="3"/>
  <c r="O101" i="3" s="1"/>
  <c r="O18" i="3"/>
  <c r="O13" i="3" s="1"/>
  <c r="O100" i="3" l="1"/>
  <c r="O156" i="3"/>
  <c r="J217" i="1"/>
  <c r="E217" i="1"/>
  <c r="E306" i="1"/>
  <c r="E304" i="1"/>
  <c r="D195" i="3" s="1"/>
  <c r="N17" i="3"/>
  <c r="M17" i="3"/>
  <c r="L17" i="3"/>
  <c r="K17" i="3"/>
  <c r="J17" i="3"/>
  <c r="H17" i="3"/>
  <c r="G17" i="3"/>
  <c r="F17" i="3"/>
  <c r="E17" i="3"/>
  <c r="I17" i="3"/>
  <c r="E19" i="1"/>
  <c r="D165" i="3" l="1"/>
  <c r="I165" i="3"/>
  <c r="P217" i="1"/>
  <c r="P19" i="1"/>
  <c r="D17" i="3"/>
  <c r="J163" i="1"/>
  <c r="E163" i="1"/>
  <c r="O165" i="3" l="1"/>
  <c r="O17" i="3"/>
  <c r="P163" i="1"/>
  <c r="J304" i="1" l="1"/>
  <c r="I195" i="3" s="1"/>
  <c r="P304" i="1" l="1"/>
  <c r="O195" i="3" s="1"/>
  <c r="J98" i="1" l="1"/>
  <c r="E98" i="1"/>
  <c r="D61" i="3" l="1"/>
  <c r="I61" i="3"/>
  <c r="J68" i="1"/>
  <c r="P98" i="1"/>
  <c r="O61" i="3" l="1"/>
  <c r="M213" i="3"/>
  <c r="M212" i="3" s="1"/>
  <c r="L213" i="3"/>
  <c r="L212" i="3" s="1"/>
  <c r="K213" i="3"/>
  <c r="K212" i="3" s="1"/>
  <c r="H213" i="3"/>
  <c r="H212" i="3" s="1"/>
  <c r="G213" i="3"/>
  <c r="G212" i="3" s="1"/>
  <c r="F213" i="3"/>
  <c r="F212" i="3" s="1"/>
  <c r="J266" i="1" l="1"/>
  <c r="E266" i="1"/>
  <c r="P266" i="1" l="1"/>
  <c r="J300" i="1" l="1"/>
  <c r="I187" i="3" s="1"/>
  <c r="E300" i="1"/>
  <c r="E298" i="1"/>
  <c r="N213" i="3"/>
  <c r="N212" i="3" s="1"/>
  <c r="J213" i="3"/>
  <c r="J212" i="3" s="1"/>
  <c r="P300" i="1" l="1"/>
  <c r="O132" i="1" l="1"/>
  <c r="N132" i="1"/>
  <c r="M132" i="1"/>
  <c r="L132" i="1"/>
  <c r="K132" i="1"/>
  <c r="I132" i="1"/>
  <c r="H132" i="1"/>
  <c r="G132" i="1"/>
  <c r="F132" i="1"/>
  <c r="J158" i="1"/>
  <c r="J159" i="1"/>
  <c r="E158" i="1"/>
  <c r="E159" i="1"/>
  <c r="J135" i="1" l="1"/>
  <c r="E132" i="1"/>
  <c r="E135" i="1"/>
  <c r="P159" i="1"/>
  <c r="P158" i="1"/>
  <c r="J132" i="1"/>
  <c r="P132" i="1" l="1"/>
  <c r="P135" i="1"/>
  <c r="D254" i="1"/>
  <c r="N218" i="3" l="1"/>
  <c r="M218" i="3"/>
  <c r="L218" i="3"/>
  <c r="K218" i="3"/>
  <c r="J218" i="3"/>
  <c r="H218" i="3"/>
  <c r="G218" i="3"/>
  <c r="F218" i="3"/>
  <c r="E218" i="3"/>
  <c r="F215" i="3" l="1"/>
  <c r="F173" i="3" s="1"/>
  <c r="F265" i="3" s="1"/>
  <c r="H215" i="3"/>
  <c r="H173" i="3" s="1"/>
  <c r="H265" i="3" s="1"/>
  <c r="K215" i="3"/>
  <c r="K173" i="3" s="1"/>
  <c r="K265" i="3" s="1"/>
  <c r="M215" i="3"/>
  <c r="M173" i="3" s="1"/>
  <c r="M265" i="3" s="1"/>
  <c r="E215" i="3"/>
  <c r="E173" i="3" s="1"/>
  <c r="E265" i="3" s="1"/>
  <c r="G215" i="3"/>
  <c r="G173" i="3" s="1"/>
  <c r="G265" i="3" s="1"/>
  <c r="L215" i="3"/>
  <c r="L173" i="3" s="1"/>
  <c r="L265" i="3" s="1"/>
  <c r="N215" i="3"/>
  <c r="N173" i="3" s="1"/>
  <c r="N265" i="3" s="1"/>
  <c r="J215" i="3"/>
  <c r="J173" i="3" s="1"/>
  <c r="J265" i="3" s="1"/>
  <c r="O137" i="1"/>
  <c r="N137" i="1"/>
  <c r="M137" i="1"/>
  <c r="L137" i="1"/>
  <c r="K137" i="1"/>
  <c r="I137" i="1"/>
  <c r="H137" i="1"/>
  <c r="G137" i="1"/>
  <c r="F137" i="1"/>
  <c r="O286" i="1"/>
  <c r="N286" i="1"/>
  <c r="M286" i="1"/>
  <c r="L286" i="1"/>
  <c r="K286" i="1"/>
  <c r="I286" i="1"/>
  <c r="H286" i="1"/>
  <c r="G286" i="1"/>
  <c r="F286" i="1"/>
  <c r="E286" i="1"/>
  <c r="F353" i="1" l="1"/>
  <c r="H353" i="1"/>
  <c r="K353" i="1"/>
  <c r="M353" i="1"/>
  <c r="O353" i="1"/>
  <c r="G353" i="1"/>
  <c r="I353" i="1"/>
  <c r="L353" i="1"/>
  <c r="N353" i="1"/>
  <c r="M346" i="1" l="1"/>
  <c r="L346" i="1"/>
  <c r="H346" i="1"/>
  <c r="I346" i="1"/>
  <c r="G346" i="1"/>
  <c r="F346" i="1"/>
  <c r="K346" i="1"/>
  <c r="N346" i="1"/>
  <c r="O346" i="1"/>
  <c r="E213" i="3"/>
  <c r="E212" i="3" s="1"/>
  <c r="M185" i="3" l="1"/>
  <c r="L185" i="3"/>
  <c r="K185" i="3"/>
  <c r="H185" i="3"/>
  <c r="G185" i="3"/>
  <c r="F185" i="3"/>
  <c r="E185" i="3"/>
  <c r="M182" i="3" l="1"/>
  <c r="L182" i="3"/>
  <c r="K182" i="3"/>
  <c r="H182" i="3"/>
  <c r="G182" i="3"/>
  <c r="F182" i="3"/>
  <c r="E182" i="3"/>
  <c r="M186" i="3"/>
  <c r="L186" i="3"/>
  <c r="K186" i="3"/>
  <c r="H186" i="3"/>
  <c r="G186" i="3"/>
  <c r="F186" i="3"/>
  <c r="E186" i="3"/>
  <c r="J205" i="1" l="1"/>
  <c r="I183" i="3" s="1"/>
  <c r="E205" i="1"/>
  <c r="D183" i="3" s="1"/>
  <c r="J156" i="1"/>
  <c r="E156" i="1"/>
  <c r="E40" i="1"/>
  <c r="E39" i="1"/>
  <c r="J40" i="1"/>
  <c r="P40" i="1" s="1"/>
  <c r="D185" i="3" l="1"/>
  <c r="P39" i="1"/>
  <c r="P156" i="1"/>
  <c r="P205" i="1"/>
  <c r="O183" i="3" s="1"/>
  <c r="N186" i="3"/>
  <c r="J186" i="3"/>
  <c r="E161" i="1" l="1"/>
  <c r="J161" i="1"/>
  <c r="J137" i="1" l="1"/>
  <c r="D218" i="3"/>
  <c r="E137" i="1"/>
  <c r="E341" i="1" s="1"/>
  <c r="P161" i="1"/>
  <c r="J306" i="1"/>
  <c r="J286" i="1" s="1"/>
  <c r="D215" i="3" l="1"/>
  <c r="I218" i="3"/>
  <c r="P137" i="1"/>
  <c r="P306" i="1"/>
  <c r="P286" i="1" s="1"/>
  <c r="N205" i="3"/>
  <c r="M205" i="3"/>
  <c r="L205" i="3"/>
  <c r="K205" i="3"/>
  <c r="J205" i="3"/>
  <c r="H205" i="3"/>
  <c r="G205" i="3"/>
  <c r="F205" i="3"/>
  <c r="E205" i="3"/>
  <c r="N140" i="3"/>
  <c r="M140" i="3"/>
  <c r="L140" i="3"/>
  <c r="K140" i="3"/>
  <c r="J140" i="3"/>
  <c r="H140" i="3"/>
  <c r="G140" i="3"/>
  <c r="F140" i="3"/>
  <c r="N126" i="3"/>
  <c r="M126" i="3"/>
  <c r="L126" i="3"/>
  <c r="K126" i="3"/>
  <c r="J126" i="3"/>
  <c r="H126" i="3"/>
  <c r="G126" i="3"/>
  <c r="F126" i="3"/>
  <c r="E126" i="3"/>
  <c r="N124" i="3"/>
  <c r="M124" i="3"/>
  <c r="L124" i="3"/>
  <c r="K124" i="3"/>
  <c r="J124" i="3"/>
  <c r="H124" i="3"/>
  <c r="G124" i="3"/>
  <c r="F124" i="3"/>
  <c r="E124" i="3"/>
  <c r="N114" i="3"/>
  <c r="M114" i="3"/>
  <c r="L114" i="3"/>
  <c r="K114" i="3"/>
  <c r="J114" i="3"/>
  <c r="H114" i="3"/>
  <c r="G114" i="3"/>
  <c r="F114" i="3"/>
  <c r="E114" i="3"/>
  <c r="N112" i="3"/>
  <c r="M112" i="3"/>
  <c r="L112" i="3"/>
  <c r="K112" i="3"/>
  <c r="J112" i="3"/>
  <c r="H112" i="3"/>
  <c r="G112" i="3"/>
  <c r="F112" i="3"/>
  <c r="E112" i="3"/>
  <c r="N108" i="3"/>
  <c r="M108" i="3"/>
  <c r="L108" i="3"/>
  <c r="K108" i="3"/>
  <c r="J108" i="3"/>
  <c r="H108" i="3"/>
  <c r="G108" i="3"/>
  <c r="F108" i="3"/>
  <c r="N96" i="3"/>
  <c r="M96" i="3"/>
  <c r="L96" i="3"/>
  <c r="K96" i="3"/>
  <c r="J96" i="3"/>
  <c r="H96" i="3"/>
  <c r="G96" i="3"/>
  <c r="F96" i="3"/>
  <c r="E96" i="3"/>
  <c r="N95" i="3"/>
  <c r="M95" i="3"/>
  <c r="L95" i="3"/>
  <c r="K95" i="3"/>
  <c r="J95" i="3"/>
  <c r="H95" i="3"/>
  <c r="G95" i="3"/>
  <c r="F95" i="3"/>
  <c r="E95" i="3"/>
  <c r="N93" i="3"/>
  <c r="M93" i="3"/>
  <c r="L93" i="3"/>
  <c r="K93" i="3"/>
  <c r="J93" i="3"/>
  <c r="H93" i="3"/>
  <c r="G93" i="3"/>
  <c r="F93" i="3"/>
  <c r="E93" i="3"/>
  <c r="N91" i="3"/>
  <c r="M91" i="3"/>
  <c r="L91" i="3"/>
  <c r="K91" i="3"/>
  <c r="J91" i="3"/>
  <c r="H91" i="3"/>
  <c r="G91" i="3"/>
  <c r="F91" i="3"/>
  <c r="E91" i="3"/>
  <c r="N88" i="3"/>
  <c r="M88" i="3"/>
  <c r="L88" i="3"/>
  <c r="K88" i="3"/>
  <c r="J88" i="3"/>
  <c r="I88" i="3"/>
  <c r="H88" i="3"/>
  <c r="G88" i="3"/>
  <c r="F88" i="3"/>
  <c r="E88" i="3"/>
  <c r="N84" i="3"/>
  <c r="M84" i="3"/>
  <c r="L84" i="3"/>
  <c r="K84" i="3"/>
  <c r="J84" i="3"/>
  <c r="H84" i="3"/>
  <c r="G84" i="3"/>
  <c r="F84" i="3"/>
  <c r="N83" i="3"/>
  <c r="M83" i="3"/>
  <c r="L83" i="3"/>
  <c r="K83" i="3"/>
  <c r="J83" i="3"/>
  <c r="H83" i="3"/>
  <c r="G83" i="3"/>
  <c r="F83" i="3"/>
  <c r="E83" i="3"/>
  <c r="O131" i="1"/>
  <c r="N131" i="1"/>
  <c r="M131" i="1"/>
  <c r="L131" i="1"/>
  <c r="K131" i="1"/>
  <c r="I131" i="1"/>
  <c r="H131" i="1"/>
  <c r="G131" i="1"/>
  <c r="F131" i="1"/>
  <c r="F102" i="3" l="1"/>
  <c r="H102" i="3"/>
  <c r="K102" i="3"/>
  <c r="M102" i="3"/>
  <c r="G102" i="3"/>
  <c r="J102" i="3"/>
  <c r="L102" i="3"/>
  <c r="N102" i="3"/>
  <c r="D173" i="3"/>
  <c r="D265" i="3" s="1"/>
  <c r="E353" i="1" s="1"/>
  <c r="I215" i="3"/>
  <c r="I173" i="3" s="1"/>
  <c r="I265" i="3" s="1"/>
  <c r="J353" i="1" s="1"/>
  <c r="O218" i="3"/>
  <c r="E346" i="1" l="1"/>
  <c r="J346" i="1"/>
  <c r="O215" i="3"/>
  <c r="O173" i="3" s="1"/>
  <c r="O265" i="3" s="1"/>
  <c r="P353" i="1" s="1"/>
  <c r="O232" i="1"/>
  <c r="N232" i="1"/>
  <c r="M232" i="1"/>
  <c r="L232" i="1"/>
  <c r="K232" i="1"/>
  <c r="I232" i="1"/>
  <c r="H232" i="1"/>
  <c r="G232" i="1"/>
  <c r="F232" i="1"/>
  <c r="P346" i="1" l="1"/>
  <c r="O133" i="1"/>
  <c r="N133" i="1"/>
  <c r="M133" i="1"/>
  <c r="L133" i="1"/>
  <c r="K133" i="1"/>
  <c r="I133" i="1"/>
  <c r="H133" i="1"/>
  <c r="G133" i="1"/>
  <c r="O134" i="1" l="1"/>
  <c r="N134" i="1"/>
  <c r="M134" i="1"/>
  <c r="L134" i="1"/>
  <c r="I134" i="1"/>
  <c r="H134" i="1"/>
  <c r="G134" i="1"/>
  <c r="J142" i="1"/>
  <c r="E142" i="1"/>
  <c r="J141" i="1"/>
  <c r="I84" i="3" s="1"/>
  <c r="J140" i="1"/>
  <c r="I83" i="3" s="1"/>
  <c r="E140" i="1"/>
  <c r="D83" i="3" s="1"/>
  <c r="J148" i="1"/>
  <c r="I91" i="3" s="1"/>
  <c r="E148" i="1"/>
  <c r="D91" i="3" s="1"/>
  <c r="E145" i="1"/>
  <c r="P145" i="1" s="1"/>
  <c r="E136" i="1" l="1"/>
  <c r="D85" i="3"/>
  <c r="D81" i="3" s="1"/>
  <c r="J136" i="1"/>
  <c r="I85" i="3"/>
  <c r="F133" i="1"/>
  <c r="E84" i="3"/>
  <c r="O88" i="3"/>
  <c r="D88" i="3"/>
  <c r="E131" i="1"/>
  <c r="J131" i="1"/>
  <c r="E141" i="1"/>
  <c r="P148" i="1"/>
  <c r="O91" i="3" s="1"/>
  <c r="P140" i="1"/>
  <c r="O83" i="3" s="1"/>
  <c r="P142" i="1"/>
  <c r="P136" i="1" l="1"/>
  <c r="O85" i="3"/>
  <c r="P141" i="1"/>
  <c r="O84" i="3" s="1"/>
  <c r="D84" i="3"/>
  <c r="P131" i="1"/>
  <c r="N197" i="3"/>
  <c r="N171" i="3" s="1"/>
  <c r="M197" i="3"/>
  <c r="M171" i="3" s="1"/>
  <c r="L197" i="3"/>
  <c r="L171" i="3" s="1"/>
  <c r="K197" i="3"/>
  <c r="K171" i="3" s="1"/>
  <c r="J197" i="3"/>
  <c r="J171" i="3" s="1"/>
  <c r="H197" i="3"/>
  <c r="H171" i="3" s="1"/>
  <c r="G197" i="3"/>
  <c r="G171" i="3" s="1"/>
  <c r="F197" i="3"/>
  <c r="F171" i="3" s="1"/>
  <c r="E197" i="3"/>
  <c r="E171" i="3" s="1"/>
  <c r="N177" i="3"/>
  <c r="N263" i="3" s="1"/>
  <c r="O351" i="1" s="1"/>
  <c r="M177" i="3"/>
  <c r="M263" i="3" s="1"/>
  <c r="N351" i="1" s="1"/>
  <c r="L177" i="3"/>
  <c r="L263" i="3" s="1"/>
  <c r="M351" i="1" s="1"/>
  <c r="K177" i="3"/>
  <c r="K263" i="3" s="1"/>
  <c r="L351" i="1" s="1"/>
  <c r="J177" i="3"/>
  <c r="J263" i="3" s="1"/>
  <c r="K351" i="1" s="1"/>
  <c r="H177" i="3"/>
  <c r="H263" i="3" s="1"/>
  <c r="I351" i="1" s="1"/>
  <c r="G177" i="3"/>
  <c r="G263" i="3" s="1"/>
  <c r="H351" i="1" s="1"/>
  <c r="F177" i="3"/>
  <c r="F263" i="3" s="1"/>
  <c r="G351" i="1" s="1"/>
  <c r="E177" i="3"/>
  <c r="E263" i="3" s="1"/>
  <c r="F351" i="1" s="1"/>
  <c r="N80" i="3"/>
  <c r="M80" i="3"/>
  <c r="L80" i="3"/>
  <c r="K80" i="3"/>
  <c r="J80" i="3"/>
  <c r="H80" i="3"/>
  <c r="G80" i="3"/>
  <c r="F80" i="3"/>
  <c r="E80" i="3"/>
  <c r="N81" i="3"/>
  <c r="M81" i="3"/>
  <c r="L81" i="3"/>
  <c r="K81" i="3"/>
  <c r="J81" i="3"/>
  <c r="H81" i="3"/>
  <c r="G81" i="3"/>
  <c r="F81" i="3"/>
  <c r="E81" i="3"/>
  <c r="N79" i="3"/>
  <c r="M79" i="3"/>
  <c r="L79" i="3"/>
  <c r="K79" i="3"/>
  <c r="J79" i="3"/>
  <c r="H79" i="3"/>
  <c r="G79" i="3"/>
  <c r="F79" i="3"/>
  <c r="H78" i="3"/>
  <c r="G78" i="3"/>
  <c r="F78" i="3"/>
  <c r="E78" i="3"/>
  <c r="F170" i="3" l="1"/>
  <c r="H170" i="3"/>
  <c r="K170" i="3"/>
  <c r="M170" i="3"/>
  <c r="E170" i="3"/>
  <c r="G170" i="3"/>
  <c r="J170" i="3"/>
  <c r="L170" i="3"/>
  <c r="N170" i="3"/>
  <c r="K78" i="3"/>
  <c r="M78" i="3"/>
  <c r="J78" i="3"/>
  <c r="L78" i="3"/>
  <c r="N78" i="3"/>
  <c r="J262" i="1"/>
  <c r="E262" i="1"/>
  <c r="D205" i="3" s="1"/>
  <c r="J258" i="1"/>
  <c r="I192" i="3" s="1"/>
  <c r="E258" i="1"/>
  <c r="D192" i="3" s="1"/>
  <c r="J204" i="1"/>
  <c r="I140" i="3" s="1"/>
  <c r="J190" i="1"/>
  <c r="I126" i="3" s="1"/>
  <c r="E190" i="1"/>
  <c r="D126" i="3" s="1"/>
  <c r="J188" i="1"/>
  <c r="I124" i="3" s="1"/>
  <c r="E188" i="1"/>
  <c r="D124" i="3" s="1"/>
  <c r="J183" i="1"/>
  <c r="I114" i="3" s="1"/>
  <c r="E183" i="1"/>
  <c r="D114" i="3" s="1"/>
  <c r="J181" i="1"/>
  <c r="I112" i="3" s="1"/>
  <c r="E181" i="1"/>
  <c r="D112" i="3" s="1"/>
  <c r="J177" i="1"/>
  <c r="J169" i="1" s="1"/>
  <c r="J340" i="1" s="1"/>
  <c r="J153" i="1"/>
  <c r="I96" i="3" s="1"/>
  <c r="E153" i="1"/>
  <c r="J152" i="1"/>
  <c r="E152" i="1"/>
  <c r="J150" i="1"/>
  <c r="I93" i="3" s="1"/>
  <c r="E150" i="1"/>
  <c r="J111" i="1"/>
  <c r="E111" i="1"/>
  <c r="J97" i="1"/>
  <c r="I60" i="3" s="1"/>
  <c r="D60" i="3"/>
  <c r="J83" i="1"/>
  <c r="I45" i="3" s="1"/>
  <c r="I22" i="3" s="1"/>
  <c r="E83" i="1"/>
  <c r="J82" i="1"/>
  <c r="J64" i="1" s="1"/>
  <c r="E82" i="1"/>
  <c r="E64" i="1" s="1"/>
  <c r="E339" i="1" s="1"/>
  <c r="J79" i="1"/>
  <c r="I40" i="3" s="1"/>
  <c r="D45" i="3" l="1"/>
  <c r="D22" i="3" s="1"/>
  <c r="E67" i="1"/>
  <c r="I44" i="3"/>
  <c r="I20" i="3" s="1"/>
  <c r="D44" i="3"/>
  <c r="D20" i="3" s="1"/>
  <c r="J234" i="1"/>
  <c r="E234" i="1"/>
  <c r="D177" i="3"/>
  <c r="D96" i="3"/>
  <c r="E134" i="1"/>
  <c r="D93" i="3"/>
  <c r="J69" i="1"/>
  <c r="I74" i="3"/>
  <c r="I24" i="3" s="1"/>
  <c r="E69" i="1"/>
  <c r="D74" i="3"/>
  <c r="D24" i="3" s="1"/>
  <c r="J67" i="1"/>
  <c r="E177" i="1"/>
  <c r="E108" i="3"/>
  <c r="E204" i="1"/>
  <c r="E140" i="3"/>
  <c r="I108" i="3"/>
  <c r="I102" i="3" s="1"/>
  <c r="J232" i="1"/>
  <c r="I205" i="3"/>
  <c r="E133" i="1"/>
  <c r="D95" i="3"/>
  <c r="J133" i="1"/>
  <c r="I95" i="3"/>
  <c r="P262" i="1"/>
  <c r="E232" i="1"/>
  <c r="P258" i="1"/>
  <c r="O192" i="3" s="1"/>
  <c r="J134" i="1"/>
  <c r="E79" i="1"/>
  <c r="D40" i="3" s="1"/>
  <c r="P181" i="1"/>
  <c r="O112" i="3" s="1"/>
  <c r="P183" i="1"/>
  <c r="O114" i="3" s="1"/>
  <c r="P188" i="1"/>
  <c r="O124" i="3" s="1"/>
  <c r="P190" i="1"/>
  <c r="O126" i="3" s="1"/>
  <c r="P150" i="1"/>
  <c r="O93" i="3" s="1"/>
  <c r="P152" i="1"/>
  <c r="P153" i="1"/>
  <c r="O96" i="3" s="1"/>
  <c r="P82" i="1"/>
  <c r="P64" i="1" s="1"/>
  <c r="P83" i="1"/>
  <c r="O45" i="3" s="1"/>
  <c r="O22" i="3" s="1"/>
  <c r="P97" i="1"/>
  <c r="O60" i="3" s="1"/>
  <c r="P111" i="1"/>
  <c r="E340" i="1" l="1"/>
  <c r="D80" i="3"/>
  <c r="D263" i="3"/>
  <c r="E351" i="1" s="1"/>
  <c r="O44" i="3"/>
  <c r="O20" i="3" s="1"/>
  <c r="E102" i="3"/>
  <c r="D108" i="3"/>
  <c r="P234" i="1"/>
  <c r="P204" i="1"/>
  <c r="O140" i="3" s="1"/>
  <c r="P69" i="1"/>
  <c r="O74" i="3"/>
  <c r="O24" i="3" s="1"/>
  <c r="P67" i="1"/>
  <c r="D140" i="3"/>
  <c r="P177" i="1"/>
  <c r="P169" i="1" s="1"/>
  <c r="P340" i="1" s="1"/>
  <c r="P232" i="1"/>
  <c r="O205" i="3"/>
  <c r="P133" i="1"/>
  <c r="O95" i="3"/>
  <c r="P79" i="1"/>
  <c r="O40" i="3" s="1"/>
  <c r="P134" i="1"/>
  <c r="D102" i="3" l="1"/>
  <c r="O108" i="3"/>
  <c r="O102" i="3" s="1"/>
  <c r="C231" i="3"/>
  <c r="N234" i="3"/>
  <c r="N264" i="3" s="1"/>
  <c r="M234" i="3"/>
  <c r="M264" i="3" s="1"/>
  <c r="L234" i="3"/>
  <c r="L264" i="3" s="1"/>
  <c r="K234" i="3"/>
  <c r="K264" i="3" s="1"/>
  <c r="J234" i="3"/>
  <c r="J264" i="3" s="1"/>
  <c r="H234" i="3"/>
  <c r="H264" i="3" s="1"/>
  <c r="G234" i="3"/>
  <c r="G264" i="3" s="1"/>
  <c r="F234" i="3"/>
  <c r="F264" i="3" s="1"/>
  <c r="E234" i="3"/>
  <c r="E231" i="3" s="1"/>
  <c r="E229" i="3" s="1"/>
  <c r="D54" i="1"/>
  <c r="O14" i="1"/>
  <c r="N14" i="1"/>
  <c r="M14" i="1"/>
  <c r="L14" i="1"/>
  <c r="K14" i="1"/>
  <c r="I14" i="1"/>
  <c r="H14" i="1"/>
  <c r="G14" i="1"/>
  <c r="F14" i="1"/>
  <c r="J54" i="1"/>
  <c r="J14" i="1" s="1"/>
  <c r="E54" i="1"/>
  <c r="H352" i="1" l="1"/>
  <c r="K352" i="1"/>
  <c r="M352" i="1"/>
  <c r="O352" i="1"/>
  <c r="G352" i="1"/>
  <c r="I352" i="1"/>
  <c r="L352" i="1"/>
  <c r="N352" i="1"/>
  <c r="E264" i="3"/>
  <c r="F352" i="1" s="1"/>
  <c r="F231" i="3"/>
  <c r="F229" i="3" s="1"/>
  <c r="K231" i="3"/>
  <c r="K229" i="3" s="1"/>
  <c r="M231" i="3"/>
  <c r="M229" i="3" s="1"/>
  <c r="H231" i="3"/>
  <c r="H229" i="3" s="1"/>
  <c r="G231" i="3"/>
  <c r="G229" i="3" s="1"/>
  <c r="J231" i="3"/>
  <c r="J229" i="3" s="1"/>
  <c r="L231" i="3"/>
  <c r="L229" i="3" s="1"/>
  <c r="N231" i="3"/>
  <c r="N229" i="3" s="1"/>
  <c r="I234" i="3"/>
  <c r="P54" i="1"/>
  <c r="D234" i="3"/>
  <c r="I231" i="3" l="1"/>
  <c r="I229" i="3" s="1"/>
  <c r="D231" i="3"/>
  <c r="D229" i="3" s="1"/>
  <c r="P14" i="1"/>
  <c r="O234" i="3"/>
  <c r="O231" i="3" l="1"/>
  <c r="O229" i="3" s="1"/>
  <c r="E155" i="1"/>
  <c r="J61" i="1"/>
  <c r="I261" i="3" s="1"/>
  <c r="E61" i="1"/>
  <c r="D261" i="3" s="1"/>
  <c r="P61" i="1" l="1"/>
  <c r="O261" i="3" s="1"/>
  <c r="E254" i="1" l="1"/>
  <c r="D187" i="3" s="1"/>
  <c r="C254" i="1"/>
  <c r="P254" i="1" l="1"/>
  <c r="O187" i="3" s="1"/>
  <c r="J185" i="3" l="1"/>
  <c r="E232" i="3" l="1"/>
  <c r="F232" i="3"/>
  <c r="G232" i="3"/>
  <c r="H232" i="3"/>
  <c r="J232" i="3"/>
  <c r="K232" i="3"/>
  <c r="L232" i="3"/>
  <c r="M232" i="3"/>
  <c r="N232" i="3"/>
  <c r="J271" i="1"/>
  <c r="E271" i="1"/>
  <c r="C271" i="1"/>
  <c r="D271" i="1"/>
  <c r="B271" i="1"/>
  <c r="P271" i="1" l="1"/>
  <c r="E236" i="3" l="1"/>
  <c r="E235" i="3" s="1"/>
  <c r="F236" i="3"/>
  <c r="F235" i="3" s="1"/>
  <c r="G236" i="3"/>
  <c r="G235" i="3" s="1"/>
  <c r="H236" i="3"/>
  <c r="H235" i="3" s="1"/>
  <c r="J236" i="3"/>
  <c r="J235" i="3" s="1"/>
  <c r="K236" i="3"/>
  <c r="K235" i="3" s="1"/>
  <c r="L236" i="3"/>
  <c r="L235" i="3" s="1"/>
  <c r="M236" i="3"/>
  <c r="M235" i="3" s="1"/>
  <c r="N236" i="3"/>
  <c r="N235" i="3" s="1"/>
  <c r="J272" i="1"/>
  <c r="E272" i="1"/>
  <c r="C272" i="1"/>
  <c r="D272" i="1"/>
  <c r="B272" i="1"/>
  <c r="P272" i="1" l="1"/>
  <c r="E201" i="3" l="1"/>
  <c r="F201" i="3"/>
  <c r="G201" i="3"/>
  <c r="H201" i="3"/>
  <c r="J201" i="3"/>
  <c r="K201" i="3"/>
  <c r="L201" i="3"/>
  <c r="M201" i="3"/>
  <c r="N201" i="3"/>
  <c r="E203" i="3"/>
  <c r="F203" i="3"/>
  <c r="G203" i="3"/>
  <c r="H203" i="3"/>
  <c r="J203" i="3"/>
  <c r="K203" i="3"/>
  <c r="L203" i="3"/>
  <c r="M203" i="3"/>
  <c r="N203" i="3"/>
  <c r="E42" i="1"/>
  <c r="E44" i="1"/>
  <c r="J41" i="1"/>
  <c r="J42" i="1"/>
  <c r="I201" i="3" s="1"/>
  <c r="J44" i="1"/>
  <c r="I203" i="3" s="1"/>
  <c r="C42" i="1"/>
  <c r="D42" i="1"/>
  <c r="D44" i="1"/>
  <c r="B44" i="1"/>
  <c r="B42" i="1"/>
  <c r="D203" i="3" l="1"/>
  <c r="P44" i="1"/>
  <c r="O203" i="3" s="1"/>
  <c r="P42" i="1"/>
  <c r="O201" i="3" s="1"/>
  <c r="D201" i="3"/>
  <c r="N182" i="3" l="1"/>
  <c r="J182" i="3" l="1"/>
  <c r="E204" i="3" l="1"/>
  <c r="F204" i="3"/>
  <c r="G204" i="3"/>
  <c r="H204" i="3"/>
  <c r="J204" i="3"/>
  <c r="K204" i="3"/>
  <c r="L204" i="3"/>
  <c r="M204" i="3"/>
  <c r="N204" i="3"/>
  <c r="J261" i="1"/>
  <c r="E261" i="1"/>
  <c r="D208" i="3" s="1"/>
  <c r="B261" i="1"/>
  <c r="I204" i="3" l="1"/>
  <c r="I208" i="3"/>
  <c r="P261" i="1"/>
  <c r="D204" i="3"/>
  <c r="N189" i="3"/>
  <c r="M189" i="3"/>
  <c r="L189" i="3"/>
  <c r="K189" i="3"/>
  <c r="J189" i="3"/>
  <c r="H189" i="3"/>
  <c r="G189" i="3"/>
  <c r="F189" i="3"/>
  <c r="E189" i="3"/>
  <c r="J157" i="1"/>
  <c r="E157" i="1"/>
  <c r="D157" i="1"/>
  <c r="C157" i="1"/>
  <c r="B157" i="1"/>
  <c r="D301" i="1"/>
  <c r="C301" i="1"/>
  <c r="B301" i="1"/>
  <c r="D255" i="1"/>
  <c r="C255" i="1"/>
  <c r="B255" i="1"/>
  <c r="O204" i="3" l="1"/>
  <c r="O208" i="3"/>
  <c r="P157" i="1"/>
  <c r="J301" i="1"/>
  <c r="E301" i="1"/>
  <c r="E255" i="1"/>
  <c r="D189" i="3" l="1"/>
  <c r="P301" i="1"/>
  <c r="I189" i="3"/>
  <c r="P255" i="1"/>
  <c r="O189" i="3" l="1"/>
  <c r="K321" i="1"/>
  <c r="J307" i="1" l="1"/>
  <c r="E307" i="1"/>
  <c r="E257" i="1"/>
  <c r="P307" i="1" l="1"/>
  <c r="P257" i="1" l="1"/>
  <c r="J302" i="1"/>
  <c r="I191" i="3" s="1"/>
  <c r="E302" i="1"/>
  <c r="D191" i="3" s="1"/>
  <c r="P302" i="1" l="1"/>
  <c r="O191" i="3" s="1"/>
  <c r="N226" i="3" l="1"/>
  <c r="M226" i="3"/>
  <c r="L226" i="3"/>
  <c r="K226" i="3"/>
  <c r="J226" i="3"/>
  <c r="H226" i="3"/>
  <c r="G226" i="3"/>
  <c r="F226" i="3"/>
  <c r="E226" i="3"/>
  <c r="J162" i="1"/>
  <c r="I226" i="3" s="1"/>
  <c r="E162" i="1"/>
  <c r="D226" i="3" s="1"/>
  <c r="P162" i="1" l="1"/>
  <c r="D175" i="1"/>
  <c r="O226" i="3" l="1"/>
  <c r="B298" i="1" l="1"/>
  <c r="J298" i="1"/>
  <c r="I185" i="3" s="1"/>
  <c r="P298" i="1" l="1"/>
  <c r="O185" i="3" s="1"/>
  <c r="D209" i="1" l="1"/>
  <c r="F225" i="3"/>
  <c r="G225" i="3"/>
  <c r="H225" i="3"/>
  <c r="J225" i="3"/>
  <c r="K225" i="3"/>
  <c r="L225" i="3"/>
  <c r="M225" i="3"/>
  <c r="N225" i="3"/>
  <c r="F168" i="3"/>
  <c r="G168" i="3"/>
  <c r="H168" i="3"/>
  <c r="J168" i="3"/>
  <c r="K168" i="3"/>
  <c r="L168" i="3"/>
  <c r="M168" i="3"/>
  <c r="N168" i="3"/>
  <c r="G329" i="1"/>
  <c r="H329" i="1"/>
  <c r="I329" i="1"/>
  <c r="K329" i="1"/>
  <c r="L329" i="1"/>
  <c r="M329" i="1"/>
  <c r="N329" i="1"/>
  <c r="O329" i="1"/>
  <c r="G321" i="1"/>
  <c r="H321" i="1"/>
  <c r="L321" i="1"/>
  <c r="M321" i="1"/>
  <c r="N321" i="1"/>
  <c r="O321" i="1"/>
  <c r="G129" i="1"/>
  <c r="H129" i="1"/>
  <c r="I129" i="1"/>
  <c r="L129" i="1"/>
  <c r="M129" i="1"/>
  <c r="N129" i="1"/>
  <c r="I321" i="1" l="1"/>
  <c r="E225" i="3" l="1"/>
  <c r="F321" i="1" l="1"/>
  <c r="F129" i="1"/>
  <c r="D278" i="1" l="1"/>
  <c r="F329" i="1" l="1"/>
  <c r="O129" i="1" l="1"/>
  <c r="K129" i="1"/>
  <c r="J229" i="1"/>
  <c r="E229" i="1"/>
  <c r="C229" i="1"/>
  <c r="D229" i="1"/>
  <c r="B229" i="1"/>
  <c r="P229" i="1" l="1"/>
  <c r="E12" i="3"/>
  <c r="F12" i="3"/>
  <c r="G12" i="3"/>
  <c r="H12" i="3"/>
  <c r="J12" i="3"/>
  <c r="K12" i="3"/>
  <c r="L12" i="3"/>
  <c r="M12" i="3"/>
  <c r="N12" i="3"/>
  <c r="E87" i="3"/>
  <c r="F87" i="3"/>
  <c r="G87" i="3"/>
  <c r="H87" i="3"/>
  <c r="J87" i="3"/>
  <c r="K87" i="3"/>
  <c r="L87" i="3"/>
  <c r="M87" i="3"/>
  <c r="N87" i="3"/>
  <c r="E90" i="3"/>
  <c r="F90" i="3"/>
  <c r="G90" i="3"/>
  <c r="H90" i="3"/>
  <c r="J90" i="3"/>
  <c r="K90" i="3"/>
  <c r="L90" i="3"/>
  <c r="M90" i="3"/>
  <c r="N90" i="3"/>
  <c r="E92" i="3"/>
  <c r="F92" i="3"/>
  <c r="G92" i="3"/>
  <c r="H92" i="3"/>
  <c r="J92" i="3"/>
  <c r="K92" i="3"/>
  <c r="L92" i="3"/>
  <c r="M92" i="3"/>
  <c r="N92" i="3"/>
  <c r="E94" i="3"/>
  <c r="F94" i="3"/>
  <c r="G94" i="3"/>
  <c r="H94" i="3"/>
  <c r="J94" i="3"/>
  <c r="K94" i="3"/>
  <c r="L94" i="3"/>
  <c r="M94" i="3"/>
  <c r="N94" i="3"/>
  <c r="E97" i="3"/>
  <c r="F97" i="3"/>
  <c r="G97" i="3"/>
  <c r="H97" i="3"/>
  <c r="J97" i="3"/>
  <c r="K97" i="3"/>
  <c r="L97" i="3"/>
  <c r="M97" i="3"/>
  <c r="N97" i="3"/>
  <c r="E98" i="3"/>
  <c r="F98" i="3"/>
  <c r="G98" i="3"/>
  <c r="H98" i="3"/>
  <c r="J98" i="3"/>
  <c r="K98" i="3"/>
  <c r="L98" i="3"/>
  <c r="M98" i="3"/>
  <c r="N98" i="3"/>
  <c r="E105" i="3"/>
  <c r="F105" i="3"/>
  <c r="G105" i="3"/>
  <c r="H105" i="3"/>
  <c r="K105" i="3"/>
  <c r="L105" i="3"/>
  <c r="M105" i="3"/>
  <c r="E106" i="3"/>
  <c r="F106" i="3"/>
  <c r="G106" i="3"/>
  <c r="H106" i="3"/>
  <c r="J106" i="3"/>
  <c r="K106" i="3"/>
  <c r="L106" i="3"/>
  <c r="M106" i="3"/>
  <c r="N106" i="3"/>
  <c r="E107" i="3"/>
  <c r="F107" i="3"/>
  <c r="G107" i="3"/>
  <c r="H107" i="3"/>
  <c r="J107" i="3"/>
  <c r="K107" i="3"/>
  <c r="L107" i="3"/>
  <c r="M107" i="3"/>
  <c r="N107" i="3"/>
  <c r="E109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E113" i="3"/>
  <c r="F113" i="3"/>
  <c r="G113" i="3"/>
  <c r="H113" i="3"/>
  <c r="J113" i="3"/>
  <c r="K113" i="3"/>
  <c r="L113" i="3"/>
  <c r="M113" i="3"/>
  <c r="N113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5" i="3"/>
  <c r="F125" i="3"/>
  <c r="G125" i="3"/>
  <c r="H125" i="3"/>
  <c r="J125" i="3"/>
  <c r="K125" i="3"/>
  <c r="L125" i="3"/>
  <c r="M125" i="3"/>
  <c r="N125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8" i="3"/>
  <c r="F138" i="3"/>
  <c r="G138" i="3"/>
  <c r="H138" i="3"/>
  <c r="J138" i="3"/>
  <c r="K138" i="3"/>
  <c r="L138" i="3"/>
  <c r="M138" i="3"/>
  <c r="N138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8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K149" i="3"/>
  <c r="L149" i="3"/>
  <c r="M149" i="3"/>
  <c r="N149" i="3"/>
  <c r="E152" i="3"/>
  <c r="F152" i="3"/>
  <c r="G152" i="3"/>
  <c r="H152" i="3"/>
  <c r="J152" i="3"/>
  <c r="K152" i="3"/>
  <c r="L152" i="3"/>
  <c r="M152" i="3"/>
  <c r="N152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K163" i="3"/>
  <c r="L163" i="3"/>
  <c r="M163" i="3"/>
  <c r="N163" i="3"/>
  <c r="E167" i="3"/>
  <c r="F167" i="3"/>
  <c r="G167" i="3"/>
  <c r="H167" i="3"/>
  <c r="J167" i="3"/>
  <c r="K167" i="3"/>
  <c r="L167" i="3"/>
  <c r="M167" i="3"/>
  <c r="N167" i="3"/>
  <c r="E175" i="3"/>
  <c r="E174" i="3" s="1"/>
  <c r="F175" i="3"/>
  <c r="F174" i="3" s="1"/>
  <c r="G175" i="3"/>
  <c r="G174" i="3" s="1"/>
  <c r="H175" i="3"/>
  <c r="H174" i="3" s="1"/>
  <c r="J175" i="3"/>
  <c r="J174" i="3" s="1"/>
  <c r="K175" i="3"/>
  <c r="K174" i="3" s="1"/>
  <c r="L175" i="3"/>
  <c r="L174" i="3" s="1"/>
  <c r="M175" i="3"/>
  <c r="M174" i="3" s="1"/>
  <c r="N175" i="3"/>
  <c r="N174" i="3" s="1"/>
  <c r="E179" i="3"/>
  <c r="E176" i="3" s="1"/>
  <c r="F179" i="3"/>
  <c r="F176" i="3" s="1"/>
  <c r="G179" i="3"/>
  <c r="G176" i="3" s="1"/>
  <c r="H179" i="3"/>
  <c r="H176" i="3" s="1"/>
  <c r="J179" i="3"/>
  <c r="J176" i="3" s="1"/>
  <c r="K179" i="3"/>
  <c r="K176" i="3" s="1"/>
  <c r="L179" i="3"/>
  <c r="L176" i="3" s="1"/>
  <c r="M179" i="3"/>
  <c r="M176" i="3" s="1"/>
  <c r="N179" i="3"/>
  <c r="N176" i="3" s="1"/>
  <c r="E190" i="3"/>
  <c r="F190" i="3"/>
  <c r="G190" i="3"/>
  <c r="H190" i="3"/>
  <c r="J190" i="3"/>
  <c r="K190" i="3"/>
  <c r="L190" i="3"/>
  <c r="M190" i="3"/>
  <c r="N190" i="3"/>
  <c r="E200" i="3"/>
  <c r="E196" i="3" s="1"/>
  <c r="F200" i="3"/>
  <c r="F196" i="3" s="1"/>
  <c r="G200" i="3"/>
  <c r="G196" i="3" s="1"/>
  <c r="H200" i="3"/>
  <c r="H196" i="3" s="1"/>
  <c r="J200" i="3"/>
  <c r="J196" i="3" s="1"/>
  <c r="K200" i="3"/>
  <c r="K196" i="3" s="1"/>
  <c r="L200" i="3"/>
  <c r="L196" i="3" s="1"/>
  <c r="M200" i="3"/>
  <c r="M196" i="3" s="1"/>
  <c r="N200" i="3"/>
  <c r="N196" i="3" s="1"/>
  <c r="E216" i="3"/>
  <c r="F216" i="3"/>
  <c r="G216" i="3"/>
  <c r="H216" i="3"/>
  <c r="J216" i="3"/>
  <c r="K216" i="3"/>
  <c r="L216" i="3"/>
  <c r="M216" i="3"/>
  <c r="N216" i="3"/>
  <c r="E219" i="3"/>
  <c r="F219" i="3"/>
  <c r="G219" i="3"/>
  <c r="H219" i="3"/>
  <c r="J219" i="3"/>
  <c r="K219" i="3"/>
  <c r="L219" i="3"/>
  <c r="M219" i="3"/>
  <c r="N219" i="3"/>
  <c r="E220" i="3"/>
  <c r="F220" i="3"/>
  <c r="G220" i="3"/>
  <c r="H220" i="3"/>
  <c r="J220" i="3"/>
  <c r="K220" i="3"/>
  <c r="L220" i="3"/>
  <c r="M220" i="3"/>
  <c r="N220" i="3"/>
  <c r="E221" i="3"/>
  <c r="F221" i="3"/>
  <c r="G221" i="3"/>
  <c r="H221" i="3"/>
  <c r="J221" i="3"/>
  <c r="K221" i="3"/>
  <c r="L221" i="3"/>
  <c r="M221" i="3"/>
  <c r="N221" i="3"/>
  <c r="F223" i="3"/>
  <c r="G223" i="3"/>
  <c r="H223" i="3"/>
  <c r="J223" i="3"/>
  <c r="K223" i="3"/>
  <c r="L223" i="3"/>
  <c r="M223" i="3"/>
  <c r="N223" i="3"/>
  <c r="E233" i="3"/>
  <c r="F233" i="3"/>
  <c r="G233" i="3"/>
  <c r="H233" i="3"/>
  <c r="J233" i="3"/>
  <c r="K233" i="3"/>
  <c r="L233" i="3"/>
  <c r="M233" i="3"/>
  <c r="N233" i="3"/>
  <c r="E239" i="3"/>
  <c r="E238" i="3" s="1"/>
  <c r="F239" i="3"/>
  <c r="F238" i="3" s="1"/>
  <c r="G239" i="3"/>
  <c r="H239" i="3"/>
  <c r="J239" i="3"/>
  <c r="K239" i="3"/>
  <c r="K238" i="3" s="1"/>
  <c r="L239" i="3"/>
  <c r="M239" i="3"/>
  <c r="M238" i="3" s="1"/>
  <c r="N239" i="3"/>
  <c r="E242" i="3"/>
  <c r="E241" i="3" s="1"/>
  <c r="F242" i="3"/>
  <c r="F241" i="3" s="1"/>
  <c r="G242" i="3"/>
  <c r="G241" i="3" s="1"/>
  <c r="H242" i="3"/>
  <c r="H241" i="3" s="1"/>
  <c r="J242" i="3"/>
  <c r="J241" i="3" s="1"/>
  <c r="K242" i="3"/>
  <c r="K241" i="3" s="1"/>
  <c r="L242" i="3"/>
  <c r="L241" i="3" s="1"/>
  <c r="M242" i="3"/>
  <c r="M241" i="3" s="1"/>
  <c r="N242" i="3"/>
  <c r="N241" i="3" s="1"/>
  <c r="E243" i="3"/>
  <c r="F243" i="3"/>
  <c r="G243" i="3"/>
  <c r="H243" i="3"/>
  <c r="J243" i="3"/>
  <c r="K243" i="3"/>
  <c r="L243" i="3"/>
  <c r="M243" i="3"/>
  <c r="N243" i="3"/>
  <c r="D245" i="3"/>
  <c r="D244" i="3" s="1"/>
  <c r="E245" i="3"/>
  <c r="E244" i="3" s="1"/>
  <c r="F245" i="3"/>
  <c r="F244" i="3" s="1"/>
  <c r="G245" i="3"/>
  <c r="G244" i="3" s="1"/>
  <c r="H245" i="3"/>
  <c r="H244" i="3" s="1"/>
  <c r="J245" i="3"/>
  <c r="J244" i="3" s="1"/>
  <c r="K245" i="3"/>
  <c r="K244" i="3" s="1"/>
  <c r="L245" i="3"/>
  <c r="L244" i="3" s="1"/>
  <c r="M245" i="3"/>
  <c r="M244" i="3" s="1"/>
  <c r="N245" i="3"/>
  <c r="N244" i="3" s="1"/>
  <c r="J77" i="1"/>
  <c r="I31" i="3" s="1"/>
  <c r="J331" i="1"/>
  <c r="J332" i="1"/>
  <c r="J333" i="1"/>
  <c r="I239" i="3" s="1"/>
  <c r="J334" i="1"/>
  <c r="J335" i="1"/>
  <c r="I243" i="3" s="1"/>
  <c r="J336" i="1"/>
  <c r="I245" i="3" s="1"/>
  <c r="I244" i="3" s="1"/>
  <c r="J337" i="1"/>
  <c r="I252" i="3" s="1"/>
  <c r="I251" i="3" s="1"/>
  <c r="J330" i="1"/>
  <c r="J323" i="1"/>
  <c r="I175" i="3" s="1"/>
  <c r="I174" i="3" s="1"/>
  <c r="J324" i="1"/>
  <c r="J325" i="1"/>
  <c r="I219" i="3" s="1"/>
  <c r="J326" i="1"/>
  <c r="I220" i="3" s="1"/>
  <c r="J327" i="1"/>
  <c r="J322" i="1"/>
  <c r="J319" i="1"/>
  <c r="J292" i="1"/>
  <c r="J293" i="1"/>
  <c r="I167" i="3" s="1"/>
  <c r="J294" i="1"/>
  <c r="J295" i="1"/>
  <c r="I180" i="3" s="1"/>
  <c r="J296" i="1"/>
  <c r="I182" i="3" s="1"/>
  <c r="J299" i="1"/>
  <c r="J311" i="1"/>
  <c r="J312" i="1"/>
  <c r="J316" i="1"/>
  <c r="J287" i="1"/>
  <c r="J282" i="1"/>
  <c r="J240" i="1"/>
  <c r="J241" i="1"/>
  <c r="J242" i="1"/>
  <c r="I158" i="3" s="1"/>
  <c r="J244" i="1"/>
  <c r="I160" i="3" s="1"/>
  <c r="J245" i="1"/>
  <c r="I161" i="3" s="1"/>
  <c r="J246" i="1"/>
  <c r="J247" i="1"/>
  <c r="J252" i="1"/>
  <c r="J253" i="1"/>
  <c r="I190" i="3"/>
  <c r="J267" i="1"/>
  <c r="J268" i="1"/>
  <c r="J273" i="1"/>
  <c r="J278" i="1"/>
  <c r="J238" i="1"/>
  <c r="J223" i="1"/>
  <c r="I142" i="3" s="1"/>
  <c r="J224" i="1"/>
  <c r="J225" i="1"/>
  <c r="J226" i="1"/>
  <c r="J228" i="1"/>
  <c r="J221" i="1"/>
  <c r="J214" i="1"/>
  <c r="I116" i="3" s="1"/>
  <c r="J215" i="1"/>
  <c r="I117" i="3" s="1"/>
  <c r="J213" i="1"/>
  <c r="J175" i="1"/>
  <c r="J176" i="1"/>
  <c r="J178" i="1"/>
  <c r="I109" i="3" s="1"/>
  <c r="J179" i="1"/>
  <c r="J180" i="1"/>
  <c r="I111" i="3" s="1"/>
  <c r="J182" i="1"/>
  <c r="I113" i="3" s="1"/>
  <c r="J184" i="1"/>
  <c r="I115" i="3" s="1"/>
  <c r="J186" i="1"/>
  <c r="I122" i="3" s="1"/>
  <c r="J187" i="1"/>
  <c r="I123" i="3" s="1"/>
  <c r="J189" i="1"/>
  <c r="I125" i="3" s="1"/>
  <c r="J191" i="1"/>
  <c r="I127" i="3" s="1"/>
  <c r="J192" i="1"/>
  <c r="I128" i="3" s="1"/>
  <c r="J193" i="1"/>
  <c r="I129" i="3" s="1"/>
  <c r="J194" i="1"/>
  <c r="I130" i="3" s="1"/>
  <c r="J195" i="1"/>
  <c r="J202" i="1"/>
  <c r="J203" i="1"/>
  <c r="J209" i="1"/>
  <c r="I260" i="3" s="1"/>
  <c r="J172" i="1"/>
  <c r="J139" i="1"/>
  <c r="J144" i="1"/>
  <c r="J147" i="1"/>
  <c r="I90" i="3" s="1"/>
  <c r="J149" i="1"/>
  <c r="I92" i="3" s="1"/>
  <c r="J151" i="1"/>
  <c r="I94" i="3" s="1"/>
  <c r="J154" i="1"/>
  <c r="I97" i="3" s="1"/>
  <c r="J155" i="1"/>
  <c r="I98" i="3" s="1"/>
  <c r="J138" i="1"/>
  <c r="J81" i="1"/>
  <c r="I43" i="3" s="1"/>
  <c r="J84" i="1"/>
  <c r="I46" i="3" s="1"/>
  <c r="J93" i="1"/>
  <c r="I55" i="3" s="1"/>
  <c r="J99" i="1"/>
  <c r="I62" i="3" s="1"/>
  <c r="J100" i="1"/>
  <c r="I63" i="3" s="1"/>
  <c r="J102" i="1"/>
  <c r="I65" i="3" s="1"/>
  <c r="J110" i="1"/>
  <c r="I73" i="3" s="1"/>
  <c r="J76" i="1"/>
  <c r="J21" i="1"/>
  <c r="J22" i="1"/>
  <c r="J23" i="1"/>
  <c r="I118" i="3" s="1"/>
  <c r="J24" i="1"/>
  <c r="I119" i="3" s="1"/>
  <c r="J26" i="1"/>
  <c r="I121" i="3" s="1"/>
  <c r="J27" i="1"/>
  <c r="J28" i="1"/>
  <c r="J29" i="1"/>
  <c r="J30" i="1"/>
  <c r="J31" i="1"/>
  <c r="J32" i="1"/>
  <c r="I148" i="3" s="1"/>
  <c r="J33" i="1"/>
  <c r="I149" i="3" s="1"/>
  <c r="J34" i="1"/>
  <c r="I150" i="3" s="1"/>
  <c r="J35" i="1"/>
  <c r="I152" i="3" s="1"/>
  <c r="J36" i="1"/>
  <c r="I153" i="3" s="1"/>
  <c r="J37" i="1"/>
  <c r="I154" i="3" s="1"/>
  <c r="I200" i="3"/>
  <c r="I196" i="3" s="1"/>
  <c r="J46" i="1"/>
  <c r="J47" i="1"/>
  <c r="J48" i="1"/>
  <c r="J49" i="1"/>
  <c r="I223" i="3" s="1"/>
  <c r="J50" i="1"/>
  <c r="J51" i="1"/>
  <c r="J52" i="1"/>
  <c r="I232" i="3" s="1"/>
  <c r="J53" i="1"/>
  <c r="I233" i="3" s="1"/>
  <c r="J55" i="1"/>
  <c r="J57" i="1"/>
  <c r="I242" i="3"/>
  <c r="I241" i="3" s="1"/>
  <c r="J16" i="1"/>
  <c r="J13" i="1" l="1"/>
  <c r="M155" i="3"/>
  <c r="K155" i="3"/>
  <c r="H155" i="3"/>
  <c r="F155" i="3"/>
  <c r="N155" i="3"/>
  <c r="L155" i="3"/>
  <c r="J155" i="3"/>
  <c r="G155" i="3"/>
  <c r="I82" i="3"/>
  <c r="M77" i="3"/>
  <c r="K77" i="3"/>
  <c r="H77" i="3"/>
  <c r="F77" i="3"/>
  <c r="N77" i="3"/>
  <c r="L77" i="3"/>
  <c r="J77" i="3"/>
  <c r="G77" i="3"/>
  <c r="E77" i="3"/>
  <c r="I139" i="3"/>
  <c r="J211" i="1"/>
  <c r="I240" i="3"/>
  <c r="I238" i="3" s="1"/>
  <c r="I14" i="3"/>
  <c r="J310" i="1"/>
  <c r="J309" i="1" s="1"/>
  <c r="M99" i="3"/>
  <c r="K99" i="3"/>
  <c r="G99" i="3"/>
  <c r="L99" i="3"/>
  <c r="H99" i="3"/>
  <c r="F99" i="3"/>
  <c r="M214" i="3"/>
  <c r="M169" i="3" s="1"/>
  <c r="K214" i="3"/>
  <c r="K169" i="3" s="1"/>
  <c r="H214" i="3"/>
  <c r="H169" i="3" s="1"/>
  <c r="F214" i="3"/>
  <c r="F169" i="3" s="1"/>
  <c r="N214" i="3"/>
  <c r="N169" i="3" s="1"/>
  <c r="L214" i="3"/>
  <c r="L169" i="3" s="1"/>
  <c r="J214" i="3"/>
  <c r="J169" i="3" s="1"/>
  <c r="G214" i="3"/>
  <c r="G169" i="3" s="1"/>
  <c r="I213" i="3"/>
  <c r="I212" i="3" s="1"/>
  <c r="I186" i="3"/>
  <c r="I106" i="3"/>
  <c r="I87" i="3"/>
  <c r="I236" i="3"/>
  <c r="I235" i="3" s="1"/>
  <c r="I162" i="3"/>
  <c r="I157" i="3"/>
  <c r="I168" i="3"/>
  <c r="J329" i="1"/>
  <c r="I225" i="3"/>
  <c r="J321" i="1"/>
  <c r="J305" i="1"/>
  <c r="J284" i="1" s="1"/>
  <c r="I145" i="3"/>
  <c r="I143" i="3"/>
  <c r="I221" i="3"/>
  <c r="I144" i="3"/>
  <c r="E153" i="3"/>
  <c r="E146" i="3" s="1"/>
  <c r="I179" i="3"/>
  <c r="L230" i="3"/>
  <c r="J230" i="3"/>
  <c r="G230" i="3"/>
  <c r="I107" i="3"/>
  <c r="I216" i="3"/>
  <c r="I146" i="3"/>
  <c r="I131" i="3"/>
  <c r="N230" i="3"/>
  <c r="H230" i="3"/>
  <c r="M230" i="3"/>
  <c r="M228" i="3" s="1"/>
  <c r="K230" i="3"/>
  <c r="K228" i="3" s="1"/>
  <c r="F230" i="3"/>
  <c r="F228" i="3" s="1"/>
  <c r="E230" i="3"/>
  <c r="E228" i="3" s="1"/>
  <c r="I163" i="3"/>
  <c r="I230" i="3"/>
  <c r="M146" i="3"/>
  <c r="F146" i="3"/>
  <c r="I138" i="3"/>
  <c r="I110" i="3"/>
  <c r="N238" i="3"/>
  <c r="L238" i="3"/>
  <c r="J238" i="3"/>
  <c r="H238" i="3"/>
  <c r="G238" i="3"/>
  <c r="K146" i="3"/>
  <c r="L141" i="3"/>
  <c r="H141" i="3"/>
  <c r="N141" i="3"/>
  <c r="J141" i="3"/>
  <c r="G141" i="3"/>
  <c r="M141" i="3"/>
  <c r="K141" i="3"/>
  <c r="F141" i="3"/>
  <c r="E141" i="3"/>
  <c r="N146" i="3"/>
  <c r="L146" i="3"/>
  <c r="J146" i="3"/>
  <c r="H146" i="3"/>
  <c r="G146" i="3"/>
  <c r="J270" i="1"/>
  <c r="J231" i="1" s="1"/>
  <c r="I155" i="3" l="1"/>
  <c r="I228" i="3"/>
  <c r="G228" i="3"/>
  <c r="G262" i="3" s="1"/>
  <c r="L228" i="3"/>
  <c r="L262" i="3" s="1"/>
  <c r="H228" i="3"/>
  <c r="H262" i="3" s="1"/>
  <c r="N228" i="3"/>
  <c r="J228" i="3"/>
  <c r="I77" i="3"/>
  <c r="I176" i="3"/>
  <c r="I257" i="3"/>
  <c r="I249" i="3" s="1"/>
  <c r="M262" i="3"/>
  <c r="F262" i="3"/>
  <c r="K262" i="3"/>
  <c r="I224" i="3"/>
  <c r="I12" i="3"/>
  <c r="I141" i="3"/>
  <c r="E333" i="1"/>
  <c r="D239" i="3" s="1"/>
  <c r="D333" i="1"/>
  <c r="B333" i="1"/>
  <c r="E168" i="3" l="1"/>
  <c r="E155" i="3" s="1"/>
  <c r="E223" i="3"/>
  <c r="J160" i="1"/>
  <c r="J130" i="1" s="1"/>
  <c r="P333" i="1"/>
  <c r="O239" i="3" s="1"/>
  <c r="I217" i="3" l="1"/>
  <c r="I214" i="3" s="1"/>
  <c r="I169" i="3" s="1"/>
  <c r="J129" i="1"/>
  <c r="E214" i="3"/>
  <c r="E169" i="3" s="1"/>
  <c r="E256" i="1" l="1"/>
  <c r="C256" i="1"/>
  <c r="D256" i="1"/>
  <c r="B256" i="1"/>
  <c r="D190" i="3" l="1"/>
  <c r="P256" i="1"/>
  <c r="O190" i="3" s="1"/>
  <c r="E127" i="3" l="1"/>
  <c r="E99" i="3" s="1"/>
  <c r="E262" i="3" l="1"/>
  <c r="J78" i="1"/>
  <c r="J63" i="1" l="1"/>
  <c r="I33" i="3"/>
  <c r="I19" i="3" s="1"/>
  <c r="J220" i="1"/>
  <c r="D50" i="1"/>
  <c r="D316" i="1"/>
  <c r="D270" i="1"/>
  <c r="C224" i="1"/>
  <c r="B224" i="1"/>
  <c r="D214" i="1"/>
  <c r="P336" i="1"/>
  <c r="O245" i="3" s="1"/>
  <c r="O244" i="3" s="1"/>
  <c r="E331" i="1"/>
  <c r="E332" i="1"/>
  <c r="E334" i="1"/>
  <c r="E335" i="1"/>
  <c r="D243" i="3" s="1"/>
  <c r="D252" i="3"/>
  <c r="D251" i="3" s="1"/>
  <c r="E330" i="1"/>
  <c r="K328" i="1"/>
  <c r="L328" i="1"/>
  <c r="M328" i="1"/>
  <c r="N328" i="1"/>
  <c r="O328" i="1"/>
  <c r="F328" i="1"/>
  <c r="G328" i="1"/>
  <c r="H328" i="1"/>
  <c r="I328" i="1"/>
  <c r="E323" i="1"/>
  <c r="D175" i="3" s="1"/>
  <c r="D174" i="3" s="1"/>
  <c r="E324" i="1"/>
  <c r="E325" i="1"/>
  <c r="D219" i="3" s="1"/>
  <c r="E326" i="1"/>
  <c r="D220" i="3" s="1"/>
  <c r="E327" i="1"/>
  <c r="E322" i="1"/>
  <c r="K320" i="1"/>
  <c r="L320" i="1"/>
  <c r="M320" i="1"/>
  <c r="N320" i="1"/>
  <c r="O320" i="1"/>
  <c r="F320" i="1"/>
  <c r="G320" i="1"/>
  <c r="H320" i="1"/>
  <c r="I320" i="1"/>
  <c r="J318" i="1"/>
  <c r="J317" i="1" s="1"/>
  <c r="E319" i="1"/>
  <c r="E318" i="1" s="1"/>
  <c r="E317" i="1" s="1"/>
  <c r="K318" i="1"/>
  <c r="K317" i="1" s="1"/>
  <c r="L318" i="1"/>
  <c r="L317" i="1" s="1"/>
  <c r="M318" i="1"/>
  <c r="M317" i="1" s="1"/>
  <c r="N318" i="1"/>
  <c r="N317" i="1" s="1"/>
  <c r="O318" i="1"/>
  <c r="O317" i="1" s="1"/>
  <c r="F318" i="1"/>
  <c r="F317" i="1" s="1"/>
  <c r="G318" i="1"/>
  <c r="G317" i="1" s="1"/>
  <c r="H318" i="1"/>
  <c r="H317" i="1" s="1"/>
  <c r="I318" i="1"/>
  <c r="I317" i="1" s="1"/>
  <c r="E312" i="1"/>
  <c r="E316" i="1"/>
  <c r="E311" i="1"/>
  <c r="K309" i="1"/>
  <c r="L309" i="1"/>
  <c r="M309" i="1"/>
  <c r="N309" i="1"/>
  <c r="O309" i="1"/>
  <c r="F309" i="1"/>
  <c r="G309" i="1"/>
  <c r="H309" i="1"/>
  <c r="I309" i="1"/>
  <c r="E292" i="1"/>
  <c r="E293" i="1"/>
  <c r="D167" i="3" s="1"/>
  <c r="E294" i="1"/>
  <c r="E295" i="1"/>
  <c r="D180" i="3" s="1"/>
  <c r="E296" i="1"/>
  <c r="D182" i="3" s="1"/>
  <c r="E299" i="1"/>
  <c r="E305" i="1"/>
  <c r="E287" i="1"/>
  <c r="K283" i="1"/>
  <c r="M283" i="1"/>
  <c r="N283" i="1"/>
  <c r="O283" i="1"/>
  <c r="F283" i="1"/>
  <c r="G283" i="1"/>
  <c r="H283" i="1"/>
  <c r="I283" i="1"/>
  <c r="J281" i="1"/>
  <c r="J280" i="1" s="1"/>
  <c r="E282" i="1"/>
  <c r="E281" i="1" s="1"/>
  <c r="E280" i="1" s="1"/>
  <c r="K281" i="1"/>
  <c r="K280" i="1" s="1"/>
  <c r="L281" i="1"/>
  <c r="L280" i="1" s="1"/>
  <c r="M281" i="1"/>
  <c r="M280" i="1" s="1"/>
  <c r="N281" i="1"/>
  <c r="N280" i="1" s="1"/>
  <c r="O281" i="1"/>
  <c r="O280" i="1" s="1"/>
  <c r="F281" i="1"/>
  <c r="F280" i="1" s="1"/>
  <c r="G281" i="1"/>
  <c r="G280" i="1" s="1"/>
  <c r="H281" i="1"/>
  <c r="H280" i="1" s="1"/>
  <c r="I281" i="1"/>
  <c r="I280" i="1" s="1"/>
  <c r="E240" i="1"/>
  <c r="E241" i="1"/>
  <c r="D157" i="3" s="1"/>
  <c r="E242" i="1"/>
  <c r="E244" i="1"/>
  <c r="D160" i="3" s="1"/>
  <c r="E245" i="1"/>
  <c r="E246" i="1"/>
  <c r="E247" i="1"/>
  <c r="E251" i="1"/>
  <c r="E252" i="1"/>
  <c r="E253" i="1"/>
  <c r="P253" i="1" s="1"/>
  <c r="E267" i="1"/>
  <c r="E268" i="1"/>
  <c r="P268" i="1" s="1"/>
  <c r="E270" i="1"/>
  <c r="P270" i="1" s="1"/>
  <c r="E273" i="1"/>
  <c r="P273" i="1" s="1"/>
  <c r="E278" i="1"/>
  <c r="E238" i="1"/>
  <c r="K230" i="1"/>
  <c r="L230" i="1"/>
  <c r="M230" i="1"/>
  <c r="N230" i="1"/>
  <c r="O230" i="1"/>
  <c r="F230" i="1"/>
  <c r="G230" i="1"/>
  <c r="H230" i="1"/>
  <c r="I230" i="1"/>
  <c r="E223" i="1"/>
  <c r="E224" i="1"/>
  <c r="E225" i="1"/>
  <c r="E226" i="1"/>
  <c r="E228" i="1"/>
  <c r="E221" i="1"/>
  <c r="K219" i="1"/>
  <c r="L219" i="1"/>
  <c r="M219" i="1"/>
  <c r="N219" i="1"/>
  <c r="F219" i="1"/>
  <c r="G219" i="1"/>
  <c r="H219" i="1"/>
  <c r="I219" i="1"/>
  <c r="E214" i="1"/>
  <c r="D116" i="3" s="1"/>
  <c r="E215" i="1"/>
  <c r="D117" i="3" s="1"/>
  <c r="E213" i="1"/>
  <c r="K210" i="1"/>
  <c r="L210" i="1"/>
  <c r="M210" i="1"/>
  <c r="N210" i="1"/>
  <c r="O210" i="1"/>
  <c r="F210" i="1"/>
  <c r="G210" i="1"/>
  <c r="H210" i="1"/>
  <c r="I210" i="1"/>
  <c r="E174" i="1"/>
  <c r="D105" i="3" s="1"/>
  <c r="E175" i="1"/>
  <c r="E176" i="1"/>
  <c r="E178" i="1"/>
  <c r="D109" i="3" s="1"/>
  <c r="E179" i="1"/>
  <c r="E180" i="1"/>
  <c r="D111" i="3" s="1"/>
  <c r="E182" i="1"/>
  <c r="D113" i="3" s="1"/>
  <c r="E184" i="1"/>
  <c r="E186" i="1"/>
  <c r="E187" i="1"/>
  <c r="E189" i="1"/>
  <c r="D125" i="3" s="1"/>
  <c r="E191" i="1"/>
  <c r="D127" i="3" s="1"/>
  <c r="E192" i="1"/>
  <c r="D128" i="3" s="1"/>
  <c r="E193" i="1"/>
  <c r="D129" i="3" s="1"/>
  <c r="E194" i="1"/>
  <c r="D130" i="3" s="1"/>
  <c r="E195" i="1"/>
  <c r="E202" i="1"/>
  <c r="E203" i="1"/>
  <c r="E209" i="1"/>
  <c r="E172" i="1"/>
  <c r="E139" i="1"/>
  <c r="D82" i="3" s="1"/>
  <c r="E144" i="1"/>
  <c r="E147" i="1"/>
  <c r="D90" i="3" s="1"/>
  <c r="E149" i="1"/>
  <c r="D92" i="3" s="1"/>
  <c r="E151" i="1"/>
  <c r="D94" i="3" s="1"/>
  <c r="E154" i="1"/>
  <c r="D97" i="3" s="1"/>
  <c r="D98" i="3"/>
  <c r="E160" i="1"/>
  <c r="E138" i="1"/>
  <c r="K62" i="1"/>
  <c r="L62" i="1"/>
  <c r="M62" i="1"/>
  <c r="N62" i="1"/>
  <c r="O62" i="1"/>
  <c r="F62" i="1"/>
  <c r="G62" i="1"/>
  <c r="H62" i="1"/>
  <c r="I62" i="1"/>
  <c r="E77" i="1"/>
  <c r="D31" i="3" s="1"/>
  <c r="E78" i="1"/>
  <c r="D33" i="3" s="1"/>
  <c r="E81" i="1"/>
  <c r="E84" i="1"/>
  <c r="D46" i="3" s="1"/>
  <c r="E93" i="1"/>
  <c r="D55" i="3" s="1"/>
  <c r="E99" i="1"/>
  <c r="D62" i="3" s="1"/>
  <c r="E100" i="1"/>
  <c r="D63" i="3" s="1"/>
  <c r="E102" i="1"/>
  <c r="D65" i="3" s="1"/>
  <c r="E110" i="1"/>
  <c r="D73" i="3" s="1"/>
  <c r="E76" i="1"/>
  <c r="E18" i="1"/>
  <c r="D16" i="3" s="1"/>
  <c r="E21" i="1"/>
  <c r="E22" i="1"/>
  <c r="E23" i="1"/>
  <c r="D118" i="3" s="1"/>
  <c r="E24" i="1"/>
  <c r="D119" i="3" s="1"/>
  <c r="E26" i="1"/>
  <c r="D121" i="3" s="1"/>
  <c r="E27" i="1"/>
  <c r="E28" i="1"/>
  <c r="E29" i="1"/>
  <c r="E30" i="1"/>
  <c r="E31" i="1"/>
  <c r="E32" i="1"/>
  <c r="D148" i="3" s="1"/>
  <c r="E33" i="1"/>
  <c r="D149" i="3" s="1"/>
  <c r="E34" i="1"/>
  <c r="E35" i="1"/>
  <c r="D152" i="3" s="1"/>
  <c r="E36" i="1"/>
  <c r="E37" i="1"/>
  <c r="D200" i="3"/>
  <c r="D196" i="3" s="1"/>
  <c r="E46" i="1"/>
  <c r="E47" i="1"/>
  <c r="E48" i="1"/>
  <c r="E49" i="1"/>
  <c r="D223" i="3" s="1"/>
  <c r="E50" i="1"/>
  <c r="E51" i="1"/>
  <c r="E52" i="1"/>
  <c r="D232" i="3" s="1"/>
  <c r="E53" i="1"/>
  <c r="D233" i="3" s="1"/>
  <c r="E55" i="1"/>
  <c r="E57" i="1"/>
  <c r="E58" i="1"/>
  <c r="D242" i="3" s="1"/>
  <c r="D241" i="3" s="1"/>
  <c r="E16" i="1"/>
  <c r="K12" i="1"/>
  <c r="M12" i="1"/>
  <c r="N12" i="1"/>
  <c r="O12" i="1"/>
  <c r="F12" i="1"/>
  <c r="G12" i="1"/>
  <c r="H12" i="1"/>
  <c r="I12" i="1"/>
  <c r="L12" i="1"/>
  <c r="E231" i="1" l="1"/>
  <c r="E13" i="1"/>
  <c r="E12" i="1" s="1"/>
  <c r="E166" i="1"/>
  <c r="E165" i="1" s="1"/>
  <c r="E130" i="1"/>
  <c r="E284" i="1"/>
  <c r="E283" i="1" s="1"/>
  <c r="D43" i="3"/>
  <c r="E63" i="1"/>
  <c r="E62" i="1" s="1"/>
  <c r="H338" i="1"/>
  <c r="H350" i="1" s="1"/>
  <c r="F338" i="1"/>
  <c r="F350" i="1" s="1"/>
  <c r="N338" i="1"/>
  <c r="N350" i="1" s="1"/>
  <c r="D14" i="3"/>
  <c r="D12" i="3" s="1"/>
  <c r="I338" i="1"/>
  <c r="I350" i="1" s="1"/>
  <c r="G338" i="1"/>
  <c r="G350" i="1" s="1"/>
  <c r="M338" i="1"/>
  <c r="M350" i="1" s="1"/>
  <c r="D240" i="3"/>
  <c r="D238" i="3" s="1"/>
  <c r="D139" i="3"/>
  <c r="E211" i="1"/>
  <c r="E210" i="1" s="1"/>
  <c r="E310" i="1"/>
  <c r="E309" i="1" s="1"/>
  <c r="E230" i="1"/>
  <c r="D217" i="3"/>
  <c r="D122" i="3"/>
  <c r="P26" i="1"/>
  <c r="O121" i="3" s="1"/>
  <c r="D260" i="3"/>
  <c r="D154" i="3"/>
  <c r="E321" i="1"/>
  <c r="E320" i="1" s="1"/>
  <c r="E129" i="1"/>
  <c r="E220" i="1"/>
  <c r="E219" i="1" s="1"/>
  <c r="E329" i="1"/>
  <c r="E328" i="1" s="1"/>
  <c r="D150" i="3"/>
  <c r="D142" i="3"/>
  <c r="D115" i="3"/>
  <c r="D224" i="3"/>
  <c r="D153" i="3"/>
  <c r="D213" i="3"/>
  <c r="D212" i="3" s="1"/>
  <c r="D186" i="3"/>
  <c r="P203" i="1"/>
  <c r="P240" i="1"/>
  <c r="D106" i="3"/>
  <c r="D87" i="3"/>
  <c r="D77" i="3" s="1"/>
  <c r="D161" i="3"/>
  <c r="D236" i="3"/>
  <c r="D235" i="3" s="1"/>
  <c r="D162" i="3"/>
  <c r="D168" i="3"/>
  <c r="D225" i="3"/>
  <c r="P278" i="1"/>
  <c r="D158" i="3"/>
  <c r="D163" i="3"/>
  <c r="D221" i="3"/>
  <c r="D123" i="3"/>
  <c r="D216" i="3"/>
  <c r="P238" i="1"/>
  <c r="O219" i="1"/>
  <c r="D144" i="3"/>
  <c r="D131" i="3"/>
  <c r="D179" i="3"/>
  <c r="D145" i="3"/>
  <c r="D143" i="3"/>
  <c r="J219" i="1"/>
  <c r="D230" i="3"/>
  <c r="P209" i="1"/>
  <c r="D138" i="3"/>
  <c r="D110" i="3"/>
  <c r="D107" i="3"/>
  <c r="P16" i="1"/>
  <c r="P57" i="1"/>
  <c r="P53" i="1"/>
  <c r="O233" i="3" s="1"/>
  <c r="P51" i="1"/>
  <c r="P49" i="1"/>
  <c r="O223" i="3" s="1"/>
  <c r="P47" i="1"/>
  <c r="P110" i="1"/>
  <c r="O73" i="3" s="1"/>
  <c r="P102" i="1"/>
  <c r="O65" i="3" s="1"/>
  <c r="P100" i="1"/>
  <c r="O63" i="3" s="1"/>
  <c r="P84" i="1"/>
  <c r="O46" i="3" s="1"/>
  <c r="P81" i="1"/>
  <c r="P78" i="1"/>
  <c r="O33" i="3" s="1"/>
  <c r="P138" i="1"/>
  <c r="P194" i="1"/>
  <c r="O130" i="3" s="1"/>
  <c r="P192" i="1"/>
  <c r="O128" i="3" s="1"/>
  <c r="P189" i="1"/>
  <c r="O125" i="3" s="1"/>
  <c r="P186" i="1"/>
  <c r="P182" i="1"/>
  <c r="O113" i="3" s="1"/>
  <c r="P179" i="1"/>
  <c r="P176" i="1"/>
  <c r="P251" i="1"/>
  <c r="P246" i="1"/>
  <c r="P242" i="1"/>
  <c r="P295" i="1"/>
  <c r="O180" i="3" s="1"/>
  <c r="P337" i="1"/>
  <c r="O252" i="3" s="1"/>
  <c r="O251" i="3" s="1"/>
  <c r="P58" i="1"/>
  <c r="O242" i="3" s="1"/>
  <c r="O241" i="3" s="1"/>
  <c r="P55" i="1"/>
  <c r="P52" i="1"/>
  <c r="O232" i="3" s="1"/>
  <c r="P50" i="1"/>
  <c r="P48" i="1"/>
  <c r="O221" i="3" s="1"/>
  <c r="P46" i="1"/>
  <c r="P99" i="1"/>
  <c r="O62" i="3" s="1"/>
  <c r="P93" i="1"/>
  <c r="O55" i="3" s="1"/>
  <c r="P172" i="1"/>
  <c r="P195" i="1"/>
  <c r="P193" i="1"/>
  <c r="O129" i="3" s="1"/>
  <c r="P191" i="1"/>
  <c r="O127" i="3" s="1"/>
  <c r="P187" i="1"/>
  <c r="O123" i="3" s="1"/>
  <c r="P184" i="1"/>
  <c r="O115" i="3" s="1"/>
  <c r="P180" i="1"/>
  <c r="O111" i="3" s="1"/>
  <c r="P178" i="1"/>
  <c r="O109" i="3" s="1"/>
  <c r="P175" i="1"/>
  <c r="P247" i="1"/>
  <c r="P245" i="1"/>
  <c r="P244" i="1"/>
  <c r="O160" i="3" s="1"/>
  <c r="P296" i="1"/>
  <c r="O182" i="3" s="1"/>
  <c r="P330" i="1"/>
  <c r="J230" i="1"/>
  <c r="P267" i="1"/>
  <c r="P311" i="1"/>
  <c r="P312" i="1"/>
  <c r="P325" i="1"/>
  <c r="O219" i="3" s="1"/>
  <c r="J320" i="1"/>
  <c r="P334" i="1"/>
  <c r="P331" i="1"/>
  <c r="P215" i="1"/>
  <c r="O117" i="3" s="1"/>
  <c r="P214" i="1"/>
  <c r="O116" i="3" s="1"/>
  <c r="P41" i="1"/>
  <c r="O200" i="3" s="1"/>
  <c r="O196" i="3" s="1"/>
  <c r="P34" i="1"/>
  <c r="O150" i="3" s="1"/>
  <c r="P32" i="1"/>
  <c r="O148" i="3" s="1"/>
  <c r="P30" i="1"/>
  <c r="P28" i="1"/>
  <c r="P23" i="1"/>
  <c r="O118" i="3" s="1"/>
  <c r="P21" i="1"/>
  <c r="P221" i="1"/>
  <c r="P305" i="1"/>
  <c r="P319" i="1"/>
  <c r="P318" i="1" s="1"/>
  <c r="P317" i="1" s="1"/>
  <c r="P326" i="1"/>
  <c r="O220" i="3" s="1"/>
  <c r="P324" i="1"/>
  <c r="P323" i="1"/>
  <c r="O175" i="3" s="1"/>
  <c r="O174" i="3" s="1"/>
  <c r="P327" i="1"/>
  <c r="P252" i="1"/>
  <c r="P37" i="1"/>
  <c r="P35" i="1"/>
  <c r="O152" i="3" s="1"/>
  <c r="P33" i="1"/>
  <c r="O149" i="3" s="1"/>
  <c r="P31" i="1"/>
  <c r="P27" i="1"/>
  <c r="P24" i="1"/>
  <c r="O119" i="3" s="1"/>
  <c r="P22" i="1"/>
  <c r="P160" i="1"/>
  <c r="P155" i="1"/>
  <c r="O98" i="3" s="1"/>
  <c r="P154" i="1"/>
  <c r="O97" i="3" s="1"/>
  <c r="P151" i="1"/>
  <c r="O94" i="3" s="1"/>
  <c r="P149" i="1"/>
  <c r="O92" i="3" s="1"/>
  <c r="P147" i="1"/>
  <c r="O90" i="3" s="1"/>
  <c r="P144" i="1"/>
  <c r="P139" i="1"/>
  <c r="O82" i="3" s="1"/>
  <c r="J210" i="1"/>
  <c r="P226" i="1"/>
  <c r="P228" i="1"/>
  <c r="P223" i="1"/>
  <c r="P299" i="1"/>
  <c r="P294" i="1"/>
  <c r="P18" i="1"/>
  <c r="O16" i="3" s="1"/>
  <c r="P29" i="1"/>
  <c r="P241" i="1"/>
  <c r="O157" i="3" s="1"/>
  <c r="P316" i="1"/>
  <c r="P36" i="1"/>
  <c r="O153" i="3" s="1"/>
  <c r="P77" i="1"/>
  <c r="O31" i="3" s="1"/>
  <c r="P213" i="1"/>
  <c r="P225" i="1"/>
  <c r="P224" i="1"/>
  <c r="P332" i="1"/>
  <c r="P287" i="1"/>
  <c r="P292" i="1"/>
  <c r="P335" i="1"/>
  <c r="O243" i="3" s="1"/>
  <c r="J328" i="1"/>
  <c r="J62" i="1"/>
  <c r="P322" i="1"/>
  <c r="P282" i="1"/>
  <c r="P281" i="1" s="1"/>
  <c r="P280" i="1" s="1"/>
  <c r="P76" i="1"/>
  <c r="J12" i="1"/>
  <c r="P202" i="1"/>
  <c r="P231" i="1" l="1"/>
  <c r="D155" i="3"/>
  <c r="P13" i="1"/>
  <c r="O158" i="3"/>
  <c r="D228" i="3"/>
  <c r="P130" i="1"/>
  <c r="P129" i="1" s="1"/>
  <c r="O139" i="3"/>
  <c r="O186" i="3"/>
  <c r="D176" i="3"/>
  <c r="D19" i="3"/>
  <c r="O43" i="3"/>
  <c r="P63" i="1"/>
  <c r="P62" i="1" s="1"/>
  <c r="E338" i="1"/>
  <c r="O14" i="3"/>
  <c r="O12" i="3" s="1"/>
  <c r="P211" i="1"/>
  <c r="P310" i="1"/>
  <c r="O240" i="3"/>
  <c r="O238" i="3" s="1"/>
  <c r="O217" i="3"/>
  <c r="O122" i="3"/>
  <c r="D99" i="3"/>
  <c r="O260" i="3"/>
  <c r="O257" i="3" s="1"/>
  <c r="O249" i="3" s="1"/>
  <c r="O154" i="3"/>
  <c r="O146" i="3" s="1"/>
  <c r="D257" i="3"/>
  <c r="D249" i="3" s="1"/>
  <c r="D214" i="3"/>
  <c r="P220" i="1"/>
  <c r="O224" i="3"/>
  <c r="D146" i="3"/>
  <c r="O213" i="3"/>
  <c r="O212" i="3" s="1"/>
  <c r="O142" i="3"/>
  <c r="O131" i="3"/>
  <c r="O106" i="3"/>
  <c r="O87" i="3"/>
  <c r="O77" i="3" s="1"/>
  <c r="O161" i="3"/>
  <c r="O236" i="3"/>
  <c r="O235" i="3" s="1"/>
  <c r="O162" i="3"/>
  <c r="O225" i="3"/>
  <c r="O168" i="3"/>
  <c r="P329" i="1"/>
  <c r="P321" i="1"/>
  <c r="O179" i="3"/>
  <c r="O138" i="3"/>
  <c r="D141" i="3"/>
  <c r="O216" i="3"/>
  <c r="O230" i="3"/>
  <c r="O163" i="3"/>
  <c r="O145" i="3"/>
  <c r="O144" i="3"/>
  <c r="O110" i="3"/>
  <c r="O143" i="3"/>
  <c r="O107" i="3"/>
  <c r="L283" i="1"/>
  <c r="O228" i="3" l="1"/>
  <c r="O176" i="3"/>
  <c r="O19" i="3"/>
  <c r="L338" i="1"/>
  <c r="L350" i="1" s="1"/>
  <c r="D169" i="3"/>
  <c r="O214" i="3"/>
  <c r="O141" i="3"/>
  <c r="P293" i="1"/>
  <c r="P284" i="1" s="1"/>
  <c r="J283" i="1"/>
  <c r="O169" i="3" l="1"/>
  <c r="D262" i="3"/>
  <c r="E350" i="1" s="1"/>
  <c r="O167" i="3"/>
  <c r="O155" i="3" s="1"/>
  <c r="J105" i="3" l="1"/>
  <c r="J99" i="3" s="1"/>
  <c r="K338" i="1"/>
  <c r="N105" i="3"/>
  <c r="N99" i="3" s="1"/>
  <c r="O338" i="1"/>
  <c r="J174" i="1"/>
  <c r="J166" i="1" s="1"/>
  <c r="J165" i="1" s="1"/>
  <c r="N262" i="3" l="1"/>
  <c r="O350" i="1" s="1"/>
  <c r="J262" i="3"/>
  <c r="K350" i="1" s="1"/>
  <c r="I105" i="3"/>
  <c r="I99" i="3" s="1"/>
  <c r="P174" i="1"/>
  <c r="P166" i="1" s="1"/>
  <c r="P165" i="1" s="1"/>
  <c r="P12" i="1"/>
  <c r="P309" i="1"/>
  <c r="P328" i="1"/>
  <c r="I262" i="3" l="1"/>
  <c r="O105" i="3"/>
  <c r="O99" i="3" s="1"/>
  <c r="P320" i="1"/>
  <c r="P283" i="1"/>
  <c r="P230" i="1"/>
  <c r="P219" i="1"/>
  <c r="P210" i="1"/>
  <c r="P338" i="1" l="1"/>
  <c r="J338" i="1"/>
  <c r="J350" i="1" s="1"/>
  <c r="O262" i="3"/>
  <c r="C53" i="1"/>
  <c r="P350" i="1" l="1"/>
  <c r="C332" i="1"/>
  <c r="D332" i="1"/>
  <c r="B332" i="1"/>
  <c r="C268" i="1"/>
  <c r="D268" i="1"/>
  <c r="B268" i="1"/>
  <c r="C178" i="1" l="1"/>
  <c r="D178" i="1"/>
  <c r="B178" i="1"/>
  <c r="C29" i="1"/>
  <c r="B29" i="1"/>
  <c r="B151" i="1"/>
  <c r="C151" i="1"/>
  <c r="D151" i="1"/>
  <c r="B187" i="1"/>
  <c r="C187" i="1"/>
  <c r="D187" i="1"/>
  <c r="B189" i="1"/>
  <c r="C189" i="1"/>
  <c r="C182" i="1"/>
  <c r="D182" i="1"/>
  <c r="B182" i="1"/>
  <c r="C316" i="1"/>
  <c r="B316" i="1"/>
  <c r="C312" i="1"/>
  <c r="D312" i="1"/>
  <c r="B312" i="1"/>
  <c r="D155" i="1"/>
  <c r="C155" i="1"/>
  <c r="B155" i="1"/>
  <c r="C154" i="1"/>
  <c r="D154" i="1"/>
  <c r="B154" i="1"/>
  <c r="C50" i="1"/>
  <c r="B50" i="1"/>
  <c r="C209" i="1"/>
  <c r="B209" i="1"/>
  <c r="C202" i="1"/>
  <c r="D202" i="1"/>
  <c r="C203" i="1"/>
  <c r="B203" i="1"/>
  <c r="B202" i="1"/>
  <c r="C195" i="1"/>
  <c r="D195" i="1"/>
  <c r="B195" i="1"/>
  <c r="C194" i="1"/>
  <c r="D194" i="1"/>
  <c r="B194" i="1"/>
  <c r="C193" i="1"/>
  <c r="B193" i="1"/>
  <c r="C192" i="1"/>
  <c r="D192" i="1"/>
  <c r="B192" i="1"/>
  <c r="C191" i="1"/>
  <c r="D191" i="1"/>
  <c r="B191" i="1"/>
  <c r="C186" i="1"/>
  <c r="D186" i="1"/>
  <c r="B186" i="1"/>
  <c r="C184" i="1"/>
  <c r="D184" i="1"/>
  <c r="B184" i="1"/>
  <c r="C180" i="1"/>
  <c r="D180" i="1"/>
  <c r="B180" i="1"/>
  <c r="C179" i="1"/>
  <c r="D179" i="1"/>
  <c r="B179" i="1"/>
  <c r="C176" i="1"/>
  <c r="D176" i="1"/>
  <c r="B176" i="1"/>
  <c r="C175" i="1"/>
  <c r="B175" i="1"/>
  <c r="C174" i="1"/>
  <c r="D174" i="1"/>
  <c r="B174" i="1"/>
  <c r="C160" i="1"/>
  <c r="B160" i="1"/>
  <c r="C149" i="1"/>
  <c r="D149" i="1"/>
  <c r="B149" i="1"/>
  <c r="C147" i="1"/>
  <c r="B147" i="1"/>
  <c r="C144" i="1"/>
  <c r="B144" i="1"/>
  <c r="C139" i="1"/>
  <c r="B139" i="1"/>
  <c r="C100" i="1"/>
  <c r="C102" i="1"/>
  <c r="C78" i="1"/>
  <c r="B78" i="1"/>
  <c r="C77" i="1"/>
  <c r="B77" i="1"/>
  <c r="C58" i="1"/>
  <c r="D58" i="1"/>
  <c r="B58" i="1"/>
  <c r="C57" i="1"/>
  <c r="D57" i="1"/>
  <c r="B57" i="1"/>
  <c r="C55" i="1"/>
  <c r="D55" i="1"/>
  <c r="B55" i="1"/>
  <c r="B53" i="1"/>
  <c r="C52" i="1"/>
  <c r="D52" i="1"/>
  <c r="B52" i="1"/>
  <c r="C51" i="1"/>
  <c r="D51" i="1"/>
  <c r="B51" i="1"/>
  <c r="C49" i="1"/>
  <c r="D49" i="1"/>
  <c r="B49" i="1"/>
  <c r="C48" i="1"/>
  <c r="B48" i="1"/>
  <c r="C47" i="1"/>
  <c r="D47" i="1"/>
  <c r="B47" i="1"/>
  <c r="C46" i="1"/>
  <c r="B46" i="1"/>
  <c r="C41" i="1"/>
  <c r="D41" i="1"/>
  <c r="B41" i="1"/>
  <c r="C27" i="1"/>
  <c r="C28" i="1"/>
  <c r="B28" i="1"/>
  <c r="B27" i="1"/>
  <c r="C30" i="1"/>
  <c r="C31" i="1"/>
  <c r="B30" i="1"/>
  <c r="C37" i="1"/>
  <c r="D37" i="1"/>
  <c r="B37" i="1"/>
  <c r="C36" i="1"/>
  <c r="B36" i="1"/>
  <c r="C35" i="1"/>
  <c r="B35" i="1"/>
  <c r="C34" i="1"/>
  <c r="B34" i="1"/>
  <c r="C33" i="1"/>
  <c r="B33" i="1"/>
  <c r="C32" i="1"/>
  <c r="B32" i="1"/>
  <c r="C26" i="1"/>
  <c r="B26" i="1"/>
  <c r="C24" i="1"/>
  <c r="D24" i="1"/>
  <c r="B24" i="1"/>
  <c r="C23" i="1"/>
  <c r="B23" i="1"/>
  <c r="C22" i="1"/>
  <c r="D22" i="1"/>
  <c r="B22" i="1"/>
  <c r="C21" i="1"/>
  <c r="B21" i="1"/>
  <c r="C18" i="1"/>
  <c r="D18" i="1"/>
  <c r="B18" i="1"/>
  <c r="D215" i="1"/>
  <c r="C215" i="1"/>
  <c r="B215" i="1"/>
  <c r="C223" i="1"/>
  <c r="D223" i="1"/>
  <c r="B223" i="1"/>
  <c r="C225" i="1"/>
  <c r="D225" i="1"/>
  <c r="C226" i="1"/>
  <c r="D226" i="1"/>
  <c r="B226" i="1"/>
  <c r="B225" i="1"/>
  <c r="C228" i="1"/>
  <c r="B228" i="1"/>
  <c r="C240" i="1"/>
  <c r="D240" i="1"/>
  <c r="B240" i="1"/>
  <c r="C245" i="1"/>
  <c r="D245" i="1"/>
  <c r="B245" i="1"/>
  <c r="C244" i="1"/>
  <c r="D244" i="1"/>
  <c r="B244" i="1"/>
  <c r="C242" i="1"/>
  <c r="D242" i="1"/>
  <c r="B242" i="1"/>
  <c r="C241" i="1"/>
  <c r="D241" i="1"/>
  <c r="B241" i="1"/>
  <c r="C246" i="1"/>
  <c r="D246" i="1"/>
  <c r="B246" i="1"/>
  <c r="C247" i="1"/>
  <c r="D247" i="1"/>
  <c r="B247" i="1"/>
  <c r="C251" i="1"/>
  <c r="D251" i="1"/>
  <c r="B251" i="1"/>
  <c r="C252" i="1"/>
  <c r="B252" i="1"/>
  <c r="C253" i="1"/>
  <c r="B253" i="1"/>
  <c r="C267" i="1"/>
  <c r="B267" i="1"/>
  <c r="C273" i="1"/>
  <c r="D273" i="1"/>
  <c r="B273" i="1"/>
  <c r="C278" i="1"/>
  <c r="B278" i="1"/>
  <c r="C292" i="1"/>
  <c r="D292" i="1"/>
  <c r="B292" i="1"/>
  <c r="C293" i="1"/>
  <c r="B293" i="1"/>
  <c r="C294" i="1"/>
  <c r="D294" i="1"/>
  <c r="B294" i="1"/>
  <c r="C296" i="1"/>
  <c r="B296" i="1"/>
  <c r="C295" i="1"/>
  <c r="B295" i="1"/>
  <c r="C299" i="1"/>
  <c r="B299" i="1"/>
  <c r="C305" i="1"/>
  <c r="B305" i="1"/>
  <c r="C323" i="1"/>
  <c r="D323" i="1"/>
  <c r="B323" i="1"/>
  <c r="C324" i="1"/>
  <c r="D324" i="1"/>
  <c r="B324" i="1"/>
  <c r="C325" i="1"/>
  <c r="D325" i="1"/>
  <c r="B325" i="1"/>
  <c r="C326" i="1"/>
  <c r="D326" i="1"/>
  <c r="B326" i="1"/>
  <c r="C327" i="1"/>
  <c r="D327" i="1"/>
  <c r="B327" i="1"/>
  <c r="C331" i="1"/>
  <c r="B331" i="1"/>
  <c r="C334" i="1"/>
  <c r="D334" i="1"/>
  <c r="B334" i="1"/>
  <c r="C335" i="1"/>
  <c r="D335" i="1"/>
  <c r="B335" i="1"/>
  <c r="C336" i="1"/>
  <c r="D336" i="1"/>
  <c r="C337" i="1"/>
  <c r="D337" i="1"/>
  <c r="B337" i="1"/>
  <c r="C330" i="1"/>
  <c r="B330" i="1"/>
  <c r="C322" i="1"/>
  <c r="B322" i="1"/>
  <c r="C319" i="1"/>
  <c r="B319" i="1"/>
  <c r="C311" i="1"/>
  <c r="B311" i="1"/>
  <c r="C287" i="1"/>
  <c r="B287" i="1"/>
  <c r="C282" i="1"/>
  <c r="B282" i="1"/>
  <c r="C238" i="1"/>
  <c r="B238" i="1"/>
  <c r="C221" i="1"/>
  <c r="B221" i="1"/>
  <c r="C213" i="1"/>
  <c r="B213" i="1"/>
  <c r="C172" i="1"/>
  <c r="B172" i="1"/>
  <c r="C138" i="1"/>
  <c r="B138" i="1"/>
  <c r="C76" i="1"/>
  <c r="B76" i="1"/>
  <c r="C16" i="1"/>
  <c r="B16" i="1"/>
  <c r="E79" i="3" l="1"/>
  <c r="D79" i="3" l="1"/>
  <c r="I79" i="3"/>
  <c r="O79" i="3" l="1"/>
  <c r="D78" i="3" l="1"/>
  <c r="I81" i="3"/>
  <c r="I80" i="3"/>
  <c r="O81" i="3"/>
  <c r="O80" i="3" l="1"/>
  <c r="I78" i="3"/>
  <c r="O78" i="3" l="1"/>
  <c r="I197" i="3" l="1"/>
  <c r="I171" i="3" s="1"/>
  <c r="I264" i="3" s="1"/>
  <c r="J352" i="1" s="1"/>
  <c r="D197" i="3"/>
  <c r="D171" i="3" s="1"/>
  <c r="D264" i="3" s="1"/>
  <c r="E352" i="1" s="1"/>
  <c r="O197" i="3" l="1"/>
  <c r="O171" i="3" s="1"/>
  <c r="O264" i="3" s="1"/>
  <c r="P352" i="1" s="1"/>
  <c r="D170" i="3" l="1"/>
  <c r="I177" i="3" l="1"/>
  <c r="I263" i="3" s="1"/>
  <c r="J351" i="1" s="1"/>
  <c r="O177" i="3"/>
  <c r="O263" i="3" s="1"/>
  <c r="P351" i="1" s="1"/>
  <c r="O170" i="3" l="1"/>
  <c r="I170" i="3"/>
</calcChain>
</file>

<file path=xl/sharedStrings.xml><?xml version="1.0" encoding="utf-8"?>
<sst xmlns="http://schemas.openxmlformats.org/spreadsheetml/2006/main" count="1055" uniqueCount="634">
  <si>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</si>
  <si>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</si>
  <si>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</si>
  <si>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</si>
  <si>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</si>
  <si>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</si>
  <si>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</si>
  <si>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</si>
  <si>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</si>
  <si>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</si>
  <si>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</si>
  <si>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</si>
  <si>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</si>
  <si>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</si>
  <si>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</si>
  <si>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</si>
  <si>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</si>
  <si>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</si>
  <si>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</si>
  <si>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</si>
  <si>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</si>
  <si>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</si>
  <si>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</si>
  <si>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</si>
  <si>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</si>
  <si>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</si>
  <si>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</si>
  <si>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</si>
  <si>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</si>
  <si>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</si>
  <si>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</si>
  <si>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</si>
  <si>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</si>
  <si>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</si>
  <si>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</si>
  <si>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</si>
  <si>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</si>
  <si>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</si>
  <si>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</si>
  <si>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</si>
  <si>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</si>
  <si>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</si>
  <si>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</si>
  <si>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</si>
  <si>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</si>
  <si>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</si>
  <si>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</si>
  <si>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</si>
  <si>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</si>
  <si>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</si>
  <si>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</si>
  <si>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</si>
  <si>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</si>
  <si>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</si>
  <si>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</si>
  <si>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</si>
  <si>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</si>
  <si>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</si>
  <si>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</si>
  <si>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</si>
  <si>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</si>
  <si>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</si>
  <si>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</si>
  <si>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</si>
  <si>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</si>
  <si>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</si>
  <si>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</si>
  <si>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</si>
  <si>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</si>
  <si>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</si>
  <si>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</si>
  <si>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</si>
  <si>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</si>
  <si>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</si>
  <si>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</si>
  <si>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</si>
  <si>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</si>
  <si>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</si>
  <si>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</si>
  <si>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</si>
  <si>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</si>
  <si>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</si>
  <si>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</si>
  <si>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</si>
  <si>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</si>
  <si>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</si>
  <si>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</si>
  <si>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</si>
  <si>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</si>
  <si>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</si>
  <si>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</si>
  <si>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</si>
  <si>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</si>
  <si>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</si>
  <si>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</si>
  <si>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</si>
  <si>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</si>
  <si>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</si>
  <si>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</si>
  <si>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</si>
  <si>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</si>
  <si>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</si>
  <si>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</si>
  <si>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</si>
  <si>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</si>
  <si>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</si>
  <si>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</si>
  <si>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</si>
  <si>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</si>
  <si>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</si>
  <si>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</si>
  <si>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</si>
  <si>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</si>
  <si>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</si>
  <si>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</si>
  <si>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</si>
  <si>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</si>
  <si>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</si>
  <si>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</si>
  <si>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</si>
  <si>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</si>
  <si>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</si>
  <si>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</si>
  <si>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</si>
  <si>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</si>
  <si>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</si>
  <si>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</si>
  <si>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</si>
  <si>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</si>
  <si>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</si>
  <si>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</si>
  <si>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</si>
  <si>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</si>
  <si>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</si>
  <si>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</si>
  <si>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</si>
  <si>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</si>
  <si>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</si>
  <si>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</si>
  <si>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</si>
  <si>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</si>
  <si>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</si>
  <si>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</si>
  <si>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</si>
  <si>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</si>
  <si>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</si>
  <si>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</si>
  <si>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</si>
  <si>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</si>
  <si>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</si>
  <si>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</si>
  <si>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</si>
  <si>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</si>
  <si>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</si>
  <si>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</si>
  <si>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</si>
  <si>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</si>
  <si>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</si>
  <si>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</si>
  <si>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</si>
  <si>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</si>
  <si>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</si>
  <si>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</si>
  <si>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</si>
  <si>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</si>
  <si>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</si>
  <si>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</si>
  <si>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</si>
  <si>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</si>
  <si>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</si>
  <si>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</si>
  <si>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</si>
  <si>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</si>
  <si>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</si>
  <si>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</si>
  <si>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</si>
  <si>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</si>
  <si>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</si>
  <si>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</si>
  <si>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</si>
  <si>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</si>
  <si>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</si>
  <si>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</si>
  <si>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</si>
  <si>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</si>
  <si>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</si>
  <si>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</si>
  <si>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</si>
  <si>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</si>
  <si>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</si>
  <si>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</si>
  <si>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</si>
  <si>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</si>
  <si>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</si>
  <si>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</si>
  <si>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</si>
  <si>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</si>
  <si>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</si>
  <si>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</si>
  <si>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</si>
  <si>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</si>
  <si>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</si>
  <si>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</si>
  <si>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</si>
  <si>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</si>
  <si>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</si>
  <si>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</si>
  <si>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</si>
  <si>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</si>
  <si>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</si>
  <si>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</si>
  <si>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</si>
  <si>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</si>
  <si>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</si>
  <si>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</si>
  <si>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</si>
  <si>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</si>
  <si>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</si>
  <si>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</si>
  <si>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</si>
  <si>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</si>
  <si>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</si>
  <si>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</si>
  <si>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</si>
  <si>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</si>
  <si>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</si>
  <si>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</si>
  <si>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</si>
  <si>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</si>
  <si>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</si>
  <si>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</si>
  <si>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</si>
  <si>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</si>
  <si>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</si>
  <si>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</si>
  <si>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</si>
  <si>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</si>
  <si>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</si>
  <si>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</si>
  <si>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</si>
  <si>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</si>
  <si>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</si>
  <si>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</si>
  <si>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</si>
  <si>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</si>
  <si>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</si>
  <si>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</si>
  <si>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</si>
  <si>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</si>
  <si>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</si>
  <si>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</si>
  <si>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</si>
  <si>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</si>
  <si>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</si>
  <si>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</si>
  <si>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</si>
  <si>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</si>
  <si>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</si>
  <si>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</si>
  <si>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</si>
  <si>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</si>
  <si>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</si>
  <si>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</si>
  <si>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</si>
  <si>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</si>
  <si>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</si>
  <si>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</si>
  <si>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</si>
  <si>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</si>
  <si>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</si>
  <si>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</si>
  <si>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</si>
  <si>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</si>
  <si>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</si>
  <si>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</si>
  <si>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</si>
  <si>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</si>
  <si>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</si>
  <si>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</si>
  <si>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</si>
  <si>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</si>
  <si>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</si>
  <si>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</si>
  <si>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</si>
  <si>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</si>
  <si>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</si>
  <si>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</si>
  <si>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</si>
  <si>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</si>
  <si>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</si>
  <si>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</si>
  <si>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</si>
  <si>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</si>
  <si>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</si>
  <si>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</si>
  <si>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</si>
  <si>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</si>
  <si>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</si>
  <si>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</si>
  <si>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</si>
  <si>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</si>
  <si>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</si>
  <si>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</si>
  <si>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</si>
  <si>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</si>
  <si>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</si>
  <si>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</si>
  <si>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</si>
  <si>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</si>
  <si>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</si>
  <si>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</si>
  <si>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</si>
  <si>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</si>
  <si>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</si>
  <si>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</si>
  <si>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</si>
  <si>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</si>
  <si>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</si>
  <si>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</si>
  <si>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</si>
  <si>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</si>
  <si>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</si>
  <si>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</si>
  <si>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</si>
  <si>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</si>
  <si>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</si>
  <si>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</si>
  <si>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</si>
  <si>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</si>
  <si>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</si>
  <si>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</si>
  <si>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</si>
  <si>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</si>
  <si>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</si>
  <si>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</si>
  <si>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</si>
  <si>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</si>
  <si>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</si>
  <si>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</si>
  <si>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</si>
  <si>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</si>
  <si>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</si>
  <si>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</si>
  <si>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</si>
  <si>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</si>
  <si>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</si>
  <si>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</si>
  <si>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</si>
  <si>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</si>
  <si>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</si>
  <si>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</si>
  <si>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</si>
  <si>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</si>
  <si>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</si>
  <si>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</si>
  <si>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</si>
  <si>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</si>
  <si>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</si>
  <si>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</si>
  <si>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</si>
  <si>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</si>
  <si>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</si>
  <si>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</si>
  <si>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</si>
  <si>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</si>
  <si>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</si>
  <si>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</si>
  <si>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</si>
  <si>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</si>
  <si>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</si>
  <si>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</si>
  <si>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</si>
  <si>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</si>
  <si>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</si>
  <si>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</si>
  <si>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</si>
  <si>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</si>
  <si>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</si>
  <si>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</si>
  <si>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</si>
  <si>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</si>
  <si>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</si>
  <si>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</si>
  <si>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</si>
  <si>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</si>
  <si>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</si>
  <si>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</si>
  <si>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</si>
  <si>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</si>
  <si>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</si>
  <si>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</si>
  <si>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</si>
  <si>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</si>
  <si>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</si>
  <si>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</si>
  <si>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</si>
  <si>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</si>
  <si>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</si>
  <si>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</si>
  <si>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</si>
  <si>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</si>
  <si>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</si>
  <si>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</si>
  <si>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</si>
  <si>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</si>
  <si>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</si>
  <si>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</si>
  <si>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</si>
  <si>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</si>
  <si>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</si>
  <si>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</si>
  <si>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</si>
  <si>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</si>
  <si>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</si>
  <si>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</si>
  <si>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</si>
  <si>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</si>
  <si>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</si>
  <si>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</si>
  <si>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</si>
  <si>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</si>
  <si>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</si>
  <si>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</si>
  <si>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</si>
  <si>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</si>
  <si>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</si>
  <si>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</si>
  <si>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</si>
  <si>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</si>
  <si>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</si>
  <si>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</si>
  <si>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</si>
  <si>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</si>
  <si>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</si>
  <si>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</si>
  <si>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</si>
  <si>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</si>
  <si>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</si>
  <si>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</si>
  <si>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</si>
  <si>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</si>
  <si>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</si>
  <si>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</si>
  <si>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</si>
  <si>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</si>
  <si>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</si>
  <si>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</si>
  <si>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</si>
  <si>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</si>
  <si>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</si>
  <si>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</si>
  <si>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</si>
  <si>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</si>
  <si>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</si>
  <si>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</si>
  <si>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</si>
  <si>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</si>
  <si>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</si>
  <si>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</si>
  <si>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</si>
  <si>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</si>
  <si>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</si>
  <si>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</si>
  <si>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</si>
  <si>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</si>
  <si>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</si>
  <si>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</si>
  <si>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</si>
  <si>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</si>
  <si>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</si>
  <si>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</si>
  <si>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</si>
  <si>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</si>
  <si>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</si>
  <si>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</si>
  <si>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</si>
  <si>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</si>
  <si>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</si>
  <si>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</si>
  <si>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</si>
  <si>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</si>
  <si>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</si>
  <si>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</si>
  <si>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</si>
  <si>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</si>
  <si>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</si>
  <si>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</si>
  <si>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</si>
  <si>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</si>
  <si>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</si>
  <si>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</si>
  <si>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</si>
  <si>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</si>
  <si>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</si>
  <si>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</si>
  <si>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</si>
  <si>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</si>
  <si>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</si>
  <si>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</si>
  <si>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</si>
  <si>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</si>
  <si>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</si>
  <si>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</si>
  <si>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</si>
  <si>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</si>
  <si>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</si>
  <si>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</si>
  <si>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</si>
  <si>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</si>
  <si>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</si>
  <si>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</si>
  <si>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</si>
  <si>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</si>
  <si>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</si>
  <si>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</si>
  <si>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</si>
  <si>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</si>
  <si>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</si>
  <si>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</si>
  <si>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</si>
  <si>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</si>
  <si>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</si>
  <si>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</si>
  <si>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</si>
  <si>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</si>
  <si>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</si>
  <si>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</si>
  <si>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</si>
  <si>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</si>
  <si>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</si>
  <si>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</si>
  <si>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</si>
  <si>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</si>
  <si>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</si>
  <si>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</si>
  <si>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</si>
  <si>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</si>
  <si>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</si>
  <si>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</si>
  <si>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</si>
  <si>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</si>
  <si>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</si>
  <si>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</si>
  <si>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</si>
  <si>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</si>
  <si>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</si>
  <si>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</si>
  <si>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</si>
  <si>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</si>
  <si>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</si>
  <si>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</si>
  <si>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</si>
  <si>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</si>
  <si>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</si>
  <si>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</si>
  <si>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</si>
  <si>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</si>
  <si>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</si>
  <si>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</si>
  <si>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</si>
  <si>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</si>
  <si>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</si>
  <si>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</si>
  <si>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</si>
  <si>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</si>
  <si>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</si>
  <si>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</si>
  <si>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</si>
  <si>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</si>
  <si>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</si>
  <si>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</si>
  <si>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</si>
  <si>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</si>
  <si>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РОЗПОДІЛ
видатків бюджету Сумської міської територіальної громади на 2022 рік за головними розпорядниками бюджетних коштів </t>
  </si>
  <si>
    <t>РОЗПОДІЛ
видатків бюджету Сумської міської територіальної громади на 2022 рік за програмною класифікацією видатків та кредитування місцевого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</si>
  <si>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</si>
  <si>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</si>
  <si>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</si>
  <si>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</si>
  <si>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</si>
  <si>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</si>
  <si>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</si>
  <si>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</si>
  <si>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</si>
  <si>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</si>
  <si>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</si>
  <si>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Управління охорони здоров’я Сумської міської ради</t>
  </si>
  <si>
    <t>Багатопрофільна стаціонарна медична допомога населенню</t>
  </si>
  <si>
    <t>Охорона здоров’я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</si>
  <si>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</si>
  <si>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</si>
  <si>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</si>
  <si>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</si>
  <si>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</si>
  <si>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</si>
  <si>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</si>
  <si>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</si>
  <si>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</si>
  <si>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Внески до статутного капіталу суб'єктів господарювання, у т. ч. за рахунок: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</si>
  <si>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</si>
  <si>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</si>
  <si>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</si>
  <si>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</si>
  <si>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</si>
  <si>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</si>
  <si>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</si>
  <si>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</si>
  <si>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</si>
  <si>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</si>
  <si>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</si>
  <si>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</si>
  <si>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</si>
  <si>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</si>
  <si>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</si>
  <si>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</si>
  <si>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</si>
  <si>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</si>
  <si>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</si>
  <si>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</si>
  <si>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</si>
  <si>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</si>
  <si>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</si>
  <si>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</si>
  <si>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 xml:space="preserve">                              Додаток 3</t>
  </si>
  <si>
    <t>до       рішення      Виконавчого комітету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</si>
  <si>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</si>
  <si>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</si>
  <si>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</si>
  <si>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</si>
  <si>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</si>
  <si>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Директор Департаменту фінансів, економіки та інвестицій</t>
  </si>
  <si>
    <t>С.А. Липова</t>
  </si>
  <si>
    <t xml:space="preserve">                              Додаток 7</t>
  </si>
  <si>
    <r>
      <t xml:space="preserve">від </t>
    </r>
    <r>
      <rPr>
        <sz val="23"/>
        <color theme="0"/>
        <rFont val="Times New Roman"/>
        <family val="1"/>
        <charset val="204"/>
      </rPr>
      <t>11.05.2022</t>
    </r>
    <r>
      <rPr>
        <sz val="23"/>
        <rFont val="Times New Roman"/>
        <family val="1"/>
        <charset val="204"/>
      </rPr>
      <t xml:space="preserve"> №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</si>
</sst>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sz val="18"/>
      <name val="Times New Roman"/>
      <family val="1"/>
      <charset val="204"/>
    </font>
    <font>
      <sz val="23"/>
      <color theme="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95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4" fontId="29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49" fillId="0" borderId="0" xfId="0" applyNumberFormat="1" applyFont="1" applyFill="1" applyBorder="1" applyAlignment="1">
      <alignment horizontal="right"/>
    </xf>
    <xf numFmtId="0" fontId="31" fillId="0" borderId="7" xfId="0" applyFont="1" applyFill="1" applyBorder="1" applyAlignment="1">
      <alignment vertical="center" wrapText="1"/>
    </xf>
    <xf numFmtId="49" fontId="49" fillId="0" borderId="0" xfId="0" applyNumberFormat="1" applyFont="1" applyFill="1" applyBorder="1" applyAlignment="1"/>
    <xf numFmtId="49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wrapText="1"/>
    </xf>
    <xf numFmtId="3" fontId="50" fillId="0" borderId="0" xfId="0" applyNumberFormat="1" applyFont="1" applyFill="1" applyAlignment="1"/>
    <xf numFmtId="3" fontId="50" fillId="0" borderId="0" xfId="0" applyNumberFormat="1" applyFont="1" applyFill="1" applyBorder="1" applyAlignment="1"/>
    <xf numFmtId="1" fontId="52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2" fontId="37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Border="1" applyAlignment="1" applyProtection="1">
      <alignment horizontal="left" wrapText="1"/>
    </xf>
    <xf numFmtId="2" fontId="37" fillId="0" borderId="0" xfId="0" applyNumberFormat="1" applyFont="1" applyFill="1" applyBorder="1"/>
    <xf numFmtId="2" fontId="23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right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4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left" wrapText="1"/>
    </xf>
    <xf numFmtId="4" fontId="50" fillId="0" borderId="0" xfId="0" applyNumberFormat="1" applyFont="1" applyFill="1" applyAlignment="1"/>
    <xf numFmtId="4" fontId="50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center"/>
    </xf>
    <xf numFmtId="4" fontId="51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37" fillId="0" borderId="7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 applyProtection="1">
      <alignment horizontal="left" wrapText="1"/>
    </xf>
    <xf numFmtId="4" fontId="28" fillId="0" borderId="0" xfId="0" applyNumberFormat="1" applyFont="1" applyFill="1" applyBorder="1" applyAlignment="1" applyProtection="1">
      <alignment horizontal="left" wrapText="1"/>
    </xf>
    <xf numFmtId="4" fontId="28" fillId="0" borderId="0" xfId="0" applyNumberFormat="1" applyFont="1" applyFill="1" applyBorder="1"/>
    <xf numFmtId="4" fontId="53" fillId="0" borderId="0" xfId="0" applyNumberFormat="1" applyFont="1" applyFill="1" applyAlignment="1"/>
    <xf numFmtId="4" fontId="53" fillId="0" borderId="0" xfId="0" applyNumberFormat="1" applyFont="1" applyFill="1" applyAlignment="1">
      <alignment vertical="center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1" fontId="31" fillId="0" borderId="0" xfId="0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right" wrapText="1"/>
    </xf>
    <xf numFmtId="2" fontId="54" fillId="0" borderId="0" xfId="0" applyNumberFormat="1" applyFont="1" applyFill="1" applyBorder="1" applyAlignment="1">
      <alignment horizontal="center" vertical="center" textRotation="180"/>
    </xf>
    <xf numFmtId="1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/>
    </xf>
    <xf numFmtId="3" fontId="54" fillId="0" borderId="0" xfId="0" applyNumberFormat="1" applyFont="1" applyFill="1" applyBorder="1" applyAlignment="1">
      <alignment horizontal="center" vertical="center" textRotation="180"/>
    </xf>
    <xf numFmtId="0" fontId="28" fillId="0" borderId="0" xfId="0" applyFont="1" applyFill="1" applyBorder="1" applyAlignment="1">
      <alignment horizontal="center" vertical="center" textRotation="180"/>
    </xf>
    <xf numFmtId="4" fontId="21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3" fontId="54" fillId="0" borderId="10" xfId="0" applyNumberFormat="1" applyFont="1" applyFill="1" applyBorder="1" applyAlignment="1">
      <alignment horizontal="center" vertical="center" textRotation="180"/>
    </xf>
    <xf numFmtId="3" fontId="54" fillId="0" borderId="0" xfId="0" applyNumberFormat="1" applyFont="1" applyFill="1" applyBorder="1" applyAlignment="1">
      <alignment horizontal="center" vertical="center" textRotation="180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" fontId="46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49" fontId="28" fillId="0" borderId="0" xfId="0" applyNumberFormat="1" applyFont="1" applyFill="1" applyBorder="1" applyAlignment="1" applyProtection="1"/>
    <xf numFmtId="49" fontId="45" fillId="0" borderId="0" xfId="0" applyNumberFormat="1" applyFont="1" applyFill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>
      <alignment horizontal="center" vertical="center" textRotation="180"/>
    </xf>
    <xf numFmtId="0" fontId="28" fillId="0" borderId="0" xfId="0" applyFont="1" applyFill="1" applyBorder="1" applyAlignment="1">
      <alignment horizontal="center" vertical="center" textRotation="180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19"/>
  <sheetViews>
    <sheetView showGridLines="0" showZeros="0" tabSelected="1" view="pageBreakPreview" topLeftCell="A241" zoomScale="55" zoomScaleNormal="82" zoomScaleSheetLayoutView="55" workbookViewId="0">
      <selection activeCell="F250" sqref="F250"/>
    </sheetView>
  </sheetViews>
  <sheetFormatPr defaultColWidth="9.1640625" defaultRowHeight="15" x14ac:dyDescent="0.25"/>
  <cols>
    <col min="1" max="1" width="16.1640625" style="54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129" customWidth="1"/>
    <col min="6" max="6" width="22.5" style="129" customWidth="1"/>
    <col min="7" max="7" width="23.83203125" style="129" customWidth="1"/>
    <col min="8" max="8" width="21.5" style="129" customWidth="1"/>
    <col min="9" max="9" width="22.1640625" style="129" customWidth="1"/>
    <col min="10" max="10" width="20.5" style="129" customWidth="1"/>
    <col min="11" max="11" width="22.5" style="129" customWidth="1"/>
    <col min="12" max="12" width="20" style="129" customWidth="1"/>
    <col min="13" max="13" width="19.5" style="129" customWidth="1"/>
    <col min="14" max="14" width="18" style="129" customWidth="1"/>
    <col min="15" max="15" width="21.1640625" style="129" customWidth="1"/>
    <col min="16" max="16" width="23" style="152" bestFit="1" customWidth="1"/>
    <col min="17" max="17" width="6.6640625" style="174" customWidth="1"/>
    <col min="18" max="18" width="12.33203125" style="28" bestFit="1" customWidth="1"/>
    <col min="19" max="525" width="9.1640625" style="28"/>
    <col min="526" max="16384" width="9.1640625" style="20"/>
  </cols>
  <sheetData>
    <row r="1" spans="1:525" ht="26.25" customHeight="1" x14ac:dyDescent="0.4">
      <c r="K1" s="163" t="s">
        <v>623</v>
      </c>
      <c r="L1" s="163"/>
      <c r="M1" s="163"/>
      <c r="N1" s="163"/>
      <c r="O1" s="163"/>
      <c r="P1" s="163"/>
      <c r="Q1" s="179">
        <v>13</v>
      </c>
    </row>
    <row r="2" spans="1:525" ht="26.25" customHeight="1" x14ac:dyDescent="0.25">
      <c r="K2" s="164" t="s">
        <v>624</v>
      </c>
      <c r="L2" s="164"/>
      <c r="M2" s="164"/>
      <c r="N2" s="164"/>
      <c r="O2" s="164"/>
      <c r="P2" s="164"/>
      <c r="Q2" s="179"/>
    </row>
    <row r="3" spans="1:525" ht="29.25" customHeight="1" x14ac:dyDescent="0.4">
      <c r="K3" s="163" t="s">
        <v>633</v>
      </c>
      <c r="L3" s="163"/>
      <c r="M3" s="163"/>
      <c r="N3" s="163"/>
      <c r="O3" s="163"/>
      <c r="P3" s="163"/>
      <c r="Q3" s="179"/>
    </row>
    <row r="4" spans="1:525" ht="26.25" x14ac:dyDescent="0.4">
      <c r="L4" s="130"/>
      <c r="M4" s="130"/>
      <c r="N4" s="130"/>
      <c r="O4" s="130"/>
      <c r="P4" s="130"/>
      <c r="Q4" s="179"/>
    </row>
    <row r="5" spans="1:525" s="44" customFormat="1" ht="71.25" customHeight="1" x14ac:dyDescent="0.3">
      <c r="A5" s="182" t="s">
        <v>573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79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</row>
    <row r="6" spans="1:525" s="44" customFormat="1" ht="23.25" customHeight="1" x14ac:dyDescent="0.35">
      <c r="A6" s="186" t="s">
        <v>552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79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</row>
    <row r="7" spans="1:525" s="44" customFormat="1" ht="19.5" customHeight="1" x14ac:dyDescent="0.3">
      <c r="A7" s="187" t="s">
        <v>551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79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</row>
    <row r="8" spans="1:525" s="46" customFormat="1" ht="22.5" customHeight="1" x14ac:dyDescent="0.3">
      <c r="A8" s="52"/>
      <c r="B8" s="48"/>
      <c r="C8" s="48"/>
      <c r="D8" s="19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2" t="s">
        <v>353</v>
      </c>
      <c r="Q8" s="179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</row>
    <row r="9" spans="1:525" s="21" customFormat="1" ht="34.5" customHeight="1" x14ac:dyDescent="0.2">
      <c r="A9" s="183" t="s">
        <v>331</v>
      </c>
      <c r="B9" s="184" t="s">
        <v>332</v>
      </c>
      <c r="C9" s="184" t="s">
        <v>322</v>
      </c>
      <c r="D9" s="184" t="s">
        <v>333</v>
      </c>
      <c r="E9" s="181" t="s">
        <v>221</v>
      </c>
      <c r="F9" s="181"/>
      <c r="G9" s="181"/>
      <c r="H9" s="181"/>
      <c r="I9" s="181"/>
      <c r="J9" s="181" t="s">
        <v>222</v>
      </c>
      <c r="K9" s="181"/>
      <c r="L9" s="181"/>
      <c r="M9" s="181"/>
      <c r="N9" s="181"/>
      <c r="O9" s="181"/>
      <c r="P9" s="181" t="s">
        <v>223</v>
      </c>
      <c r="Q9" s="17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</row>
    <row r="10" spans="1:525" s="21" customFormat="1" ht="19.5" customHeight="1" x14ac:dyDescent="0.2">
      <c r="A10" s="183"/>
      <c r="B10" s="184"/>
      <c r="C10" s="184"/>
      <c r="D10" s="184"/>
      <c r="E10" s="180" t="s">
        <v>323</v>
      </c>
      <c r="F10" s="180" t="s">
        <v>224</v>
      </c>
      <c r="G10" s="185" t="s">
        <v>225</v>
      </c>
      <c r="H10" s="185"/>
      <c r="I10" s="180" t="s">
        <v>226</v>
      </c>
      <c r="J10" s="180" t="s">
        <v>323</v>
      </c>
      <c r="K10" s="180" t="s">
        <v>324</v>
      </c>
      <c r="L10" s="180" t="s">
        <v>224</v>
      </c>
      <c r="M10" s="185" t="s">
        <v>225</v>
      </c>
      <c r="N10" s="185"/>
      <c r="O10" s="180" t="s">
        <v>226</v>
      </c>
      <c r="P10" s="181"/>
      <c r="Q10" s="17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</row>
    <row r="11" spans="1:525" s="21" customFormat="1" ht="88.5" customHeight="1" x14ac:dyDescent="0.2">
      <c r="A11" s="183"/>
      <c r="B11" s="184"/>
      <c r="C11" s="184"/>
      <c r="D11" s="184"/>
      <c r="E11" s="180"/>
      <c r="F11" s="180"/>
      <c r="G11" s="165" t="s">
        <v>227</v>
      </c>
      <c r="H11" s="165" t="s">
        <v>228</v>
      </c>
      <c r="I11" s="180"/>
      <c r="J11" s="180"/>
      <c r="K11" s="180"/>
      <c r="L11" s="180"/>
      <c r="M11" s="165" t="s">
        <v>227</v>
      </c>
      <c r="N11" s="165" t="s">
        <v>228</v>
      </c>
      <c r="O11" s="180"/>
      <c r="P11" s="181"/>
      <c r="Q11" s="17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</row>
    <row r="12" spans="1:525" s="27" customFormat="1" ht="24" customHeight="1" x14ac:dyDescent="0.25">
      <c r="A12" s="102" t="s">
        <v>146</v>
      </c>
      <c r="B12" s="103"/>
      <c r="C12" s="103"/>
      <c r="D12" s="104" t="s">
        <v>34</v>
      </c>
      <c r="E12" s="133">
        <f>E13</f>
        <v>286952177</v>
      </c>
      <c r="F12" s="133">
        <f t="shared" ref="F12:J12" si="0">F13</f>
        <v>223090031</v>
      </c>
      <c r="G12" s="133">
        <f t="shared" si="0"/>
        <v>107666685</v>
      </c>
      <c r="H12" s="133">
        <f t="shared" si="0"/>
        <v>9181600</v>
      </c>
      <c r="I12" s="133">
        <f t="shared" si="0"/>
        <v>63862146</v>
      </c>
      <c r="J12" s="133">
        <f t="shared" si="0"/>
        <v>36815719.530000001</v>
      </c>
      <c r="K12" s="133">
        <f t="shared" ref="K12" si="1">K13</f>
        <v>35923000</v>
      </c>
      <c r="L12" s="133">
        <f t="shared" ref="L12" si="2">L13</f>
        <v>863277.53</v>
      </c>
      <c r="M12" s="133">
        <f t="shared" ref="M12" si="3">M13</f>
        <v>288239</v>
      </c>
      <c r="N12" s="133">
        <f t="shared" ref="N12" si="4">N13</f>
        <v>109690</v>
      </c>
      <c r="O12" s="133">
        <f t="shared" ref="O12:P12" si="5">O13</f>
        <v>35952442</v>
      </c>
      <c r="P12" s="133">
        <f t="shared" si="5"/>
        <v>323767896.52999997</v>
      </c>
      <c r="Q12" s="179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</row>
    <row r="13" spans="1:525" s="34" customFormat="1" ht="36" customHeight="1" x14ac:dyDescent="0.25">
      <c r="A13" s="86" t="s">
        <v>147</v>
      </c>
      <c r="B13" s="87"/>
      <c r="C13" s="87"/>
      <c r="D13" s="70" t="s">
        <v>500</v>
      </c>
      <c r="E13" s="134">
        <f>E16+E17+E18+E19+E21+E22+E23+E24+E26+E27+E28+E29+E30+E31+E32+E33+E34+E35+E36+E37+E39+E40+E41+E43+E45+E46+E47+E48+E49+E50+E51+E52+E53+E55+E57+E58+E42+E44+E61+E59+E38+E25+E60+E56</f>
        <v>286952177</v>
      </c>
      <c r="F13" s="134">
        <f t="shared" ref="F13:P13" si="6">F16+F17+F18+F19+F21+F22+F23+F24+F26+F27+F28+F29+F30+F31+F32+F33+F34+F35+F36+F37+F39+F40+F41+F43+F45+F46+F47+F48+F49+F50+F51+F52+F53+F55+F57+F58+F42+F44+F61+F59+F38+F25+F60+F56</f>
        <v>223090031</v>
      </c>
      <c r="G13" s="134">
        <f t="shared" si="6"/>
        <v>107666685</v>
      </c>
      <c r="H13" s="134">
        <f t="shared" si="6"/>
        <v>9181600</v>
      </c>
      <c r="I13" s="134">
        <f t="shared" si="6"/>
        <v>63862146</v>
      </c>
      <c r="J13" s="134">
        <f t="shared" si="6"/>
        <v>36815719.530000001</v>
      </c>
      <c r="K13" s="134">
        <f t="shared" si="6"/>
        <v>35923000</v>
      </c>
      <c r="L13" s="134">
        <f t="shared" si="6"/>
        <v>863277.53</v>
      </c>
      <c r="M13" s="134">
        <f t="shared" si="6"/>
        <v>288239</v>
      </c>
      <c r="N13" s="134">
        <f t="shared" si="6"/>
        <v>109690</v>
      </c>
      <c r="O13" s="134">
        <f t="shared" si="6"/>
        <v>35952442</v>
      </c>
      <c r="P13" s="134">
        <f t="shared" si="6"/>
        <v>323767896.52999997</v>
      </c>
      <c r="Q13" s="179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</row>
    <row r="14" spans="1:525" s="34" customFormat="1" ht="63" x14ac:dyDescent="0.25">
      <c r="A14" s="86"/>
      <c r="B14" s="87"/>
      <c r="C14" s="87"/>
      <c r="D14" s="70" t="s">
        <v>377</v>
      </c>
      <c r="E14" s="134">
        <f>E54</f>
        <v>561290</v>
      </c>
      <c r="F14" s="134">
        <f t="shared" ref="F14:P14" si="7">F54</f>
        <v>561290</v>
      </c>
      <c r="G14" s="134">
        <f t="shared" si="7"/>
        <v>460074</v>
      </c>
      <c r="H14" s="134">
        <f t="shared" si="7"/>
        <v>0</v>
      </c>
      <c r="I14" s="134">
        <f t="shared" si="7"/>
        <v>0</v>
      </c>
      <c r="J14" s="134">
        <f t="shared" si="7"/>
        <v>0</v>
      </c>
      <c r="K14" s="134">
        <f t="shared" si="7"/>
        <v>0</v>
      </c>
      <c r="L14" s="134">
        <f t="shared" si="7"/>
        <v>0</v>
      </c>
      <c r="M14" s="134">
        <f t="shared" si="7"/>
        <v>0</v>
      </c>
      <c r="N14" s="134">
        <f t="shared" si="7"/>
        <v>0</v>
      </c>
      <c r="O14" s="134">
        <f t="shared" si="7"/>
        <v>0</v>
      </c>
      <c r="P14" s="134">
        <f t="shared" si="7"/>
        <v>561290</v>
      </c>
      <c r="Q14" s="179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</row>
    <row r="15" spans="1:525" s="34" customFormat="1" ht="63" hidden="1" customHeight="1" x14ac:dyDescent="0.25">
      <c r="A15" s="86"/>
      <c r="B15" s="87"/>
      <c r="C15" s="87"/>
      <c r="D15" s="70" t="str">
        <f>'дод 7'!C18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5" s="134">
        <f>E20</f>
        <v>0</v>
      </c>
      <c r="F15" s="134">
        <f t="shared" ref="F15:P15" si="8">F20</f>
        <v>0</v>
      </c>
      <c r="G15" s="134">
        <f t="shared" si="8"/>
        <v>0</v>
      </c>
      <c r="H15" s="134">
        <f t="shared" si="8"/>
        <v>0</v>
      </c>
      <c r="I15" s="134">
        <f t="shared" si="8"/>
        <v>0</v>
      </c>
      <c r="J15" s="134">
        <f t="shared" si="8"/>
        <v>0</v>
      </c>
      <c r="K15" s="134">
        <f t="shared" si="8"/>
        <v>0</v>
      </c>
      <c r="L15" s="134">
        <f t="shared" si="8"/>
        <v>0</v>
      </c>
      <c r="M15" s="134">
        <f t="shared" si="8"/>
        <v>0</v>
      </c>
      <c r="N15" s="134">
        <f t="shared" si="8"/>
        <v>0</v>
      </c>
      <c r="O15" s="134">
        <f t="shared" si="8"/>
        <v>0</v>
      </c>
      <c r="P15" s="134">
        <f t="shared" si="8"/>
        <v>0</v>
      </c>
      <c r="Q15" s="179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</row>
    <row r="16" spans="1:525" s="22" customFormat="1" ht="46.5" customHeight="1" x14ac:dyDescent="0.25">
      <c r="A16" s="56" t="s">
        <v>148</v>
      </c>
      <c r="B16" s="84" t="str">
        <f>'дод 7'!A14</f>
        <v>0160</v>
      </c>
      <c r="C16" s="84" t="str">
        <f>'дод 7'!B14</f>
        <v>0111</v>
      </c>
      <c r="D16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16" s="135">
        <f t="shared" ref="E16:E61" si="9">F16+I16</f>
        <v>110794200</v>
      </c>
      <c r="F16" s="135">
        <f>119042400-8248200</f>
        <v>110794200</v>
      </c>
      <c r="G16" s="135">
        <f>84423000-6760800</f>
        <v>77662200</v>
      </c>
      <c r="H16" s="135">
        <v>4901000</v>
      </c>
      <c r="I16" s="135"/>
      <c r="J16" s="135">
        <f>L16+O16</f>
        <v>600000</v>
      </c>
      <c r="K16" s="135">
        <f>600000</f>
        <v>600000</v>
      </c>
      <c r="L16" s="135"/>
      <c r="M16" s="135"/>
      <c r="N16" s="135"/>
      <c r="O16" s="135">
        <f>600000</f>
        <v>600000</v>
      </c>
      <c r="P16" s="135">
        <f t="shared" ref="P16:P61" si="10">E16+J16</f>
        <v>111394200</v>
      </c>
      <c r="Q16" s="179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</row>
    <row r="17" spans="1:525" s="22" customFormat="1" ht="35.25" hidden="1" customHeight="1" x14ac:dyDescent="0.25">
      <c r="A17" s="56" t="s">
        <v>439</v>
      </c>
      <c r="B17" s="56" t="s">
        <v>89</v>
      </c>
      <c r="C17" s="56" t="s">
        <v>449</v>
      </c>
      <c r="D17" s="36" t="s">
        <v>440</v>
      </c>
      <c r="E17" s="135">
        <f t="shared" si="9"/>
        <v>0</v>
      </c>
      <c r="F17" s="135"/>
      <c r="G17" s="135"/>
      <c r="H17" s="135"/>
      <c r="I17" s="135"/>
      <c r="J17" s="135">
        <f>L17+O17</f>
        <v>0</v>
      </c>
      <c r="K17" s="135"/>
      <c r="L17" s="135"/>
      <c r="M17" s="135"/>
      <c r="N17" s="135"/>
      <c r="O17" s="135"/>
      <c r="P17" s="135">
        <f t="shared" si="10"/>
        <v>0</v>
      </c>
      <c r="Q17" s="179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</row>
    <row r="18" spans="1:525" s="22" customFormat="1" ht="28.5" customHeight="1" x14ac:dyDescent="0.25">
      <c r="A18" s="56" t="s">
        <v>238</v>
      </c>
      <c r="B18" s="84" t="str">
        <f>'дод 7'!A16</f>
        <v>0180</v>
      </c>
      <c r="C18" s="84" t="str">
        <f>'дод 7'!B16</f>
        <v>0133</v>
      </c>
      <c r="D18" s="57" t="str">
        <f>'дод 7'!C16</f>
        <v>Інша діяльність у сфері державного управління</v>
      </c>
      <c r="E18" s="135">
        <f t="shared" si="9"/>
        <v>396000</v>
      </c>
      <c r="F18" s="135">
        <v>396000</v>
      </c>
      <c r="G18" s="135"/>
      <c r="H18" s="135"/>
      <c r="I18" s="135"/>
      <c r="J18" s="135">
        <f t="shared" ref="J18:J20" si="11">L18+O18</f>
        <v>0</v>
      </c>
      <c r="K18" s="135"/>
      <c r="L18" s="135"/>
      <c r="M18" s="135"/>
      <c r="N18" s="135"/>
      <c r="O18" s="135"/>
      <c r="P18" s="135">
        <f t="shared" si="10"/>
        <v>396000</v>
      </c>
      <c r="Q18" s="179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</row>
    <row r="19" spans="1:525" s="22" customFormat="1" ht="15.75" hidden="1" customHeight="1" x14ac:dyDescent="0.25">
      <c r="A19" s="56" t="s">
        <v>424</v>
      </c>
      <c r="B19" s="56" t="s">
        <v>425</v>
      </c>
      <c r="C19" s="56" t="s">
        <v>117</v>
      </c>
      <c r="D19" s="57" t="s">
        <v>426</v>
      </c>
      <c r="E19" s="135">
        <f t="shared" si="9"/>
        <v>0</v>
      </c>
      <c r="F19" s="135"/>
      <c r="G19" s="135"/>
      <c r="H19" s="135"/>
      <c r="I19" s="135"/>
      <c r="J19" s="135">
        <f t="shared" si="11"/>
        <v>0</v>
      </c>
      <c r="K19" s="135"/>
      <c r="L19" s="135"/>
      <c r="M19" s="135"/>
      <c r="N19" s="135"/>
      <c r="O19" s="135"/>
      <c r="P19" s="135">
        <f t="shared" si="10"/>
        <v>0</v>
      </c>
      <c r="Q19" s="179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</row>
    <row r="20" spans="1:525" s="24" customFormat="1" ht="60" hidden="1" customHeight="1" x14ac:dyDescent="0.25">
      <c r="A20" s="76"/>
      <c r="B20" s="88"/>
      <c r="C20" s="88"/>
      <c r="D20" s="79" t="str">
        <f>'дод 7'!C18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36">
        <f t="shared" si="9"/>
        <v>0</v>
      </c>
      <c r="F20" s="136"/>
      <c r="G20" s="136"/>
      <c r="H20" s="136"/>
      <c r="I20" s="136"/>
      <c r="J20" s="136">
        <f t="shared" si="11"/>
        <v>0</v>
      </c>
      <c r="K20" s="136"/>
      <c r="L20" s="136"/>
      <c r="M20" s="136"/>
      <c r="N20" s="136"/>
      <c r="O20" s="136"/>
      <c r="P20" s="136">
        <f t="shared" si="10"/>
        <v>0</v>
      </c>
      <c r="Q20" s="179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</row>
    <row r="21" spans="1:525" s="22" customFormat="1" ht="47.25" customHeight="1" x14ac:dyDescent="0.25">
      <c r="A21" s="56" t="s">
        <v>254</v>
      </c>
      <c r="B21" s="84" t="str">
        <f>'дод 7'!A107</f>
        <v>3033</v>
      </c>
      <c r="C21" s="84" t="str">
        <f>'дод 7'!B107</f>
        <v>1070</v>
      </c>
      <c r="D21" s="57" t="str">
        <f>'дод 7'!C107</f>
        <v>Компенсаційні виплати на пільговий проїзд автомобільним транспортом окремим категоріям громадян</v>
      </c>
      <c r="E21" s="135">
        <f t="shared" si="9"/>
        <v>800400</v>
      </c>
      <c r="F21" s="135">
        <v>800400</v>
      </c>
      <c r="G21" s="135"/>
      <c r="H21" s="135"/>
      <c r="I21" s="135"/>
      <c r="J21" s="135">
        <f t="shared" ref="J21:J61" si="12">L21+O21</f>
        <v>0</v>
      </c>
      <c r="K21" s="135"/>
      <c r="L21" s="135"/>
      <c r="M21" s="135"/>
      <c r="N21" s="135"/>
      <c r="O21" s="135"/>
      <c r="P21" s="135">
        <f t="shared" si="10"/>
        <v>800400</v>
      </c>
      <c r="Q21" s="179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</row>
    <row r="22" spans="1:525" s="22" customFormat="1" ht="31.5" customHeight="1" x14ac:dyDescent="0.25">
      <c r="A22" s="56" t="s">
        <v>149</v>
      </c>
      <c r="B22" s="84" t="str">
        <f>'дод 7'!A110</f>
        <v>3036</v>
      </c>
      <c r="C22" s="84" t="str">
        <f>'дод 7'!B110</f>
        <v>1070</v>
      </c>
      <c r="D22" s="57" t="str">
        <f>'дод 7'!C110</f>
        <v>Компенсаційні виплати на пільговий проїзд електротранспортом окремим категоріям громадян</v>
      </c>
      <c r="E22" s="135">
        <f t="shared" si="9"/>
        <v>1104700</v>
      </c>
      <c r="F22" s="135">
        <v>1104700</v>
      </c>
      <c r="G22" s="135"/>
      <c r="H22" s="135"/>
      <c r="I22" s="135"/>
      <c r="J22" s="135">
        <f t="shared" si="12"/>
        <v>0</v>
      </c>
      <c r="K22" s="135"/>
      <c r="L22" s="135"/>
      <c r="M22" s="135"/>
      <c r="N22" s="135"/>
      <c r="O22" s="135"/>
      <c r="P22" s="135">
        <f t="shared" si="10"/>
        <v>1104700</v>
      </c>
      <c r="Q22" s="179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</row>
    <row r="23" spans="1:525" s="22" customFormat="1" ht="36" customHeight="1" x14ac:dyDescent="0.25">
      <c r="A23" s="56" t="s">
        <v>150</v>
      </c>
      <c r="B23" s="84" t="str">
        <f>'дод 7'!A118</f>
        <v>3121</v>
      </c>
      <c r="C23" s="84" t="str">
        <f>'дод 7'!B118</f>
        <v>1040</v>
      </c>
      <c r="D23" s="57" t="str">
        <f>'дод 7'!C118</f>
        <v>Утримання та забезпечення діяльності центрів соціальних служб</v>
      </c>
      <c r="E23" s="135">
        <f t="shared" si="9"/>
        <v>3552000</v>
      </c>
      <c r="F23" s="135">
        <v>3552000</v>
      </c>
      <c r="G23" s="135">
        <v>2624000</v>
      </c>
      <c r="H23" s="135">
        <v>84700</v>
      </c>
      <c r="I23" s="135"/>
      <c r="J23" s="135">
        <f t="shared" si="12"/>
        <v>200000</v>
      </c>
      <c r="K23" s="135">
        <v>200000</v>
      </c>
      <c r="L23" s="135"/>
      <c r="M23" s="135"/>
      <c r="N23" s="135"/>
      <c r="O23" s="135">
        <v>200000</v>
      </c>
      <c r="P23" s="135">
        <f t="shared" si="10"/>
        <v>3752000</v>
      </c>
      <c r="Q23" s="179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</row>
    <row r="24" spans="1:525" s="22" customFormat="1" ht="48.75" customHeight="1" x14ac:dyDescent="0.25">
      <c r="A24" s="56" t="s">
        <v>151</v>
      </c>
      <c r="B24" s="84" t="str">
        <f>'дод 7'!A119</f>
        <v>3131</v>
      </c>
      <c r="C24" s="84" t="str">
        <f>'дод 7'!B119</f>
        <v>1040</v>
      </c>
      <c r="D24" s="57" t="str">
        <f>'дод 7'!C119</f>
        <v>Здійснення заходів та реалізація проектів на виконання Державної цільової соціальної програми "Молодь України"</v>
      </c>
      <c r="E24" s="135">
        <f t="shared" si="9"/>
        <v>2009310</v>
      </c>
      <c r="F24" s="135">
        <f>684300+1325010-1325010+1325010</f>
        <v>2009310</v>
      </c>
      <c r="G24" s="135"/>
      <c r="H24" s="135"/>
      <c r="I24" s="135"/>
      <c r="J24" s="135">
        <f t="shared" si="12"/>
        <v>0</v>
      </c>
      <c r="K24" s="137"/>
      <c r="L24" s="137"/>
      <c r="M24" s="137"/>
      <c r="N24" s="137"/>
      <c r="O24" s="137"/>
      <c r="P24" s="135">
        <f t="shared" si="10"/>
        <v>2009310</v>
      </c>
      <c r="Q24" s="179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</row>
    <row r="25" spans="1:525" s="22" customFormat="1" ht="27.75" customHeight="1" x14ac:dyDescent="0.25">
      <c r="A25" s="56" t="s">
        <v>577</v>
      </c>
      <c r="B25" s="84">
        <v>3133</v>
      </c>
      <c r="C25" s="84">
        <v>1040</v>
      </c>
      <c r="D25" s="57" t="str">
        <f>'дод 7'!C120</f>
        <v>Інші заходи та заклади молодіжної політики</v>
      </c>
      <c r="E25" s="135">
        <f t="shared" si="9"/>
        <v>5884800</v>
      </c>
      <c r="F25" s="135">
        <f>4240800+1644000-434000+434000</f>
        <v>5884800</v>
      </c>
      <c r="G25" s="135">
        <f>2432700+336000</f>
        <v>2768700</v>
      </c>
      <c r="H25" s="135">
        <v>779400</v>
      </c>
      <c r="I25" s="135"/>
      <c r="J25" s="135">
        <f t="shared" si="12"/>
        <v>1235000</v>
      </c>
      <c r="K25" s="135">
        <f>100000+1000000</f>
        <v>1100000</v>
      </c>
      <c r="L25" s="135">
        <v>105558</v>
      </c>
      <c r="M25" s="135"/>
      <c r="N25" s="135">
        <v>45558</v>
      </c>
      <c r="O25" s="135">
        <f>100000+29442+1000000</f>
        <v>1129442</v>
      </c>
      <c r="P25" s="135">
        <f t="shared" si="10"/>
        <v>7119800</v>
      </c>
      <c r="Q25" s="179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</row>
    <row r="26" spans="1:525" s="22" customFormat="1" ht="78.75" x14ac:dyDescent="0.25">
      <c r="A26" s="56" t="s">
        <v>152</v>
      </c>
      <c r="B26" s="84" t="str">
        <f>'дод 7'!A121</f>
        <v>3140</v>
      </c>
      <c r="C26" s="84" t="str">
        <f>'дод 7'!B121</f>
        <v>1040</v>
      </c>
      <c r="D26" s="57" t="str">
        <f>'дод 7'!C121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6" s="135">
        <f t="shared" si="9"/>
        <v>475000</v>
      </c>
      <c r="F26" s="135">
        <v>475000</v>
      </c>
      <c r="G26" s="135"/>
      <c r="H26" s="135"/>
      <c r="I26" s="135"/>
      <c r="J26" s="135">
        <f t="shared" si="12"/>
        <v>0</v>
      </c>
      <c r="K26" s="135"/>
      <c r="L26" s="135"/>
      <c r="M26" s="135"/>
      <c r="N26" s="135"/>
      <c r="O26" s="135"/>
      <c r="P26" s="135">
        <f t="shared" si="10"/>
        <v>475000</v>
      </c>
      <c r="Q26" s="179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</row>
    <row r="27" spans="1:525" s="22" customFormat="1" ht="32.25" customHeight="1" x14ac:dyDescent="0.25">
      <c r="A27" s="56" t="s">
        <v>300</v>
      </c>
      <c r="B27" s="84" t="str">
        <f>'дод 7'!A138</f>
        <v>3241</v>
      </c>
      <c r="C27" s="84" t="str">
        <f>'дод 7'!B138</f>
        <v>1090</v>
      </c>
      <c r="D27" s="3" t="str">
        <f>'дод 7'!C138</f>
        <v>Забезпечення діяльності інших закладів у сфері соціального захисту і соціального забезпечення</v>
      </c>
      <c r="E27" s="135">
        <f t="shared" si="9"/>
        <v>1731600</v>
      </c>
      <c r="F27" s="135">
        <v>1731600</v>
      </c>
      <c r="G27" s="135">
        <v>1145500</v>
      </c>
      <c r="H27" s="135">
        <v>195700</v>
      </c>
      <c r="I27" s="135"/>
      <c r="J27" s="135">
        <f t="shared" si="12"/>
        <v>0</v>
      </c>
      <c r="K27" s="135"/>
      <c r="L27" s="135"/>
      <c r="M27" s="135"/>
      <c r="N27" s="135"/>
      <c r="O27" s="135"/>
      <c r="P27" s="135">
        <f t="shared" si="10"/>
        <v>1731600</v>
      </c>
      <c r="Q27" s="179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</row>
    <row r="28" spans="1:525" s="22" customFormat="1" ht="33.75" customHeight="1" x14ac:dyDescent="0.25">
      <c r="A28" s="56" t="s">
        <v>301</v>
      </c>
      <c r="B28" s="84" t="str">
        <f>'дод 7'!A139</f>
        <v>3242</v>
      </c>
      <c r="C28" s="84" t="str">
        <f>'дод 7'!B139</f>
        <v>1090</v>
      </c>
      <c r="D28" s="57" t="s">
        <v>406</v>
      </c>
      <c r="E28" s="135">
        <f t="shared" si="9"/>
        <v>759300</v>
      </c>
      <c r="F28" s="135">
        <f>249300+255000+255000</f>
        <v>759300</v>
      </c>
      <c r="G28" s="135"/>
      <c r="H28" s="135"/>
      <c r="I28" s="135"/>
      <c r="J28" s="135">
        <f t="shared" si="12"/>
        <v>0</v>
      </c>
      <c r="K28" s="135"/>
      <c r="L28" s="135"/>
      <c r="M28" s="135"/>
      <c r="N28" s="135"/>
      <c r="O28" s="135"/>
      <c r="P28" s="135">
        <f t="shared" si="10"/>
        <v>759300</v>
      </c>
      <c r="Q28" s="179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</row>
    <row r="29" spans="1:525" s="22" customFormat="1" ht="49.5" customHeight="1" x14ac:dyDescent="0.25">
      <c r="A29" s="56" t="s">
        <v>313</v>
      </c>
      <c r="B29" s="84" t="str">
        <f>'дод 7'!A143</f>
        <v>4060</v>
      </c>
      <c r="C29" s="84" t="str">
        <f>'дод 7'!B143</f>
        <v>0828</v>
      </c>
      <c r="D29" s="57" t="str">
        <f>'дод 7'!C143</f>
        <v>Забезпечення діяльності палаців i будинків культури, клубів, центрів дозвілля та iнших клубних закладів</v>
      </c>
      <c r="E29" s="135">
        <f t="shared" si="9"/>
        <v>860438</v>
      </c>
      <c r="F29" s="138">
        <f>622800+237638</f>
        <v>860438</v>
      </c>
      <c r="G29" s="135">
        <f>310000+194785</f>
        <v>504785</v>
      </c>
      <c r="H29" s="135">
        <v>206600</v>
      </c>
      <c r="I29" s="135"/>
      <c r="J29" s="135">
        <f t="shared" si="12"/>
        <v>0</v>
      </c>
      <c r="K29" s="135"/>
      <c r="L29" s="135"/>
      <c r="M29" s="135"/>
      <c r="N29" s="135"/>
      <c r="O29" s="135"/>
      <c r="P29" s="135">
        <f t="shared" si="10"/>
        <v>860438</v>
      </c>
      <c r="Q29" s="179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</row>
    <row r="30" spans="1:525" s="22" customFormat="1" ht="30.75" customHeight="1" x14ac:dyDescent="0.25">
      <c r="A30" s="56" t="s">
        <v>298</v>
      </c>
      <c r="B30" s="84" t="str">
        <f>'дод 7'!A144</f>
        <v>4081</v>
      </c>
      <c r="C30" s="84" t="str">
        <f>'дод 7'!B144</f>
        <v>0829</v>
      </c>
      <c r="D30" s="57" t="str">
        <f>'дод 7'!C144</f>
        <v>Забезпечення діяльності інших закладів в галузі культури і мистецтва</v>
      </c>
      <c r="E30" s="135">
        <f t="shared" si="9"/>
        <v>2913000</v>
      </c>
      <c r="F30" s="135">
        <v>2913000</v>
      </c>
      <c r="G30" s="135">
        <v>1782700</v>
      </c>
      <c r="H30" s="135">
        <v>159400</v>
      </c>
      <c r="I30" s="135"/>
      <c r="J30" s="135">
        <f t="shared" si="12"/>
        <v>0</v>
      </c>
      <c r="K30" s="135"/>
      <c r="L30" s="135"/>
      <c r="M30" s="135"/>
      <c r="N30" s="135"/>
      <c r="O30" s="135"/>
      <c r="P30" s="135">
        <f t="shared" si="10"/>
        <v>2913000</v>
      </c>
      <c r="Q30" s="179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</row>
    <row r="31" spans="1:525" s="22" customFormat="1" ht="25.5" customHeight="1" x14ac:dyDescent="0.25">
      <c r="A31" s="56" t="s">
        <v>299</v>
      </c>
      <c r="B31" s="84">
        <v>4082</v>
      </c>
      <c r="C31" s="84" t="str">
        <f>'дод 7'!B145</f>
        <v>0829</v>
      </c>
      <c r="D31" s="57" t="str">
        <f>'дод 7'!C145</f>
        <v>Інші заходи в галузі культури і мистецтва</v>
      </c>
      <c r="E31" s="135">
        <f t="shared" si="9"/>
        <v>654300</v>
      </c>
      <c r="F31" s="135">
        <v>654300</v>
      </c>
      <c r="G31" s="135"/>
      <c r="H31" s="135"/>
      <c r="I31" s="135"/>
      <c r="J31" s="135">
        <f t="shared" si="12"/>
        <v>0</v>
      </c>
      <c r="K31" s="135"/>
      <c r="L31" s="135"/>
      <c r="M31" s="135"/>
      <c r="N31" s="135"/>
      <c r="O31" s="135"/>
      <c r="P31" s="135">
        <f t="shared" si="10"/>
        <v>654300</v>
      </c>
      <c r="Q31" s="179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</row>
    <row r="32" spans="1:525" s="22" customFormat="1" ht="36.75" customHeight="1" x14ac:dyDescent="0.25">
      <c r="A32" s="89" t="s">
        <v>153</v>
      </c>
      <c r="B32" s="42" t="str">
        <f>'дод 7'!A148</f>
        <v>5011</v>
      </c>
      <c r="C32" s="42" t="str">
        <f>'дод 7'!B148</f>
        <v>0810</v>
      </c>
      <c r="D32" s="36" t="str">
        <f>'дод 7'!C148</f>
        <v>Проведення навчально-тренувальних зборів і змагань з олімпійських видів спорту</v>
      </c>
      <c r="E32" s="135">
        <f t="shared" si="9"/>
        <v>750000</v>
      </c>
      <c r="F32" s="135">
        <f>600000+150000+1000000-650000-350000</f>
        <v>750000</v>
      </c>
      <c r="G32" s="135"/>
      <c r="H32" s="135"/>
      <c r="I32" s="135"/>
      <c r="J32" s="135">
        <f t="shared" si="12"/>
        <v>0</v>
      </c>
      <c r="K32" s="135"/>
      <c r="L32" s="135"/>
      <c r="M32" s="135"/>
      <c r="N32" s="135"/>
      <c r="O32" s="135"/>
      <c r="P32" s="135">
        <f t="shared" si="10"/>
        <v>750000</v>
      </c>
      <c r="Q32" s="179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</row>
    <row r="33" spans="1:525" s="22" customFormat="1" ht="34.5" customHeight="1" x14ac:dyDescent="0.25">
      <c r="A33" s="89" t="s">
        <v>154</v>
      </c>
      <c r="B33" s="42" t="str">
        <f>'дод 7'!A149</f>
        <v>5012</v>
      </c>
      <c r="C33" s="42" t="str">
        <f>'дод 7'!B149</f>
        <v>0810</v>
      </c>
      <c r="D33" s="36" t="str">
        <f>'дод 7'!C149</f>
        <v>Проведення навчально-тренувальних зборів і змагань з неолімпійських видів спорту</v>
      </c>
      <c r="E33" s="135">
        <f t="shared" si="9"/>
        <v>750000</v>
      </c>
      <c r="F33" s="135">
        <f>600000+150000</f>
        <v>750000</v>
      </c>
      <c r="G33" s="135"/>
      <c r="H33" s="135"/>
      <c r="I33" s="135"/>
      <c r="J33" s="135">
        <f t="shared" si="12"/>
        <v>0</v>
      </c>
      <c r="K33" s="135"/>
      <c r="L33" s="135"/>
      <c r="M33" s="135"/>
      <c r="N33" s="135"/>
      <c r="O33" s="135"/>
      <c r="P33" s="135">
        <f t="shared" si="10"/>
        <v>750000</v>
      </c>
      <c r="Q33" s="179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</row>
    <row r="34" spans="1:525" s="22" customFormat="1" ht="31.5" x14ac:dyDescent="0.25">
      <c r="A34" s="89" t="s">
        <v>155</v>
      </c>
      <c r="B34" s="42" t="str">
        <f>'дод 7'!A150</f>
        <v>5031</v>
      </c>
      <c r="C34" s="42" t="str">
        <f>'дод 7'!B150</f>
        <v>0810</v>
      </c>
      <c r="D34" s="36" t="str">
        <f>'дод 7'!C150</f>
        <v>Утримання та навчально-тренувальна робота комунальних дитячо-юнацьких спортивних шкіл</v>
      </c>
      <c r="E34" s="135">
        <f t="shared" si="9"/>
        <v>21682800</v>
      </c>
      <c r="F34" s="135">
        <f>19466705+622395+1000000+40000+553700</f>
        <v>21682800</v>
      </c>
      <c r="G34" s="135">
        <f>14241800+511000+820000+453900</f>
        <v>16026700</v>
      </c>
      <c r="H34" s="135">
        <v>1407700</v>
      </c>
      <c r="I34" s="135"/>
      <c r="J34" s="135">
        <f t="shared" si="12"/>
        <v>350000</v>
      </c>
      <c r="K34" s="135">
        <f>560000-560000+350000</f>
        <v>350000</v>
      </c>
      <c r="L34" s="135"/>
      <c r="M34" s="135"/>
      <c r="N34" s="135"/>
      <c r="O34" s="135">
        <f>560000-560000+350000</f>
        <v>350000</v>
      </c>
      <c r="P34" s="135">
        <f t="shared" si="10"/>
        <v>22032800</v>
      </c>
      <c r="Q34" s="178">
        <v>14</v>
      </c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</row>
    <row r="35" spans="1:525" s="22" customFormat="1" ht="50.25" customHeight="1" x14ac:dyDescent="0.25">
      <c r="A35" s="89" t="s">
        <v>352</v>
      </c>
      <c r="B35" s="42" t="str">
        <f>'дод 7'!A152</f>
        <v>5032</v>
      </c>
      <c r="C35" s="42" t="str">
        <f>'дод 7'!B152</f>
        <v>0810</v>
      </c>
      <c r="D35" s="36" t="str">
        <f>'дод 7'!C152</f>
        <v>Фінансова підтримка дитячо-юнацьких спортивних шкіл фізкультурно-спортивних товариств</v>
      </c>
      <c r="E35" s="135">
        <f t="shared" si="9"/>
        <v>15560000</v>
      </c>
      <c r="F35" s="135">
        <f>14463700+150000+946300</f>
        <v>15560000</v>
      </c>
      <c r="G35" s="135"/>
      <c r="H35" s="135"/>
      <c r="I35" s="135"/>
      <c r="J35" s="135">
        <f t="shared" si="12"/>
        <v>0</v>
      </c>
      <c r="K35" s="135"/>
      <c r="L35" s="135"/>
      <c r="M35" s="135"/>
      <c r="N35" s="135"/>
      <c r="O35" s="135"/>
      <c r="P35" s="135">
        <f t="shared" si="10"/>
        <v>15560000</v>
      </c>
      <c r="Q35" s="178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</row>
    <row r="36" spans="1:525" s="22" customFormat="1" ht="70.5" customHeight="1" x14ac:dyDescent="0.25">
      <c r="A36" s="89" t="s">
        <v>156</v>
      </c>
      <c r="B36" s="42" t="str">
        <f>'дод 7'!A153</f>
        <v>5061</v>
      </c>
      <c r="C36" s="42" t="str">
        <f>'дод 7'!B153</f>
        <v>0810</v>
      </c>
      <c r="D36" s="36" t="str">
        <f>'дод 7'!C153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6" s="135">
        <f t="shared" si="9"/>
        <v>5512100</v>
      </c>
      <c r="F36" s="135">
        <f>5412100+100000</f>
        <v>5512100</v>
      </c>
      <c r="G36" s="135">
        <v>3154100</v>
      </c>
      <c r="H36" s="135">
        <v>630400</v>
      </c>
      <c r="I36" s="135"/>
      <c r="J36" s="135">
        <f t="shared" si="12"/>
        <v>10436660</v>
      </c>
      <c r="K36" s="135">
        <v>10000000</v>
      </c>
      <c r="L36" s="135">
        <v>436660</v>
      </c>
      <c r="M36" s="135">
        <v>288239</v>
      </c>
      <c r="N36" s="135">
        <v>62532</v>
      </c>
      <c r="O36" s="135">
        <v>10000000</v>
      </c>
      <c r="P36" s="135">
        <f t="shared" si="10"/>
        <v>15948760</v>
      </c>
      <c r="Q36" s="178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</row>
    <row r="37" spans="1:525" s="22" customFormat="1" ht="47.25" x14ac:dyDescent="0.25">
      <c r="A37" s="89" t="s">
        <v>344</v>
      </c>
      <c r="B37" s="42" t="str">
        <f>'дод 7'!A154</f>
        <v>5062</v>
      </c>
      <c r="C37" s="42" t="str">
        <f>'дод 7'!B154</f>
        <v>0810</v>
      </c>
      <c r="D37" s="36" t="str">
        <f>'дод 7'!C154</f>
        <v>Підтримка спорту вищих досягнень та організацій, які здійснюють фізкультурно-спортивну діяльність в регіоні</v>
      </c>
      <c r="E37" s="135">
        <f t="shared" si="9"/>
        <v>17912700</v>
      </c>
      <c r="F37" s="135">
        <f>16012700+500000+700000+700000</f>
        <v>17912700</v>
      </c>
      <c r="G37" s="135"/>
      <c r="H37" s="135"/>
      <c r="I37" s="135"/>
      <c r="J37" s="135">
        <f t="shared" si="12"/>
        <v>0</v>
      </c>
      <c r="K37" s="135"/>
      <c r="L37" s="135"/>
      <c r="M37" s="135"/>
      <c r="N37" s="135"/>
      <c r="O37" s="135"/>
      <c r="P37" s="135">
        <f t="shared" si="10"/>
        <v>17912700</v>
      </c>
      <c r="Q37" s="178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</row>
    <row r="38" spans="1:525" s="22" customFormat="1" ht="37.5" hidden="1" customHeight="1" x14ac:dyDescent="0.25">
      <c r="A38" s="89" t="s">
        <v>576</v>
      </c>
      <c r="B38" s="42">
        <v>7323</v>
      </c>
      <c r="C38" s="89" t="s">
        <v>110</v>
      </c>
      <c r="D38" s="36" t="str">
        <f>'дод 7'!C183</f>
        <v>Будівництво1 установ та закладів соціальної сфери</v>
      </c>
      <c r="E38" s="135"/>
      <c r="F38" s="135"/>
      <c r="G38" s="135"/>
      <c r="H38" s="135"/>
      <c r="I38" s="135"/>
      <c r="J38" s="135">
        <f t="shared" si="12"/>
        <v>0</v>
      </c>
      <c r="K38" s="135"/>
      <c r="L38" s="135"/>
      <c r="M38" s="135"/>
      <c r="N38" s="135"/>
      <c r="O38" s="135"/>
      <c r="P38" s="135">
        <f t="shared" si="10"/>
        <v>0</v>
      </c>
      <c r="Q38" s="178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</row>
    <row r="39" spans="1:525" s="22" customFormat="1" ht="31.5" hidden="1" customHeight="1" x14ac:dyDescent="0.25">
      <c r="A39" s="89" t="s">
        <v>408</v>
      </c>
      <c r="B39" s="42">
        <v>7325</v>
      </c>
      <c r="C39" s="67" t="s">
        <v>110</v>
      </c>
      <c r="D39" s="6" t="str">
        <f>'дод 7'!C185</f>
        <v>Будівництво1 споруд, установ та закладів фізичної культури і спорту</v>
      </c>
      <c r="E39" s="135">
        <f t="shared" si="9"/>
        <v>0</v>
      </c>
      <c r="F39" s="135"/>
      <c r="G39" s="135"/>
      <c r="H39" s="135"/>
      <c r="I39" s="135"/>
      <c r="J39" s="135">
        <f t="shared" si="12"/>
        <v>0</v>
      </c>
      <c r="K39" s="135"/>
      <c r="L39" s="135"/>
      <c r="M39" s="135"/>
      <c r="N39" s="135"/>
      <c r="O39" s="135"/>
      <c r="P39" s="135">
        <f t="shared" si="10"/>
        <v>0</v>
      </c>
      <c r="Q39" s="178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</row>
    <row r="40" spans="1:525" s="22" customFormat="1" ht="15.75" hidden="1" customHeight="1" x14ac:dyDescent="0.25">
      <c r="A40" s="89" t="s">
        <v>409</v>
      </c>
      <c r="B40" s="42">
        <v>7330</v>
      </c>
      <c r="C40" s="67" t="s">
        <v>110</v>
      </c>
      <c r="D40" s="6" t="str">
        <f>'дод 7'!C186</f>
        <v>Будівництво1 інших об'єктів комунальної власності</v>
      </c>
      <c r="E40" s="135">
        <f t="shared" si="9"/>
        <v>0</v>
      </c>
      <c r="F40" s="135"/>
      <c r="G40" s="135"/>
      <c r="H40" s="135"/>
      <c r="I40" s="135"/>
      <c r="J40" s="135">
        <f t="shared" si="12"/>
        <v>0</v>
      </c>
      <c r="K40" s="135"/>
      <c r="L40" s="135"/>
      <c r="M40" s="135"/>
      <c r="N40" s="135"/>
      <c r="O40" s="135"/>
      <c r="P40" s="135">
        <f t="shared" si="10"/>
        <v>0</v>
      </c>
      <c r="Q40" s="178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</row>
    <row r="41" spans="1:525" s="22" customFormat="1" ht="31.5" x14ac:dyDescent="0.25">
      <c r="A41" s="89" t="s">
        <v>157</v>
      </c>
      <c r="B41" s="42" t="str">
        <f>'дод 7'!A200</f>
        <v>7412</v>
      </c>
      <c r="C41" s="42" t="str">
        <f>'дод 7'!B200</f>
        <v>0451</v>
      </c>
      <c r="D41" s="36" t="str">
        <f>'дод 7'!C200</f>
        <v>Регулювання цін на послуги місцевого автотранспорту</v>
      </c>
      <c r="E41" s="135">
        <f>F41+I41</f>
        <v>16994929</v>
      </c>
      <c r="F41" s="135"/>
      <c r="G41" s="135"/>
      <c r="H41" s="135"/>
      <c r="I41" s="135">
        <f>17594929-600000</f>
        <v>16994929</v>
      </c>
      <c r="J41" s="135">
        <f t="shared" si="12"/>
        <v>0</v>
      </c>
      <c r="K41" s="135"/>
      <c r="L41" s="135"/>
      <c r="M41" s="135"/>
      <c r="N41" s="135"/>
      <c r="O41" s="135"/>
      <c r="P41" s="135">
        <f t="shared" si="10"/>
        <v>16994929</v>
      </c>
      <c r="Q41" s="178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</row>
    <row r="42" spans="1:525" s="22" customFormat="1" ht="24" customHeight="1" x14ac:dyDescent="0.25">
      <c r="A42" s="89" t="s">
        <v>372</v>
      </c>
      <c r="B42" s="42">
        <f>'дод 7'!A201</f>
        <v>7413</v>
      </c>
      <c r="C42" s="42" t="str">
        <f>'дод 7'!B201</f>
        <v>0451</v>
      </c>
      <c r="D42" s="90" t="str">
        <f>'дод 7'!C201</f>
        <v>Інші заходи у сфері автотранспорту</v>
      </c>
      <c r="E42" s="135">
        <f t="shared" si="9"/>
        <v>1600000</v>
      </c>
      <c r="F42" s="135"/>
      <c r="G42" s="135"/>
      <c r="H42" s="135"/>
      <c r="I42" s="135">
        <f>600000+1000000</f>
        <v>1600000</v>
      </c>
      <c r="J42" s="135">
        <f t="shared" si="12"/>
        <v>0</v>
      </c>
      <c r="K42" s="135"/>
      <c r="L42" s="135"/>
      <c r="M42" s="135"/>
      <c r="N42" s="135"/>
      <c r="O42" s="135"/>
      <c r="P42" s="135">
        <f t="shared" si="10"/>
        <v>1600000</v>
      </c>
      <c r="Q42" s="178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</row>
    <row r="43" spans="1:525" s="22" customFormat="1" ht="33" customHeight="1" x14ac:dyDescent="0.25">
      <c r="A43" s="89" t="s">
        <v>540</v>
      </c>
      <c r="B43" s="42">
        <v>7422</v>
      </c>
      <c r="C43" s="89" t="s">
        <v>407</v>
      </c>
      <c r="D43" s="90" t="str">
        <f>'дод 7'!C202</f>
        <v>Регулювання цін на послуги місцевого наземного електротранспорту</v>
      </c>
      <c r="E43" s="135">
        <f t="shared" si="9"/>
        <v>39867217</v>
      </c>
      <c r="F43" s="135"/>
      <c r="G43" s="135"/>
      <c r="H43" s="135"/>
      <c r="I43" s="135">
        <f>39414871+1852346-1400000</f>
        <v>39867217</v>
      </c>
      <c r="J43" s="135">
        <f t="shared" si="12"/>
        <v>0</v>
      </c>
      <c r="K43" s="135"/>
      <c r="L43" s="135"/>
      <c r="M43" s="135"/>
      <c r="N43" s="135"/>
      <c r="O43" s="135"/>
      <c r="P43" s="135">
        <f t="shared" si="10"/>
        <v>39867217</v>
      </c>
      <c r="Q43" s="178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</row>
    <row r="44" spans="1:525" s="22" customFormat="1" ht="24" customHeight="1" x14ac:dyDescent="0.25">
      <c r="A44" s="89" t="s">
        <v>373</v>
      </c>
      <c r="B44" s="42">
        <f>'дод 7'!A203</f>
        <v>7426</v>
      </c>
      <c r="C44" s="89" t="s">
        <v>407</v>
      </c>
      <c r="D44" s="90" t="str">
        <f>'дод 7'!C203</f>
        <v>Інші заходи у сфері електротранспорту</v>
      </c>
      <c r="E44" s="135">
        <f t="shared" si="9"/>
        <v>5400000</v>
      </c>
      <c r="F44" s="135"/>
      <c r="G44" s="135"/>
      <c r="H44" s="135"/>
      <c r="I44" s="135">
        <f>1400000+4000000</f>
        <v>5400000</v>
      </c>
      <c r="J44" s="135">
        <f t="shared" si="12"/>
        <v>0</v>
      </c>
      <c r="K44" s="135"/>
      <c r="L44" s="135"/>
      <c r="M44" s="135"/>
      <c r="N44" s="135"/>
      <c r="O44" s="135"/>
      <c r="P44" s="135">
        <f t="shared" si="10"/>
        <v>5400000</v>
      </c>
      <c r="Q44" s="178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</row>
    <row r="45" spans="1:525" s="22" customFormat="1" ht="24" customHeight="1" x14ac:dyDescent="0.25">
      <c r="A45" s="89" t="s">
        <v>441</v>
      </c>
      <c r="B45" s="89" t="s">
        <v>442</v>
      </c>
      <c r="C45" s="89" t="s">
        <v>394</v>
      </c>
      <c r="D45" s="90" t="str">
        <f>'дод 7'!C207</f>
        <v>Інша діяльність у сфері транспорту</v>
      </c>
      <c r="E45" s="135">
        <f t="shared" si="9"/>
        <v>2585480</v>
      </c>
      <c r="F45" s="135">
        <v>2585480</v>
      </c>
      <c r="G45" s="135"/>
      <c r="H45" s="135"/>
      <c r="I45" s="135"/>
      <c r="J45" s="135">
        <f t="shared" si="12"/>
        <v>0</v>
      </c>
      <c r="K45" s="135"/>
      <c r="L45" s="135"/>
      <c r="M45" s="135"/>
      <c r="N45" s="135"/>
      <c r="O45" s="135"/>
      <c r="P45" s="135">
        <f t="shared" si="10"/>
        <v>2585480</v>
      </c>
      <c r="Q45" s="178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</row>
    <row r="46" spans="1:525" s="22" customFormat="1" ht="30.75" customHeight="1" x14ac:dyDescent="0.25">
      <c r="A46" s="89" t="s">
        <v>230</v>
      </c>
      <c r="B46" s="42" t="str">
        <f>'дод 7'!A213</f>
        <v>7530</v>
      </c>
      <c r="C46" s="42" t="str">
        <f>'дод 7'!B213</f>
        <v>0460</v>
      </c>
      <c r="D46" s="36" t="str">
        <f>'дод 7'!C213</f>
        <v>Інші заходи у сфері зв'язку, телекомунікації та інформатики</v>
      </c>
      <c r="E46" s="135">
        <f t="shared" si="9"/>
        <v>7850000</v>
      </c>
      <c r="F46" s="135">
        <v>7850000</v>
      </c>
      <c r="G46" s="135"/>
      <c r="H46" s="135"/>
      <c r="I46" s="135"/>
      <c r="J46" s="135">
        <f t="shared" si="12"/>
        <v>3150000</v>
      </c>
      <c r="K46" s="135">
        <v>3150000</v>
      </c>
      <c r="L46" s="135"/>
      <c r="M46" s="135"/>
      <c r="N46" s="135"/>
      <c r="O46" s="135">
        <v>3150000</v>
      </c>
      <c r="P46" s="135">
        <f t="shared" si="10"/>
        <v>11000000</v>
      </c>
      <c r="Q46" s="178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</row>
    <row r="47" spans="1:525" s="22" customFormat="1" ht="31.5" customHeight="1" x14ac:dyDescent="0.25">
      <c r="A47" s="89" t="s">
        <v>158</v>
      </c>
      <c r="B47" s="42" t="str">
        <f>'дод 7'!A216</f>
        <v>7610</v>
      </c>
      <c r="C47" s="42" t="str">
        <f>'дод 7'!B216</f>
        <v>0411</v>
      </c>
      <c r="D47" s="36" t="str">
        <f>'дод 7'!C216</f>
        <v>Сприяння розвитку малого та середнього підприємництва</v>
      </c>
      <c r="E47" s="135">
        <f t="shared" si="9"/>
        <v>60000</v>
      </c>
      <c r="F47" s="135">
        <v>60000</v>
      </c>
      <c r="G47" s="135"/>
      <c r="H47" s="135"/>
      <c r="I47" s="135"/>
      <c r="J47" s="135">
        <f t="shared" si="12"/>
        <v>0</v>
      </c>
      <c r="K47" s="135"/>
      <c r="L47" s="135"/>
      <c r="M47" s="135"/>
      <c r="N47" s="135"/>
      <c r="O47" s="135"/>
      <c r="P47" s="135">
        <f t="shared" si="10"/>
        <v>60000</v>
      </c>
      <c r="Q47" s="178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</row>
    <row r="48" spans="1:525" s="22" customFormat="1" ht="33.75" customHeight="1" x14ac:dyDescent="0.25">
      <c r="A48" s="89" t="s">
        <v>159</v>
      </c>
      <c r="B48" s="42" t="str">
        <f>'дод 7'!A221</f>
        <v>7670</v>
      </c>
      <c r="C48" s="42" t="str">
        <f>'дод 7'!B221</f>
        <v>0490</v>
      </c>
      <c r="D48" s="36" t="str">
        <f>'дод 7'!C221</f>
        <v>Внески до статутного капіталу суб'єктів господарювання, у т. ч. за рахунок:</v>
      </c>
      <c r="E48" s="135">
        <f t="shared" si="9"/>
        <v>0</v>
      </c>
      <c r="F48" s="135"/>
      <c r="G48" s="135"/>
      <c r="H48" s="135"/>
      <c r="I48" s="135"/>
      <c r="J48" s="135">
        <f t="shared" si="12"/>
        <v>19800000</v>
      </c>
      <c r="K48" s="135">
        <v>19800000</v>
      </c>
      <c r="L48" s="135"/>
      <c r="M48" s="135"/>
      <c r="N48" s="135"/>
      <c r="O48" s="135">
        <f>19800000</f>
        <v>19800000</v>
      </c>
      <c r="P48" s="135">
        <f t="shared" si="10"/>
        <v>19800000</v>
      </c>
      <c r="Q48" s="178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</row>
    <row r="49" spans="1:525" s="22" customFormat="1" ht="36.75" customHeight="1" x14ac:dyDescent="0.25">
      <c r="A49" s="89" t="s">
        <v>244</v>
      </c>
      <c r="B49" s="42" t="str">
        <f>'дод 7'!A223</f>
        <v>7680</v>
      </c>
      <c r="C49" s="42" t="str">
        <f>'дод 7'!B223</f>
        <v>0490</v>
      </c>
      <c r="D49" s="36" t="str">
        <f>'дод 7'!C223</f>
        <v>Членські внески до асоціацій органів місцевого самоврядування</v>
      </c>
      <c r="E49" s="135">
        <f t="shared" si="9"/>
        <v>366939</v>
      </c>
      <c r="F49" s="135">
        <v>366939</v>
      </c>
      <c r="G49" s="135"/>
      <c r="H49" s="135"/>
      <c r="I49" s="135"/>
      <c r="J49" s="135">
        <f t="shared" si="12"/>
        <v>0</v>
      </c>
      <c r="K49" s="135"/>
      <c r="L49" s="135"/>
      <c r="M49" s="135"/>
      <c r="N49" s="135"/>
      <c r="O49" s="135"/>
      <c r="P49" s="135">
        <f t="shared" si="10"/>
        <v>366939</v>
      </c>
      <c r="Q49" s="178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</row>
    <row r="50" spans="1:525" s="22" customFormat="1" ht="120.75" customHeight="1" x14ac:dyDescent="0.25">
      <c r="A50" s="89" t="s">
        <v>296</v>
      </c>
      <c r="B50" s="42" t="str">
        <f>'дод 7'!A224</f>
        <v>7691</v>
      </c>
      <c r="C50" s="42" t="str">
        <f>'дод 7'!B224</f>
        <v>0490</v>
      </c>
      <c r="D50" s="36" t="str">
        <f>'дод 7'!C224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0" s="135">
        <f t="shared" si="9"/>
        <v>0</v>
      </c>
      <c r="F50" s="135"/>
      <c r="G50" s="135"/>
      <c r="H50" s="135"/>
      <c r="I50" s="135"/>
      <c r="J50" s="135">
        <f t="shared" si="12"/>
        <v>215159.53</v>
      </c>
      <c r="K50" s="135"/>
      <c r="L50" s="135">
        <f>54466+70534+90159.53</f>
        <v>215159.53</v>
      </c>
      <c r="M50" s="135"/>
      <c r="N50" s="135"/>
      <c r="O50" s="135"/>
      <c r="P50" s="135">
        <f t="shared" si="10"/>
        <v>215159.53</v>
      </c>
      <c r="Q50" s="178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</row>
    <row r="51" spans="1:525" s="22" customFormat="1" ht="23.25" customHeight="1" x14ac:dyDescent="0.25">
      <c r="A51" s="89" t="s">
        <v>237</v>
      </c>
      <c r="B51" s="42" t="str">
        <f>'дод 7'!A225</f>
        <v>7693</v>
      </c>
      <c r="C51" s="42" t="str">
        <f>'дод 7'!B225</f>
        <v>0490</v>
      </c>
      <c r="D51" s="36" t="str">
        <f>'дод 7'!C225</f>
        <v>Інші заходи, пов'язані з економічною діяльністю</v>
      </c>
      <c r="E51" s="135">
        <f t="shared" si="9"/>
        <v>1450000</v>
      </c>
      <c r="F51" s="135">
        <v>1450000</v>
      </c>
      <c r="G51" s="135"/>
      <c r="H51" s="135"/>
      <c r="I51" s="135"/>
      <c r="J51" s="135">
        <f t="shared" si="12"/>
        <v>0</v>
      </c>
      <c r="K51" s="135"/>
      <c r="L51" s="135"/>
      <c r="M51" s="135"/>
      <c r="N51" s="135"/>
      <c r="O51" s="135"/>
      <c r="P51" s="135">
        <f t="shared" si="10"/>
        <v>1450000</v>
      </c>
      <c r="Q51" s="178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</row>
    <row r="52" spans="1:525" s="22" customFormat="1" ht="34.5" customHeight="1" x14ac:dyDescent="0.25">
      <c r="A52" s="89" t="s">
        <v>160</v>
      </c>
      <c r="B52" s="42" t="str">
        <f>'дод 7'!A232</f>
        <v>8110</v>
      </c>
      <c r="C52" s="42" t="str">
        <f>'дод 7'!B232</f>
        <v>0320</v>
      </c>
      <c r="D52" s="36" t="str">
        <f>'дод 7'!C232</f>
        <v>Заходи із запобігання та ліквідації надзвичайних ситуацій та наслідків стихійного лиха</v>
      </c>
      <c r="E52" s="135">
        <f t="shared" si="9"/>
        <v>999586</v>
      </c>
      <c r="F52" s="135">
        <f>282100+408750+45000+263736</f>
        <v>999586</v>
      </c>
      <c r="G52" s="135"/>
      <c r="H52" s="135">
        <f>8600-100</f>
        <v>8500</v>
      </c>
      <c r="I52" s="135"/>
      <c r="J52" s="135">
        <f t="shared" si="12"/>
        <v>26500</v>
      </c>
      <c r="K52" s="135">
        <v>26500</v>
      </c>
      <c r="L52" s="135"/>
      <c r="M52" s="135"/>
      <c r="N52" s="135"/>
      <c r="O52" s="135">
        <v>26500</v>
      </c>
      <c r="P52" s="135">
        <f t="shared" si="10"/>
        <v>1026086</v>
      </c>
      <c r="Q52" s="178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</row>
    <row r="53" spans="1:525" s="22" customFormat="1" ht="30.75" customHeight="1" x14ac:dyDescent="0.25">
      <c r="A53" s="89" t="s">
        <v>220</v>
      </c>
      <c r="B53" s="42" t="str">
        <f>'дод 7'!A233</f>
        <v>8120</v>
      </c>
      <c r="C53" s="42" t="str">
        <f>'дод 7'!B233</f>
        <v>0320</v>
      </c>
      <c r="D53" s="36" t="str">
        <f>'дод 7'!C233</f>
        <v>Заходи з організації рятування на водах, у т.ч. за рахунок:</v>
      </c>
      <c r="E53" s="135">
        <f t="shared" si="9"/>
        <v>2599200</v>
      </c>
      <c r="F53" s="135">
        <f>2599200+67750-67750</f>
        <v>2599200</v>
      </c>
      <c r="G53" s="135">
        <f>1998000+55533-55533</f>
        <v>1998000</v>
      </c>
      <c r="H53" s="135">
        <v>79800</v>
      </c>
      <c r="I53" s="135"/>
      <c r="J53" s="135">
        <f t="shared" si="12"/>
        <v>5900</v>
      </c>
      <c r="K53" s="135"/>
      <c r="L53" s="135">
        <v>5900</v>
      </c>
      <c r="M53" s="135"/>
      <c r="N53" s="135">
        <v>1600</v>
      </c>
      <c r="O53" s="135"/>
      <c r="P53" s="135">
        <f t="shared" si="10"/>
        <v>2605100</v>
      </c>
      <c r="Q53" s="178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</row>
    <row r="54" spans="1:525" s="24" customFormat="1" ht="69.75" customHeight="1" x14ac:dyDescent="0.25">
      <c r="A54" s="91"/>
      <c r="B54" s="80"/>
      <c r="C54" s="80"/>
      <c r="D54" s="79" t="str">
        <f>'дод 7'!C234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4" s="136">
        <f t="shared" si="9"/>
        <v>561290</v>
      </c>
      <c r="F54" s="136">
        <f>475205+18335+67750</f>
        <v>561290</v>
      </c>
      <c r="G54" s="136">
        <f>389512+15029+55533</f>
        <v>460074</v>
      </c>
      <c r="H54" s="136"/>
      <c r="I54" s="136"/>
      <c r="J54" s="136">
        <f t="shared" si="12"/>
        <v>0</v>
      </c>
      <c r="K54" s="136"/>
      <c r="L54" s="136"/>
      <c r="M54" s="136"/>
      <c r="N54" s="136"/>
      <c r="O54" s="136"/>
      <c r="P54" s="136">
        <f t="shared" si="10"/>
        <v>561290</v>
      </c>
      <c r="Q54" s="178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30"/>
      <c r="JO54" s="30"/>
      <c r="JP54" s="30"/>
      <c r="JQ54" s="30"/>
      <c r="JR54" s="30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0"/>
      <c r="KG54" s="30"/>
      <c r="KH54" s="30"/>
      <c r="KI54" s="30"/>
      <c r="KJ54" s="30"/>
      <c r="KK54" s="30"/>
      <c r="KL54" s="30"/>
      <c r="KM54" s="30"/>
      <c r="KN54" s="30"/>
      <c r="KO54" s="30"/>
      <c r="KP54" s="30"/>
      <c r="KQ54" s="30"/>
      <c r="KR54" s="30"/>
      <c r="KS54" s="30"/>
      <c r="KT54" s="30"/>
      <c r="KU54" s="30"/>
      <c r="KV54" s="30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/>
      <c r="LJ54" s="30"/>
      <c r="LK54" s="30"/>
      <c r="LL54" s="30"/>
      <c r="LM54" s="30"/>
      <c r="LN54" s="30"/>
      <c r="LO54" s="30"/>
      <c r="LP54" s="30"/>
      <c r="LQ54" s="30"/>
      <c r="LR54" s="30"/>
      <c r="LS54" s="30"/>
      <c r="LT54" s="30"/>
      <c r="LU54" s="30"/>
      <c r="LV54" s="30"/>
      <c r="LW54" s="30"/>
      <c r="LX54" s="30"/>
      <c r="LY54" s="30"/>
      <c r="LZ54" s="30"/>
      <c r="MA54" s="30"/>
      <c r="MB54" s="30"/>
      <c r="MC54" s="30"/>
      <c r="MD54" s="30"/>
      <c r="ME54" s="30"/>
      <c r="MF54" s="30"/>
      <c r="MG54" s="30"/>
      <c r="MH54" s="30"/>
      <c r="MI54" s="30"/>
      <c r="MJ54" s="30"/>
      <c r="MK54" s="30"/>
      <c r="ML54" s="30"/>
      <c r="MM54" s="30"/>
      <c r="MN54" s="30"/>
      <c r="MO54" s="30"/>
      <c r="MP54" s="30"/>
      <c r="MQ54" s="30"/>
      <c r="MR54" s="30"/>
      <c r="MS54" s="30"/>
      <c r="MT54" s="30"/>
      <c r="MU54" s="30"/>
      <c r="MV54" s="30"/>
      <c r="MW54" s="30"/>
      <c r="MX54" s="30"/>
      <c r="MY54" s="30"/>
      <c r="MZ54" s="30"/>
      <c r="NA54" s="30"/>
      <c r="NB54" s="30"/>
      <c r="NC54" s="30"/>
      <c r="ND54" s="30"/>
      <c r="NE54" s="30"/>
      <c r="NF54" s="30"/>
      <c r="NG54" s="30"/>
      <c r="NH54" s="30"/>
      <c r="NI54" s="30"/>
      <c r="NJ54" s="30"/>
      <c r="NK54" s="30"/>
      <c r="NL54" s="30"/>
      <c r="NM54" s="30"/>
      <c r="NN54" s="30"/>
      <c r="NO54" s="30"/>
      <c r="NP54" s="30"/>
      <c r="NQ54" s="30"/>
      <c r="NR54" s="30"/>
      <c r="NS54" s="30"/>
      <c r="NT54" s="30"/>
      <c r="NU54" s="30"/>
      <c r="NV54" s="30"/>
      <c r="NW54" s="30"/>
      <c r="NX54" s="30"/>
      <c r="NY54" s="30"/>
      <c r="NZ54" s="30"/>
      <c r="OA54" s="30"/>
      <c r="OB54" s="30"/>
      <c r="OC54" s="30"/>
      <c r="OD54" s="30"/>
      <c r="OE54" s="30"/>
      <c r="OF54" s="30"/>
      <c r="OG54" s="30"/>
      <c r="OH54" s="30"/>
      <c r="OI54" s="30"/>
      <c r="OJ54" s="30"/>
      <c r="OK54" s="30"/>
      <c r="OL54" s="30"/>
      <c r="OM54" s="30"/>
      <c r="ON54" s="30"/>
      <c r="OO54" s="30"/>
      <c r="OP54" s="30"/>
      <c r="OQ54" s="30"/>
      <c r="OR54" s="30"/>
      <c r="OS54" s="30"/>
      <c r="OT54" s="30"/>
      <c r="OU54" s="30"/>
      <c r="OV54" s="30"/>
      <c r="OW54" s="30"/>
      <c r="OX54" s="30"/>
      <c r="OY54" s="30"/>
      <c r="OZ54" s="30"/>
      <c r="PA54" s="30"/>
      <c r="PB54" s="30"/>
      <c r="PC54" s="30"/>
      <c r="PD54" s="30"/>
      <c r="PE54" s="30"/>
      <c r="PF54" s="30"/>
      <c r="PG54" s="30"/>
      <c r="PH54" s="30"/>
      <c r="PI54" s="30"/>
      <c r="PJ54" s="30"/>
      <c r="PK54" s="30"/>
      <c r="PL54" s="30"/>
      <c r="PM54" s="30"/>
      <c r="PN54" s="30"/>
      <c r="PO54" s="30"/>
      <c r="PP54" s="30"/>
      <c r="PQ54" s="30"/>
      <c r="PR54" s="30"/>
      <c r="PS54" s="30"/>
      <c r="PT54" s="30"/>
      <c r="PU54" s="30"/>
      <c r="PV54" s="30"/>
      <c r="PW54" s="30"/>
      <c r="PX54" s="30"/>
      <c r="PY54" s="30"/>
      <c r="PZ54" s="30"/>
      <c r="QA54" s="30"/>
      <c r="QB54" s="30"/>
      <c r="QC54" s="30"/>
      <c r="QD54" s="30"/>
      <c r="QE54" s="30"/>
      <c r="QF54" s="30"/>
      <c r="QG54" s="30"/>
      <c r="QH54" s="30"/>
      <c r="QI54" s="30"/>
      <c r="QJ54" s="30"/>
      <c r="QK54" s="30"/>
      <c r="QL54" s="30"/>
      <c r="QM54" s="30"/>
      <c r="QN54" s="30"/>
      <c r="QO54" s="30"/>
      <c r="QP54" s="30"/>
      <c r="QQ54" s="30"/>
      <c r="QR54" s="30"/>
      <c r="QS54" s="30"/>
      <c r="QT54" s="30"/>
      <c r="QU54" s="30"/>
      <c r="QV54" s="30"/>
      <c r="QW54" s="30"/>
      <c r="QX54" s="30"/>
      <c r="QY54" s="30"/>
      <c r="QZ54" s="30"/>
      <c r="RA54" s="30"/>
      <c r="RB54" s="30"/>
      <c r="RC54" s="30"/>
      <c r="RD54" s="30"/>
      <c r="RE54" s="30"/>
      <c r="RF54" s="30"/>
      <c r="RG54" s="30"/>
      <c r="RH54" s="30"/>
      <c r="RI54" s="30"/>
      <c r="RJ54" s="30"/>
      <c r="RK54" s="30"/>
      <c r="RL54" s="30"/>
      <c r="RM54" s="30"/>
      <c r="RN54" s="30"/>
      <c r="RO54" s="30"/>
      <c r="RP54" s="30"/>
      <c r="RQ54" s="30"/>
      <c r="RR54" s="30"/>
      <c r="RS54" s="30"/>
      <c r="RT54" s="30"/>
      <c r="RU54" s="30"/>
      <c r="RV54" s="30"/>
      <c r="RW54" s="30"/>
      <c r="RX54" s="30"/>
      <c r="RY54" s="30"/>
      <c r="RZ54" s="30"/>
      <c r="SA54" s="30"/>
      <c r="SB54" s="30"/>
      <c r="SC54" s="30"/>
      <c r="SD54" s="30"/>
      <c r="SE54" s="30"/>
      <c r="SF54" s="30"/>
      <c r="SG54" s="30"/>
      <c r="SH54" s="30"/>
      <c r="SI54" s="30"/>
      <c r="SJ54" s="30"/>
      <c r="SK54" s="30"/>
      <c r="SL54" s="30"/>
      <c r="SM54" s="30"/>
      <c r="SN54" s="30"/>
      <c r="SO54" s="30"/>
      <c r="SP54" s="30"/>
      <c r="SQ54" s="30"/>
      <c r="SR54" s="30"/>
      <c r="SS54" s="30"/>
      <c r="ST54" s="30"/>
      <c r="SU54" s="30"/>
      <c r="SV54" s="30"/>
      <c r="SW54" s="30"/>
      <c r="SX54" s="30"/>
      <c r="SY54" s="30"/>
      <c r="SZ54" s="30"/>
      <c r="TA54" s="30"/>
      <c r="TB54" s="30"/>
      <c r="TC54" s="30"/>
      <c r="TD54" s="30"/>
      <c r="TE54" s="30"/>
    </row>
    <row r="55" spans="1:525" s="22" customFormat="1" ht="27" customHeight="1" x14ac:dyDescent="0.25">
      <c r="A55" s="89" t="s">
        <v>240</v>
      </c>
      <c r="B55" s="42" t="str">
        <f>'дод 7'!A236</f>
        <v>8230</v>
      </c>
      <c r="C55" s="42" t="str">
        <f>'дод 7'!B236</f>
        <v>0380</v>
      </c>
      <c r="D55" s="36" t="str">
        <f>'дод 7'!C236</f>
        <v>Інші заходи громадського порядку та безпеки</v>
      </c>
      <c r="E55" s="135">
        <f t="shared" si="9"/>
        <v>589100</v>
      </c>
      <c r="F55" s="135">
        <v>589100</v>
      </c>
      <c r="G55" s="135"/>
      <c r="H55" s="135">
        <v>426900</v>
      </c>
      <c r="I55" s="135"/>
      <c r="J55" s="135">
        <f t="shared" si="12"/>
        <v>0</v>
      </c>
      <c r="K55" s="135"/>
      <c r="L55" s="135"/>
      <c r="M55" s="135"/>
      <c r="N55" s="135"/>
      <c r="O55" s="135"/>
      <c r="P55" s="135">
        <f t="shared" si="10"/>
        <v>589100</v>
      </c>
      <c r="Q55" s="178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</row>
    <row r="56" spans="1:525" s="22" customFormat="1" ht="27" customHeight="1" x14ac:dyDescent="0.25">
      <c r="A56" s="89" t="s">
        <v>619</v>
      </c>
      <c r="B56" s="42">
        <f>'дод 7'!A237</f>
        <v>8240</v>
      </c>
      <c r="C56" s="42" t="str">
        <f>'дод 7'!B237</f>
        <v>0380</v>
      </c>
      <c r="D56" s="90" t="str">
        <f>'дод 7'!C237</f>
        <v>Заходи та роботи з територіальної оборони</v>
      </c>
      <c r="E56" s="135">
        <f t="shared" ref="E56" si="13">F56+I56</f>
        <v>7876704</v>
      </c>
      <c r="F56" s="135">
        <f>263736+2700000+2761500+1110000+44968+595000+301500+100000</f>
        <v>7876704</v>
      </c>
      <c r="G56" s="135"/>
      <c r="H56" s="135">
        <v>301500</v>
      </c>
      <c r="I56" s="135"/>
      <c r="J56" s="135">
        <f t="shared" ref="J56" si="14">L56+O56</f>
        <v>26500</v>
      </c>
      <c r="K56" s="135">
        <v>26500</v>
      </c>
      <c r="L56" s="135"/>
      <c r="M56" s="135"/>
      <c r="N56" s="135"/>
      <c r="O56" s="135">
        <v>26500</v>
      </c>
      <c r="P56" s="135">
        <f t="shared" ref="P56" si="15">E56+J56</f>
        <v>7903204</v>
      </c>
      <c r="Q56" s="178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</row>
    <row r="57" spans="1:525" s="22" customFormat="1" ht="36" customHeight="1" x14ac:dyDescent="0.25">
      <c r="A57" s="56" t="s">
        <v>161</v>
      </c>
      <c r="B57" s="84" t="str">
        <f>'дод 7'!A240</f>
        <v>8340</v>
      </c>
      <c r="C57" s="84" t="str">
        <f>'дод 7'!B240</f>
        <v>0540</v>
      </c>
      <c r="D57" s="57" t="str">
        <f>'дод 7'!C240</f>
        <v>Природоохоронні заходи за рахунок цільових фондів</v>
      </c>
      <c r="E57" s="135">
        <f t="shared" si="9"/>
        <v>0</v>
      </c>
      <c r="F57" s="135"/>
      <c r="G57" s="135"/>
      <c r="H57" s="135"/>
      <c r="I57" s="135"/>
      <c r="J57" s="135">
        <f t="shared" si="12"/>
        <v>100000</v>
      </c>
      <c r="K57" s="135"/>
      <c r="L57" s="135">
        <v>100000</v>
      </c>
      <c r="M57" s="135"/>
      <c r="N57" s="135"/>
      <c r="O57" s="135"/>
      <c r="P57" s="135">
        <f t="shared" si="10"/>
        <v>100000</v>
      </c>
      <c r="Q57" s="178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</row>
    <row r="58" spans="1:525" s="22" customFormat="1" ht="26.25" hidden="1" customHeight="1" x14ac:dyDescent="0.25">
      <c r="A58" s="89" t="s">
        <v>251</v>
      </c>
      <c r="B58" s="42" t="str">
        <f>'дод 7'!A242</f>
        <v>8420</v>
      </c>
      <c r="C58" s="42" t="str">
        <f>'дод 7'!B242</f>
        <v>0830</v>
      </c>
      <c r="D58" s="36" t="str">
        <f>'дод 7'!C242</f>
        <v>Інші заходи у сфері засобів масової інформації</v>
      </c>
      <c r="E58" s="135">
        <f t="shared" si="9"/>
        <v>0</v>
      </c>
      <c r="F58" s="135"/>
      <c r="G58" s="135"/>
      <c r="H58" s="135"/>
      <c r="I58" s="135"/>
      <c r="J58" s="135">
        <f t="shared" si="12"/>
        <v>0</v>
      </c>
      <c r="K58" s="135"/>
      <c r="L58" s="135"/>
      <c r="M58" s="135"/>
      <c r="N58" s="135"/>
      <c r="O58" s="135"/>
      <c r="P58" s="135">
        <f t="shared" si="10"/>
        <v>0</v>
      </c>
      <c r="Q58" s="178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</row>
    <row r="59" spans="1:525" s="22" customFormat="1" ht="26.25" hidden="1" customHeight="1" x14ac:dyDescent="0.25">
      <c r="A59" s="89" t="s">
        <v>569</v>
      </c>
      <c r="B59" s="42">
        <v>9770</v>
      </c>
      <c r="C59" s="89" t="s">
        <v>44</v>
      </c>
      <c r="D59" s="36" t="s">
        <v>351</v>
      </c>
      <c r="E59" s="135">
        <f t="shared" si="9"/>
        <v>0</v>
      </c>
      <c r="F59" s="135"/>
      <c r="G59" s="135"/>
      <c r="H59" s="135"/>
      <c r="I59" s="135"/>
      <c r="J59" s="135">
        <f t="shared" si="12"/>
        <v>0</v>
      </c>
      <c r="K59" s="135"/>
      <c r="L59" s="135"/>
      <c r="M59" s="135"/>
      <c r="N59" s="135"/>
      <c r="O59" s="135"/>
      <c r="P59" s="135">
        <f t="shared" si="10"/>
        <v>0</v>
      </c>
      <c r="Q59" s="178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</row>
    <row r="60" spans="1:525" s="22" customFormat="1" ht="38.25" customHeight="1" x14ac:dyDescent="0.25">
      <c r="A60" s="89" t="s">
        <v>613</v>
      </c>
      <c r="B60" s="42">
        <v>8775</v>
      </c>
      <c r="C60" s="89" t="s">
        <v>92</v>
      </c>
      <c r="D60" s="36" t="s">
        <v>614</v>
      </c>
      <c r="E60" s="135">
        <f>F60</f>
        <v>568574</v>
      </c>
      <c r="F60" s="135">
        <f>12000000-11500000+68574</f>
        <v>568574</v>
      </c>
      <c r="G60" s="135"/>
      <c r="H60" s="135"/>
      <c r="I60" s="135"/>
      <c r="J60" s="135">
        <f t="shared" ref="J60" si="16">L60+O60</f>
        <v>350000</v>
      </c>
      <c r="K60" s="135">
        <v>350000</v>
      </c>
      <c r="L60" s="135"/>
      <c r="M60" s="135"/>
      <c r="N60" s="135"/>
      <c r="O60" s="135">
        <v>350000</v>
      </c>
      <c r="P60" s="135">
        <f t="shared" ref="P60" si="17">E60+J60</f>
        <v>918574</v>
      </c>
      <c r="Q60" s="178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</row>
    <row r="61" spans="1:525" s="22" customFormat="1" ht="47.25" customHeight="1" x14ac:dyDescent="0.25">
      <c r="A61" s="89" t="s">
        <v>376</v>
      </c>
      <c r="B61" s="42">
        <v>9800</v>
      </c>
      <c r="C61" s="89" t="s">
        <v>44</v>
      </c>
      <c r="D61" s="36" t="s">
        <v>362</v>
      </c>
      <c r="E61" s="135">
        <f t="shared" si="9"/>
        <v>4041800</v>
      </c>
      <c r="F61" s="135">
        <f>711800+530000+800000+1000000+1000000</f>
        <v>4041800</v>
      </c>
      <c r="G61" s="135"/>
      <c r="H61" s="135"/>
      <c r="I61" s="135"/>
      <c r="J61" s="135">
        <f t="shared" si="12"/>
        <v>320000</v>
      </c>
      <c r="K61" s="135">
        <v>320000</v>
      </c>
      <c r="L61" s="135"/>
      <c r="M61" s="135"/>
      <c r="N61" s="135"/>
      <c r="O61" s="135">
        <v>320000</v>
      </c>
      <c r="P61" s="135">
        <f t="shared" si="10"/>
        <v>4361800</v>
      </c>
      <c r="Q61" s="178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</row>
    <row r="62" spans="1:525" s="27" customFormat="1" ht="36" customHeight="1" x14ac:dyDescent="0.25">
      <c r="A62" s="92" t="s">
        <v>162</v>
      </c>
      <c r="B62" s="39"/>
      <c r="C62" s="39"/>
      <c r="D62" s="93" t="s">
        <v>24</v>
      </c>
      <c r="E62" s="133">
        <f>E63</f>
        <v>1403504175.1800001</v>
      </c>
      <c r="F62" s="133">
        <f t="shared" ref="F62:J62" si="18">F63</f>
        <v>1403504175.1800001</v>
      </c>
      <c r="G62" s="133">
        <f t="shared" si="18"/>
        <v>927545254</v>
      </c>
      <c r="H62" s="133">
        <f t="shared" si="18"/>
        <v>157483550</v>
      </c>
      <c r="I62" s="133">
        <f t="shared" si="18"/>
        <v>0</v>
      </c>
      <c r="J62" s="133">
        <f t="shared" si="18"/>
        <v>113881599</v>
      </c>
      <c r="K62" s="133">
        <f t="shared" ref="K62" si="19">K63</f>
        <v>19030000</v>
      </c>
      <c r="L62" s="133">
        <f t="shared" ref="L62" si="20">L63</f>
        <v>94698909</v>
      </c>
      <c r="M62" s="133">
        <f t="shared" ref="M62" si="21">M63</f>
        <v>6034696</v>
      </c>
      <c r="N62" s="133">
        <f t="shared" ref="N62" si="22">N63</f>
        <v>5238893</v>
      </c>
      <c r="O62" s="133">
        <f t="shared" ref="O62:P62" si="23">O63</f>
        <v>19182690</v>
      </c>
      <c r="P62" s="133">
        <f t="shared" si="23"/>
        <v>1517385774.1800001</v>
      </c>
      <c r="Q62" s="178">
        <v>15</v>
      </c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</row>
    <row r="63" spans="1:525" s="34" customFormat="1" ht="38.25" customHeight="1" x14ac:dyDescent="0.25">
      <c r="A63" s="94" t="s">
        <v>163</v>
      </c>
      <c r="B63" s="68"/>
      <c r="C63" s="68"/>
      <c r="D63" s="70" t="s">
        <v>490</v>
      </c>
      <c r="E63" s="134">
        <f>E76+E77+E78+E79+E80+E81+E84+E86+E88+E91+E93+E97+E98+E99+E100+E102+E103+E104+E106+E108+E110+E112+E114+E115+E116+E118+E120+E122+E123+E124+E125+E127+E128+E94+E95</f>
        <v>1403504175.1800001</v>
      </c>
      <c r="F63" s="134">
        <f t="shared" ref="F63:P63" si="24">F76+F77+F78+F79+F80+F81+F84+F86+F88+F91+F93+F97+F98+F99+F100+F102+F103+F104+F106+F108+F110+F112+F114+F115+F116+F118+F120+F122+F123+F124+F125+F127+F128+F94+F95</f>
        <v>1403504175.1800001</v>
      </c>
      <c r="G63" s="134">
        <f t="shared" si="24"/>
        <v>927545254</v>
      </c>
      <c r="H63" s="134">
        <f t="shared" si="24"/>
        <v>157483550</v>
      </c>
      <c r="I63" s="134">
        <f t="shared" si="24"/>
        <v>0</v>
      </c>
      <c r="J63" s="134">
        <f t="shared" si="24"/>
        <v>113881599</v>
      </c>
      <c r="K63" s="134">
        <f t="shared" si="24"/>
        <v>19030000</v>
      </c>
      <c r="L63" s="134">
        <f t="shared" si="24"/>
        <v>94698909</v>
      </c>
      <c r="M63" s="134">
        <f t="shared" si="24"/>
        <v>6034696</v>
      </c>
      <c r="N63" s="134">
        <f t="shared" si="24"/>
        <v>5238893</v>
      </c>
      <c r="O63" s="134">
        <f t="shared" si="24"/>
        <v>19182690</v>
      </c>
      <c r="P63" s="134">
        <f t="shared" si="24"/>
        <v>1517385774.1800001</v>
      </c>
      <c r="Q63" s="178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</row>
    <row r="64" spans="1:525" s="34" customFormat="1" ht="31.5" x14ac:dyDescent="0.25">
      <c r="A64" s="94"/>
      <c r="B64" s="68"/>
      <c r="C64" s="68"/>
      <c r="D64" s="70" t="s">
        <v>384</v>
      </c>
      <c r="E64" s="134">
        <f>E82+E85+E87+E96</f>
        <v>514609700</v>
      </c>
      <c r="F64" s="134">
        <f t="shared" ref="F64:P64" si="25">F82+F85+F87+F96</f>
        <v>514609700</v>
      </c>
      <c r="G64" s="134">
        <f t="shared" si="25"/>
        <v>422305000</v>
      </c>
      <c r="H64" s="134">
        <f t="shared" si="25"/>
        <v>0</v>
      </c>
      <c r="I64" s="134">
        <f t="shared" si="25"/>
        <v>0</v>
      </c>
      <c r="J64" s="134">
        <f t="shared" si="25"/>
        <v>0</v>
      </c>
      <c r="K64" s="134">
        <f t="shared" si="25"/>
        <v>0</v>
      </c>
      <c r="L64" s="134">
        <f t="shared" si="25"/>
        <v>0</v>
      </c>
      <c r="M64" s="134">
        <f t="shared" si="25"/>
        <v>0</v>
      </c>
      <c r="N64" s="134">
        <f t="shared" si="25"/>
        <v>0</v>
      </c>
      <c r="O64" s="134">
        <f t="shared" si="25"/>
        <v>0</v>
      </c>
      <c r="P64" s="134">
        <f t="shared" si="25"/>
        <v>514609700</v>
      </c>
      <c r="Q64" s="178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</row>
    <row r="65" spans="1:525" s="34" customFormat="1" ht="63" hidden="1" customHeight="1" x14ac:dyDescent="0.25">
      <c r="A65" s="94"/>
      <c r="B65" s="68"/>
      <c r="C65" s="68"/>
      <c r="D65" s="70" t="s">
        <v>383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78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</row>
    <row r="66" spans="1:525" s="34" customFormat="1" ht="47.25" hidden="1" customHeight="1" x14ac:dyDescent="0.25">
      <c r="A66" s="94"/>
      <c r="B66" s="68"/>
      <c r="C66" s="68"/>
      <c r="D66" s="70" t="s">
        <v>521</v>
      </c>
      <c r="E66" s="134">
        <f>E89</f>
        <v>0</v>
      </c>
      <c r="F66" s="134">
        <f t="shared" ref="F66:P66" si="26">F89</f>
        <v>0</v>
      </c>
      <c r="G66" s="134">
        <f t="shared" si="26"/>
        <v>0</v>
      </c>
      <c r="H66" s="134">
        <f t="shared" si="26"/>
        <v>0</v>
      </c>
      <c r="I66" s="134">
        <f t="shared" si="26"/>
        <v>0</v>
      </c>
      <c r="J66" s="134">
        <f t="shared" si="26"/>
        <v>0</v>
      </c>
      <c r="K66" s="134">
        <f t="shared" si="26"/>
        <v>0</v>
      </c>
      <c r="L66" s="134">
        <f t="shared" si="26"/>
        <v>0</v>
      </c>
      <c r="M66" s="134">
        <f t="shared" si="26"/>
        <v>0</v>
      </c>
      <c r="N66" s="134">
        <f t="shared" si="26"/>
        <v>0</v>
      </c>
      <c r="O66" s="134">
        <f t="shared" si="26"/>
        <v>0</v>
      </c>
      <c r="P66" s="134">
        <f t="shared" si="26"/>
        <v>0</v>
      </c>
      <c r="Q66" s="178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</row>
    <row r="67" spans="1:525" s="34" customFormat="1" ht="47.25" x14ac:dyDescent="0.25">
      <c r="A67" s="94"/>
      <c r="B67" s="68"/>
      <c r="C67" s="68"/>
      <c r="D67" s="70" t="s">
        <v>379</v>
      </c>
      <c r="E67" s="134">
        <f>E83+E101</f>
        <v>4019391</v>
      </c>
      <c r="F67" s="134">
        <f t="shared" ref="F67:P67" si="27">F83+F101</f>
        <v>4019391</v>
      </c>
      <c r="G67" s="134">
        <f t="shared" si="27"/>
        <v>1447762</v>
      </c>
      <c r="H67" s="134">
        <f t="shared" si="27"/>
        <v>0</v>
      </c>
      <c r="I67" s="134">
        <f t="shared" si="27"/>
        <v>0</v>
      </c>
      <c r="J67" s="134">
        <f t="shared" si="27"/>
        <v>0</v>
      </c>
      <c r="K67" s="134">
        <f t="shared" si="27"/>
        <v>0</v>
      </c>
      <c r="L67" s="134">
        <f t="shared" si="27"/>
        <v>0</v>
      </c>
      <c r="M67" s="134">
        <f t="shared" si="27"/>
        <v>0</v>
      </c>
      <c r="N67" s="134">
        <f t="shared" si="27"/>
        <v>0</v>
      </c>
      <c r="O67" s="134">
        <f t="shared" si="27"/>
        <v>0</v>
      </c>
      <c r="P67" s="134">
        <f t="shared" si="27"/>
        <v>4019391</v>
      </c>
      <c r="Q67" s="178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</row>
    <row r="68" spans="1:525" s="34" customFormat="1" ht="45" hidden="1" customHeight="1" x14ac:dyDescent="0.25">
      <c r="A68" s="94"/>
      <c r="B68" s="68"/>
      <c r="C68" s="68"/>
      <c r="D68" s="70" t="s">
        <v>381</v>
      </c>
      <c r="E68" s="134"/>
      <c r="F68" s="134"/>
      <c r="G68" s="134">
        <f t="shared" ref="G68:O68" si="28">+G98</f>
        <v>0</v>
      </c>
      <c r="H68" s="134">
        <f t="shared" si="28"/>
        <v>0</v>
      </c>
      <c r="I68" s="134">
        <f t="shared" si="28"/>
        <v>0</v>
      </c>
      <c r="J68" s="134">
        <f t="shared" si="28"/>
        <v>0</v>
      </c>
      <c r="K68" s="134">
        <f t="shared" si="28"/>
        <v>0</v>
      </c>
      <c r="L68" s="134">
        <f t="shared" si="28"/>
        <v>0</v>
      </c>
      <c r="M68" s="134">
        <f t="shared" si="28"/>
        <v>0</v>
      </c>
      <c r="N68" s="134">
        <f t="shared" si="28"/>
        <v>0</v>
      </c>
      <c r="O68" s="134">
        <f t="shared" si="28"/>
        <v>0</v>
      </c>
      <c r="P68" s="134"/>
      <c r="Q68" s="178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</row>
    <row r="69" spans="1:525" s="34" customFormat="1" ht="63" customHeight="1" x14ac:dyDescent="0.25">
      <c r="A69" s="94"/>
      <c r="B69" s="68"/>
      <c r="C69" s="68"/>
      <c r="D69" s="70" t="s">
        <v>378</v>
      </c>
      <c r="E69" s="134">
        <f>E111</f>
        <v>1322337.5</v>
      </c>
      <c r="F69" s="134">
        <f t="shared" ref="F69:P69" si="29">F111</f>
        <v>1322337.5</v>
      </c>
      <c r="G69" s="134">
        <f t="shared" si="29"/>
        <v>1083845.5</v>
      </c>
      <c r="H69" s="134">
        <f t="shared" si="29"/>
        <v>0</v>
      </c>
      <c r="I69" s="134">
        <f t="shared" si="29"/>
        <v>0</v>
      </c>
      <c r="J69" s="134">
        <f t="shared" si="29"/>
        <v>0</v>
      </c>
      <c r="K69" s="134">
        <f t="shared" si="29"/>
        <v>0</v>
      </c>
      <c r="L69" s="134">
        <f t="shared" si="29"/>
        <v>0</v>
      </c>
      <c r="M69" s="134">
        <f t="shared" si="29"/>
        <v>0</v>
      </c>
      <c r="N69" s="134">
        <f t="shared" si="29"/>
        <v>0</v>
      </c>
      <c r="O69" s="134">
        <f t="shared" si="29"/>
        <v>0</v>
      </c>
      <c r="P69" s="134">
        <f t="shared" si="29"/>
        <v>1322337.5</v>
      </c>
      <c r="Q69" s="178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</row>
    <row r="70" spans="1:525" s="34" customFormat="1" ht="80.25" customHeight="1" x14ac:dyDescent="0.25">
      <c r="A70" s="94"/>
      <c r="B70" s="121"/>
      <c r="C70" s="68"/>
      <c r="D70" s="70" t="s">
        <v>504</v>
      </c>
      <c r="E70" s="134">
        <f>E113</f>
        <v>429496.68</v>
      </c>
      <c r="F70" s="134">
        <f t="shared" ref="F70:P70" si="30">F113</f>
        <v>429496.68</v>
      </c>
      <c r="G70" s="134">
        <f t="shared" si="30"/>
        <v>352046.5</v>
      </c>
      <c r="H70" s="134">
        <f t="shared" si="30"/>
        <v>0</v>
      </c>
      <c r="I70" s="134">
        <f t="shared" si="30"/>
        <v>0</v>
      </c>
      <c r="J70" s="134">
        <f t="shared" si="30"/>
        <v>0</v>
      </c>
      <c r="K70" s="134">
        <f t="shared" si="30"/>
        <v>0</v>
      </c>
      <c r="L70" s="134">
        <f t="shared" si="30"/>
        <v>0</v>
      </c>
      <c r="M70" s="134">
        <f t="shared" si="30"/>
        <v>0</v>
      </c>
      <c r="N70" s="134">
        <f t="shared" si="30"/>
        <v>0</v>
      </c>
      <c r="O70" s="134">
        <f t="shared" si="30"/>
        <v>0</v>
      </c>
      <c r="P70" s="134">
        <f t="shared" si="30"/>
        <v>429496.68</v>
      </c>
      <c r="Q70" s="178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</row>
    <row r="71" spans="1:525" s="34" customFormat="1" ht="31.5" hidden="1" customHeight="1" x14ac:dyDescent="0.25">
      <c r="A71" s="94"/>
      <c r="B71" s="68"/>
      <c r="C71" s="68"/>
      <c r="D71" s="70" t="s">
        <v>518</v>
      </c>
      <c r="E71" s="134">
        <f t="shared" ref="E71:P71" si="31">E90+E92+E126</f>
        <v>0</v>
      </c>
      <c r="F71" s="134">
        <f t="shared" si="31"/>
        <v>0</v>
      </c>
      <c r="G71" s="134">
        <f t="shared" si="31"/>
        <v>0</v>
      </c>
      <c r="H71" s="134">
        <f t="shared" si="31"/>
        <v>0</v>
      </c>
      <c r="I71" s="134">
        <f t="shared" si="31"/>
        <v>0</v>
      </c>
      <c r="J71" s="134">
        <f t="shared" si="31"/>
        <v>0</v>
      </c>
      <c r="K71" s="134">
        <f t="shared" si="31"/>
        <v>0</v>
      </c>
      <c r="L71" s="134">
        <f t="shared" si="31"/>
        <v>0</v>
      </c>
      <c r="M71" s="134">
        <f t="shared" si="31"/>
        <v>0</v>
      </c>
      <c r="N71" s="134">
        <f t="shared" si="31"/>
        <v>0</v>
      </c>
      <c r="O71" s="134">
        <f t="shared" si="31"/>
        <v>0</v>
      </c>
      <c r="P71" s="134">
        <f t="shared" si="31"/>
        <v>0</v>
      </c>
      <c r="Q71" s="178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</row>
    <row r="72" spans="1:525" s="34" customFormat="1" ht="78.75" hidden="1" customHeight="1" x14ac:dyDescent="0.25">
      <c r="A72" s="94"/>
      <c r="B72" s="68"/>
      <c r="C72" s="68"/>
      <c r="D72" s="70" t="s">
        <v>536</v>
      </c>
      <c r="E72" s="134">
        <f>E109</f>
        <v>0</v>
      </c>
      <c r="F72" s="134">
        <f t="shared" ref="F72:P72" si="32">F109</f>
        <v>0</v>
      </c>
      <c r="G72" s="134">
        <f t="shared" si="32"/>
        <v>0</v>
      </c>
      <c r="H72" s="134">
        <f t="shared" si="32"/>
        <v>0</v>
      </c>
      <c r="I72" s="134">
        <f t="shared" si="32"/>
        <v>0</v>
      </c>
      <c r="J72" s="134">
        <f t="shared" si="32"/>
        <v>0</v>
      </c>
      <c r="K72" s="134">
        <f t="shared" si="32"/>
        <v>0</v>
      </c>
      <c r="L72" s="134">
        <f t="shared" si="32"/>
        <v>0</v>
      </c>
      <c r="M72" s="134">
        <f t="shared" si="32"/>
        <v>0</v>
      </c>
      <c r="N72" s="134">
        <f t="shared" si="32"/>
        <v>0</v>
      </c>
      <c r="O72" s="134">
        <f t="shared" si="32"/>
        <v>0</v>
      </c>
      <c r="P72" s="134">
        <f t="shared" si="32"/>
        <v>0</v>
      </c>
      <c r="Q72" s="178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</row>
    <row r="73" spans="1:525" s="34" customFormat="1" ht="51.75" hidden="1" customHeight="1" x14ac:dyDescent="0.25">
      <c r="A73" s="86"/>
      <c r="B73" s="95"/>
      <c r="C73" s="96"/>
      <c r="D73" s="70" t="s">
        <v>564</v>
      </c>
      <c r="E73" s="134">
        <f>E105</f>
        <v>0</v>
      </c>
      <c r="F73" s="134">
        <f t="shared" ref="F73:P73" si="33">F105</f>
        <v>0</v>
      </c>
      <c r="G73" s="134">
        <f t="shared" si="33"/>
        <v>0</v>
      </c>
      <c r="H73" s="134">
        <f t="shared" si="33"/>
        <v>0</v>
      </c>
      <c r="I73" s="134">
        <f t="shared" si="33"/>
        <v>0</v>
      </c>
      <c r="J73" s="134">
        <f t="shared" si="33"/>
        <v>0</v>
      </c>
      <c r="K73" s="134">
        <f t="shared" si="33"/>
        <v>0</v>
      </c>
      <c r="L73" s="134">
        <f t="shared" si="33"/>
        <v>0</v>
      </c>
      <c r="M73" s="134">
        <f t="shared" si="33"/>
        <v>0</v>
      </c>
      <c r="N73" s="134">
        <f t="shared" si="33"/>
        <v>0</v>
      </c>
      <c r="O73" s="134">
        <f t="shared" si="33"/>
        <v>0</v>
      </c>
      <c r="P73" s="134">
        <f t="shared" si="33"/>
        <v>0</v>
      </c>
      <c r="Q73" s="178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</row>
    <row r="74" spans="1:525" s="34" customFormat="1" ht="62.25" hidden="1" customHeight="1" x14ac:dyDescent="0.25">
      <c r="A74" s="94"/>
      <c r="B74" s="68"/>
      <c r="C74" s="68"/>
      <c r="D74" s="115" t="s">
        <v>383</v>
      </c>
      <c r="E74" s="134">
        <f>E121</f>
        <v>0</v>
      </c>
      <c r="F74" s="134">
        <f t="shared" ref="F74:P74" si="34">F121</f>
        <v>0</v>
      </c>
      <c r="G74" s="134">
        <f t="shared" si="34"/>
        <v>0</v>
      </c>
      <c r="H74" s="134">
        <f t="shared" si="34"/>
        <v>0</v>
      </c>
      <c r="I74" s="134">
        <f t="shared" si="34"/>
        <v>0</v>
      </c>
      <c r="J74" s="134">
        <f t="shared" si="34"/>
        <v>0</v>
      </c>
      <c r="K74" s="134">
        <f t="shared" si="34"/>
        <v>0</v>
      </c>
      <c r="L74" s="134">
        <f t="shared" si="34"/>
        <v>0</v>
      </c>
      <c r="M74" s="134">
        <f t="shared" si="34"/>
        <v>0</v>
      </c>
      <c r="N74" s="134">
        <f t="shared" si="34"/>
        <v>0</v>
      </c>
      <c r="O74" s="134">
        <f t="shared" si="34"/>
        <v>0</v>
      </c>
      <c r="P74" s="134">
        <f t="shared" si="34"/>
        <v>0</v>
      </c>
      <c r="Q74" s="178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</row>
    <row r="75" spans="1:525" s="34" customFormat="1" ht="22.5" hidden="1" customHeight="1" x14ac:dyDescent="0.25">
      <c r="A75" s="94"/>
      <c r="B75" s="68"/>
      <c r="C75" s="68"/>
      <c r="D75" s="70" t="s">
        <v>390</v>
      </c>
      <c r="E75" s="134">
        <f>E107+E117+E119</f>
        <v>0</v>
      </c>
      <c r="F75" s="134">
        <f t="shared" ref="F75:P75" si="35">F107+F117+F119</f>
        <v>0</v>
      </c>
      <c r="G75" s="134">
        <f t="shared" si="35"/>
        <v>0</v>
      </c>
      <c r="H75" s="134">
        <f t="shared" si="35"/>
        <v>0</v>
      </c>
      <c r="I75" s="134">
        <f t="shared" si="35"/>
        <v>0</v>
      </c>
      <c r="J75" s="134">
        <f t="shared" si="35"/>
        <v>0</v>
      </c>
      <c r="K75" s="134">
        <f t="shared" si="35"/>
        <v>0</v>
      </c>
      <c r="L75" s="134">
        <f t="shared" si="35"/>
        <v>0</v>
      </c>
      <c r="M75" s="134">
        <f t="shared" si="35"/>
        <v>0</v>
      </c>
      <c r="N75" s="134">
        <f t="shared" si="35"/>
        <v>0</v>
      </c>
      <c r="O75" s="134">
        <f t="shared" si="35"/>
        <v>0</v>
      </c>
      <c r="P75" s="134">
        <f t="shared" si="35"/>
        <v>0</v>
      </c>
      <c r="Q75" s="178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</row>
    <row r="76" spans="1:525" s="22" customFormat="1" ht="45.75" customHeight="1" x14ac:dyDescent="0.25">
      <c r="A76" s="56" t="s">
        <v>164</v>
      </c>
      <c r="B76" s="84" t="str">
        <f>'дод 7'!A14</f>
        <v>0160</v>
      </c>
      <c r="C76" s="84" t="str">
        <f>'дод 7'!B14</f>
        <v>0111</v>
      </c>
      <c r="D76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76" s="135">
        <f t="shared" ref="E76:E128" si="36">F76+I76</f>
        <v>3683200</v>
      </c>
      <c r="F76" s="135">
        <f>3979800-296600</f>
        <v>3683200</v>
      </c>
      <c r="G76" s="135">
        <f>3039200-243100</f>
        <v>2796100</v>
      </c>
      <c r="H76" s="135">
        <v>80000</v>
      </c>
      <c r="I76" s="135"/>
      <c r="J76" s="135">
        <f>L76+O76</f>
        <v>0</v>
      </c>
      <c r="K76" s="135">
        <v>0</v>
      </c>
      <c r="L76" s="135"/>
      <c r="M76" s="135"/>
      <c r="N76" s="135"/>
      <c r="O76" s="135">
        <v>0</v>
      </c>
      <c r="P76" s="135">
        <f t="shared" ref="P76:P128" si="37">E76+J76</f>
        <v>3683200</v>
      </c>
      <c r="Q76" s="178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</row>
    <row r="77" spans="1:525" s="22" customFormat="1" ht="21.75" customHeight="1" x14ac:dyDescent="0.25">
      <c r="A77" s="56" t="s">
        <v>165</v>
      </c>
      <c r="B77" s="84" t="str">
        <f>'дод 7'!A31</f>
        <v>1010</v>
      </c>
      <c r="C77" s="84" t="str">
        <f>'дод 7'!B31</f>
        <v>0910</v>
      </c>
      <c r="D77" s="57" t="str">
        <f>'дод 7'!C31</f>
        <v>Надання дошкільної освіти</v>
      </c>
      <c r="E77" s="135">
        <f t="shared" si="36"/>
        <v>359431200</v>
      </c>
      <c r="F77" s="135">
        <f>358226300-1199300+819200+720000+165000+700000</f>
        <v>359431200</v>
      </c>
      <c r="G77" s="135">
        <f>227266400+672200</f>
        <v>227938600</v>
      </c>
      <c r="H77" s="135">
        <f>54382900-1199300</f>
        <v>53183600</v>
      </c>
      <c r="I77" s="135"/>
      <c r="J77" s="135">
        <f>L77+O77</f>
        <v>29806100</v>
      </c>
      <c r="K77" s="135">
        <f>7717769+5115036-4915036+80000-1918400-454283-1845086</f>
        <v>3780000</v>
      </c>
      <c r="L77" s="135">
        <v>26026100</v>
      </c>
      <c r="M77" s="135"/>
      <c r="N77" s="135"/>
      <c r="O77" s="135">
        <f>7717769+5115036-4915036+80000-1918400-454283-1845086</f>
        <v>3780000</v>
      </c>
      <c r="P77" s="135">
        <f t="shared" si="37"/>
        <v>389237300</v>
      </c>
      <c r="Q77" s="178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</row>
    <row r="78" spans="1:525" s="22" customFormat="1" ht="37.5" customHeight="1" x14ac:dyDescent="0.25">
      <c r="A78" s="56" t="s">
        <v>454</v>
      </c>
      <c r="B78" s="56">
        <f>'дод 7'!A33</f>
        <v>1021</v>
      </c>
      <c r="C78" s="84" t="str">
        <f>'дод 7'!B33</f>
        <v>0921</v>
      </c>
      <c r="D78" s="57" t="str">
        <f>'дод 7'!C33</f>
        <v>Надання загальної середньої освіти закладами загальної середньої освіти</v>
      </c>
      <c r="E78" s="135">
        <f t="shared" si="36"/>
        <v>262217700</v>
      </c>
      <c r="F78" s="135">
        <f>260738300-1664900+2182900-120000+650000-120000+120000+80000+450000-98600</f>
        <v>262217700</v>
      </c>
      <c r="G78" s="135">
        <f>123498700+1789300+82000</f>
        <v>125370000</v>
      </c>
      <c r="H78" s="135">
        <f>73552100-1664900-120000</f>
        <v>71767200</v>
      </c>
      <c r="I78" s="135"/>
      <c r="J78" s="135">
        <f t="shared" ref="J78:J128" si="38">L78+O78</f>
        <v>66742060</v>
      </c>
      <c r="K78" s="135">
        <f>12824767+200000-427846+4080000+680000+70000-6050000-2200000-796921+892240</f>
        <v>9272240</v>
      </c>
      <c r="L78" s="135">
        <v>57469820</v>
      </c>
      <c r="M78" s="135">
        <v>3254108</v>
      </c>
      <c r="N78" s="135">
        <v>349209</v>
      </c>
      <c r="O78" s="135">
        <f>12824767+200000-427846+4080000+680000+70000-6050000-2200000-796921+892240</f>
        <v>9272240</v>
      </c>
      <c r="P78" s="135">
        <f t="shared" si="37"/>
        <v>328959760</v>
      </c>
      <c r="Q78" s="178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</row>
    <row r="79" spans="1:525" s="22" customFormat="1" ht="63" x14ac:dyDescent="0.25">
      <c r="A79" s="56" t="s">
        <v>456</v>
      </c>
      <c r="B79" s="84">
        <v>1022</v>
      </c>
      <c r="C79" s="56" t="s">
        <v>54</v>
      </c>
      <c r="D79" s="36" t="str">
        <f>'дод 7'!C40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79" s="135">
        <f t="shared" si="36"/>
        <v>17867500</v>
      </c>
      <c r="F79" s="135">
        <f>17764300+103200</f>
        <v>17867500</v>
      </c>
      <c r="G79" s="135">
        <f>9714400+84600</f>
        <v>9799000</v>
      </c>
      <c r="H79" s="135">
        <v>3121200</v>
      </c>
      <c r="I79" s="135"/>
      <c r="J79" s="135">
        <f t="shared" si="38"/>
        <v>507760</v>
      </c>
      <c r="K79" s="135">
        <f>1131600+100000-831600+107760</f>
        <v>507760</v>
      </c>
      <c r="L79" s="135"/>
      <c r="M79" s="135"/>
      <c r="N79" s="135"/>
      <c r="O79" s="135">
        <f>1131600+100000-831600+107760</f>
        <v>507760</v>
      </c>
      <c r="P79" s="135">
        <f t="shared" si="37"/>
        <v>18375260</v>
      </c>
      <c r="Q79" s="178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</row>
    <row r="80" spans="1:525" s="22" customFormat="1" ht="68.25" customHeight="1" x14ac:dyDescent="0.25">
      <c r="A80" s="56" t="s">
        <v>559</v>
      </c>
      <c r="B80" s="84">
        <v>1025</v>
      </c>
      <c r="C80" s="56" t="s">
        <v>54</v>
      </c>
      <c r="D80" s="36" t="str">
        <f>'дод 7'!C42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v>
      </c>
      <c r="E80" s="135">
        <f t="shared" si="36"/>
        <v>12183400</v>
      </c>
      <c r="F80" s="135">
        <f>12008200+55200+120000</f>
        <v>12183400</v>
      </c>
      <c r="G80" s="135">
        <f>8024400+45300</f>
        <v>8069700</v>
      </c>
      <c r="H80" s="135">
        <v>1445800</v>
      </c>
      <c r="I80" s="135"/>
      <c r="J80" s="135">
        <f t="shared" si="38"/>
        <v>200000</v>
      </c>
      <c r="K80" s="135">
        <f>100000+100000</f>
        <v>200000</v>
      </c>
      <c r="L80" s="135"/>
      <c r="M80" s="135"/>
      <c r="N80" s="135"/>
      <c r="O80" s="135">
        <v>200000</v>
      </c>
      <c r="P80" s="135">
        <f t="shared" si="37"/>
        <v>12383400</v>
      </c>
      <c r="Q80" s="178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</row>
    <row r="81" spans="1:525" s="22" customFormat="1" ht="31.5" x14ac:dyDescent="0.25">
      <c r="A81" s="56" t="s">
        <v>458</v>
      </c>
      <c r="B81" s="84">
        <v>1031</v>
      </c>
      <c r="C81" s="56" t="s">
        <v>50</v>
      </c>
      <c r="D81" s="57" t="str">
        <f>'дод 7'!C43</f>
        <v xml:space="preserve">Надання загальної середньої освіти закладами загальної середньої освіти, у т.ч. за рахунок: </v>
      </c>
      <c r="E81" s="135">
        <f t="shared" si="36"/>
        <v>479826073</v>
      </c>
      <c r="F81" s="135">
        <f>528463300+2513970-50899800-251397</f>
        <v>479826073</v>
      </c>
      <c r="G81" s="135">
        <f>433878000-41934600</f>
        <v>391943400</v>
      </c>
      <c r="H81" s="135"/>
      <c r="I81" s="135"/>
      <c r="J81" s="135">
        <f t="shared" si="38"/>
        <v>0</v>
      </c>
      <c r="K81" s="135"/>
      <c r="L81" s="135"/>
      <c r="M81" s="135"/>
      <c r="N81" s="135"/>
      <c r="O81" s="135"/>
      <c r="P81" s="135">
        <f t="shared" si="37"/>
        <v>479826073</v>
      </c>
      <c r="Q81" s="178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</row>
    <row r="82" spans="1:525" s="24" customFormat="1" ht="31.5" x14ac:dyDescent="0.25">
      <c r="A82" s="76"/>
      <c r="B82" s="97"/>
      <c r="C82" s="97"/>
      <c r="D82" s="79" t="s">
        <v>384</v>
      </c>
      <c r="E82" s="136">
        <f t="shared" si="36"/>
        <v>477563500</v>
      </c>
      <c r="F82" s="136">
        <f>528463300-50899800</f>
        <v>477563500</v>
      </c>
      <c r="G82" s="136">
        <f>433878000-41934600</f>
        <v>391943400</v>
      </c>
      <c r="H82" s="136"/>
      <c r="I82" s="136"/>
      <c r="J82" s="136">
        <f t="shared" si="38"/>
        <v>0</v>
      </c>
      <c r="K82" s="136"/>
      <c r="L82" s="136"/>
      <c r="M82" s="136"/>
      <c r="N82" s="136"/>
      <c r="O82" s="136"/>
      <c r="P82" s="136">
        <f t="shared" si="37"/>
        <v>477563500</v>
      </c>
      <c r="Q82" s="178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</row>
    <row r="83" spans="1:525" s="24" customFormat="1" ht="47.25" x14ac:dyDescent="0.25">
      <c r="A83" s="76"/>
      <c r="B83" s="97"/>
      <c r="C83" s="97"/>
      <c r="D83" s="79" t="s">
        <v>379</v>
      </c>
      <c r="E83" s="136">
        <f t="shared" si="36"/>
        <v>2262573</v>
      </c>
      <c r="F83" s="136">
        <f>2513970-251397</f>
        <v>2262573</v>
      </c>
      <c r="G83" s="136"/>
      <c r="H83" s="136"/>
      <c r="I83" s="136"/>
      <c r="J83" s="136">
        <f t="shared" si="38"/>
        <v>0</v>
      </c>
      <c r="K83" s="136"/>
      <c r="L83" s="136"/>
      <c r="M83" s="136"/>
      <c r="N83" s="136"/>
      <c r="O83" s="136"/>
      <c r="P83" s="136">
        <f t="shared" si="37"/>
        <v>2262573</v>
      </c>
      <c r="Q83" s="178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</row>
    <row r="84" spans="1:525" s="22" customFormat="1" ht="65.25" customHeight="1" x14ac:dyDescent="0.25">
      <c r="A84" s="56" t="s">
        <v>459</v>
      </c>
      <c r="B84" s="56" t="s">
        <v>460</v>
      </c>
      <c r="C84" s="56" t="s">
        <v>54</v>
      </c>
      <c r="D84" s="57" t="str">
        <f>'дод 7'!C46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v>
      </c>
      <c r="E84" s="135">
        <f t="shared" si="36"/>
        <v>16318900</v>
      </c>
      <c r="F84" s="135">
        <f>17946200-1627300</f>
        <v>16318900</v>
      </c>
      <c r="G84" s="135">
        <f>14710000-1334800</f>
        <v>13375200</v>
      </c>
      <c r="H84" s="135"/>
      <c r="I84" s="135"/>
      <c r="J84" s="135">
        <f t="shared" si="38"/>
        <v>0</v>
      </c>
      <c r="K84" s="135"/>
      <c r="L84" s="135"/>
      <c r="M84" s="135"/>
      <c r="N84" s="135"/>
      <c r="O84" s="135"/>
      <c r="P84" s="135">
        <f t="shared" si="37"/>
        <v>16318900</v>
      </c>
      <c r="Q84" s="178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</row>
    <row r="85" spans="1:525" s="24" customFormat="1" ht="31.5" x14ac:dyDescent="0.25">
      <c r="A85" s="76"/>
      <c r="B85" s="97"/>
      <c r="C85" s="97"/>
      <c r="D85" s="79" t="s">
        <v>384</v>
      </c>
      <c r="E85" s="136">
        <f t="shared" ref="E85:E91" si="39">F85+I85</f>
        <v>16318900</v>
      </c>
      <c r="F85" s="136">
        <f>17946200-1627300</f>
        <v>16318900</v>
      </c>
      <c r="G85" s="136">
        <f>14710000-1334800</f>
        <v>13375200</v>
      </c>
      <c r="H85" s="136"/>
      <c r="I85" s="136"/>
      <c r="J85" s="136">
        <f t="shared" ref="J85:J87" si="40">L85+O85</f>
        <v>0</v>
      </c>
      <c r="K85" s="136"/>
      <c r="L85" s="136"/>
      <c r="M85" s="136"/>
      <c r="N85" s="136"/>
      <c r="O85" s="136"/>
      <c r="P85" s="136">
        <f t="shared" ref="P85:P87" si="41">E85+J85</f>
        <v>16318900</v>
      </c>
      <c r="Q85" s="178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</row>
    <row r="86" spans="1:525" s="22" customFormat="1" ht="69" customHeight="1" x14ac:dyDescent="0.25">
      <c r="A86" s="56" t="s">
        <v>561</v>
      </c>
      <c r="B86" s="84">
        <v>1035</v>
      </c>
      <c r="C86" s="56" t="s">
        <v>54</v>
      </c>
      <c r="D86" s="36" t="str">
        <f>'дод 7'!C48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v>
      </c>
      <c r="E86" s="135">
        <f t="shared" si="36"/>
        <v>1301700</v>
      </c>
      <c r="F86" s="135">
        <v>1301700</v>
      </c>
      <c r="G86" s="135">
        <v>1067000</v>
      </c>
      <c r="H86" s="135"/>
      <c r="I86" s="135"/>
      <c r="J86" s="135">
        <f t="shared" si="38"/>
        <v>0</v>
      </c>
      <c r="K86" s="135"/>
      <c r="L86" s="135"/>
      <c r="M86" s="135"/>
      <c r="N86" s="135"/>
      <c r="O86" s="135"/>
      <c r="P86" s="135">
        <f t="shared" si="37"/>
        <v>1301700</v>
      </c>
      <c r="Q86" s="178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</row>
    <row r="87" spans="1:525" s="24" customFormat="1" ht="31.5" x14ac:dyDescent="0.25">
      <c r="A87" s="76"/>
      <c r="B87" s="97"/>
      <c r="C87" s="76"/>
      <c r="D87" s="79" t="s">
        <v>384</v>
      </c>
      <c r="E87" s="136">
        <f t="shared" si="39"/>
        <v>1301700</v>
      </c>
      <c r="F87" s="136">
        <v>1301700</v>
      </c>
      <c r="G87" s="136">
        <v>1067000</v>
      </c>
      <c r="H87" s="136"/>
      <c r="I87" s="136"/>
      <c r="J87" s="136">
        <f t="shared" si="40"/>
        <v>0</v>
      </c>
      <c r="K87" s="136"/>
      <c r="L87" s="136"/>
      <c r="M87" s="136"/>
      <c r="N87" s="136"/>
      <c r="O87" s="136"/>
      <c r="P87" s="136">
        <f t="shared" si="41"/>
        <v>1301700</v>
      </c>
      <c r="Q87" s="178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</row>
    <row r="88" spans="1:525" s="24" customFormat="1" ht="31.5" hidden="1" customHeight="1" x14ac:dyDescent="0.25">
      <c r="A88" s="56" t="s">
        <v>509</v>
      </c>
      <c r="B88" s="84">
        <v>1061</v>
      </c>
      <c r="C88" s="56" t="s">
        <v>50</v>
      </c>
      <c r="D88" s="36" t="s">
        <v>487</v>
      </c>
      <c r="E88" s="135">
        <f t="shared" si="39"/>
        <v>0</v>
      </c>
      <c r="F88" s="135"/>
      <c r="G88" s="136"/>
      <c r="H88" s="136"/>
      <c r="I88" s="136"/>
      <c r="J88" s="135">
        <f t="shared" si="38"/>
        <v>0</v>
      </c>
      <c r="K88" s="135"/>
      <c r="L88" s="135"/>
      <c r="M88" s="135"/>
      <c r="N88" s="135"/>
      <c r="O88" s="135"/>
      <c r="P88" s="135">
        <f t="shared" si="37"/>
        <v>0</v>
      </c>
      <c r="Q88" s="178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</row>
    <row r="89" spans="1:525" s="24" customFormat="1" ht="46.5" hidden="1" customHeight="1" x14ac:dyDescent="0.25">
      <c r="A89" s="76"/>
      <c r="B89" s="97"/>
      <c r="C89" s="76"/>
      <c r="D89" s="79" t="s">
        <v>521</v>
      </c>
      <c r="E89" s="136">
        <f>F89+I89</f>
        <v>0</v>
      </c>
      <c r="F89" s="136"/>
      <c r="G89" s="136"/>
      <c r="H89" s="136"/>
      <c r="I89" s="136"/>
      <c r="J89" s="136">
        <f>L89+O89</f>
        <v>0</v>
      </c>
      <c r="K89" s="136"/>
      <c r="L89" s="136"/>
      <c r="M89" s="136"/>
      <c r="N89" s="136"/>
      <c r="O89" s="136"/>
      <c r="P89" s="136">
        <f t="shared" si="37"/>
        <v>0</v>
      </c>
      <c r="Q89" s="178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</row>
    <row r="90" spans="1:525" s="24" customFormat="1" ht="31.5" hidden="1" customHeight="1" x14ac:dyDescent="0.25">
      <c r="A90" s="76"/>
      <c r="B90" s="97"/>
      <c r="C90" s="76"/>
      <c r="D90" s="79" t="s">
        <v>518</v>
      </c>
      <c r="E90" s="136">
        <f t="shared" ref="E90:E92" si="42">F90+I90</f>
        <v>0</v>
      </c>
      <c r="F90" s="136"/>
      <c r="G90" s="136"/>
      <c r="H90" s="136"/>
      <c r="I90" s="136"/>
      <c r="J90" s="136">
        <f t="shared" ref="J90" si="43">L90+O90</f>
        <v>0</v>
      </c>
      <c r="K90" s="136"/>
      <c r="L90" s="136"/>
      <c r="M90" s="136"/>
      <c r="N90" s="136"/>
      <c r="O90" s="136"/>
      <c r="P90" s="136">
        <f t="shared" si="37"/>
        <v>0</v>
      </c>
      <c r="Q90" s="178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</row>
    <row r="91" spans="1:525" s="24" customFormat="1" ht="63" hidden="1" customHeight="1" x14ac:dyDescent="0.25">
      <c r="A91" s="56" t="s">
        <v>513</v>
      </c>
      <c r="B91" s="84">
        <v>1062</v>
      </c>
      <c r="C91" s="56" t="s">
        <v>54</v>
      </c>
      <c r="D91" s="57" t="s">
        <v>488</v>
      </c>
      <c r="E91" s="135">
        <f t="shared" si="39"/>
        <v>0</v>
      </c>
      <c r="F91" s="135"/>
      <c r="G91" s="136"/>
      <c r="H91" s="136"/>
      <c r="I91" s="136"/>
      <c r="J91" s="135">
        <f>L91+O91</f>
        <v>0</v>
      </c>
      <c r="K91" s="136"/>
      <c r="L91" s="136"/>
      <c r="M91" s="136"/>
      <c r="N91" s="136"/>
      <c r="O91" s="136"/>
      <c r="P91" s="135">
        <f t="shared" si="37"/>
        <v>0</v>
      </c>
      <c r="Q91" s="178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</row>
    <row r="92" spans="1:525" s="24" customFormat="1" ht="31.5" hidden="1" customHeight="1" x14ac:dyDescent="0.25">
      <c r="A92" s="76"/>
      <c r="B92" s="97"/>
      <c r="C92" s="76"/>
      <c r="D92" s="79" t="s">
        <v>518</v>
      </c>
      <c r="E92" s="136">
        <f t="shared" si="42"/>
        <v>0</v>
      </c>
      <c r="F92" s="136"/>
      <c r="G92" s="136"/>
      <c r="H92" s="136"/>
      <c r="I92" s="136"/>
      <c r="J92" s="136">
        <f>L92+O92</f>
        <v>0</v>
      </c>
      <c r="K92" s="136"/>
      <c r="L92" s="136"/>
      <c r="M92" s="136"/>
      <c r="N92" s="136"/>
      <c r="O92" s="136"/>
      <c r="P92" s="136">
        <f t="shared" si="37"/>
        <v>0</v>
      </c>
      <c r="Q92" s="178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</row>
    <row r="93" spans="1:525" s="22" customFormat="1" ht="47.25" x14ac:dyDescent="0.25">
      <c r="A93" s="56" t="s">
        <v>461</v>
      </c>
      <c r="B93" s="56" t="s">
        <v>53</v>
      </c>
      <c r="C93" s="56" t="s">
        <v>56</v>
      </c>
      <c r="D93" s="57" t="str">
        <f>'дод 7'!C55</f>
        <v>Надання позашкільної освіти закладами позашкільної освіти, заходи із позашкільної роботи з дітьми</v>
      </c>
      <c r="E93" s="135">
        <f t="shared" si="36"/>
        <v>43917700</v>
      </c>
      <c r="F93" s="135">
        <f>43546200+7300+364200</f>
        <v>43917700</v>
      </c>
      <c r="G93" s="135">
        <f>30072000+6000+157200</f>
        <v>30235200</v>
      </c>
      <c r="H93" s="135">
        <v>5804900</v>
      </c>
      <c r="I93" s="135"/>
      <c r="J93" s="135">
        <f t="shared" si="38"/>
        <v>400000</v>
      </c>
      <c r="K93" s="135">
        <f>731964-331964</f>
        <v>400000</v>
      </c>
      <c r="L93" s="135"/>
      <c r="M93" s="135"/>
      <c r="N93" s="135"/>
      <c r="O93" s="135">
        <f>731964-331964</f>
        <v>400000</v>
      </c>
      <c r="P93" s="135">
        <f t="shared" si="37"/>
        <v>44317700</v>
      </c>
      <c r="Q93" s="178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</row>
    <row r="94" spans="1:525" s="22" customFormat="1" ht="47.25" x14ac:dyDescent="0.25">
      <c r="A94" s="56" t="s">
        <v>599</v>
      </c>
      <c r="B94" s="84">
        <v>1091</v>
      </c>
      <c r="C94" s="56" t="s">
        <v>600</v>
      </c>
      <c r="D94" s="36" t="str">
        <f>'дод 7'!C57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4" s="135">
        <f t="shared" si="36"/>
        <v>149164200</v>
      </c>
      <c r="F94" s="135">
        <f>146300000+2864200</f>
        <v>149164200</v>
      </c>
      <c r="G94" s="135">
        <v>78676200</v>
      </c>
      <c r="H94" s="135">
        <v>20084950</v>
      </c>
      <c r="I94" s="135"/>
      <c r="J94" s="135">
        <f t="shared" si="38"/>
        <v>10665879</v>
      </c>
      <c r="K94" s="135"/>
      <c r="L94" s="135">
        <v>10583189</v>
      </c>
      <c r="M94" s="135">
        <v>2780588</v>
      </c>
      <c r="N94" s="135">
        <v>4889684</v>
      </c>
      <c r="O94" s="135">
        <v>82690</v>
      </c>
      <c r="P94" s="135">
        <f t="shared" si="37"/>
        <v>159830079</v>
      </c>
      <c r="Q94" s="178">
        <v>16</v>
      </c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</row>
    <row r="95" spans="1:525" s="22" customFormat="1" ht="63" x14ac:dyDescent="0.25">
      <c r="A95" s="56" t="s">
        <v>602</v>
      </c>
      <c r="B95" s="84">
        <v>1092</v>
      </c>
      <c r="C95" s="56" t="s">
        <v>600</v>
      </c>
      <c r="D95" s="36" t="str">
        <f>'дод 7'!C58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95" s="135">
        <f t="shared" si="36"/>
        <v>19425600</v>
      </c>
      <c r="F95" s="135">
        <f>24077400-4651800</f>
        <v>19425600</v>
      </c>
      <c r="G95" s="135">
        <f>19735600-3816200</f>
        <v>15919400</v>
      </c>
      <c r="H95" s="135"/>
      <c r="I95" s="135"/>
      <c r="J95" s="135">
        <f t="shared" si="38"/>
        <v>0</v>
      </c>
      <c r="K95" s="135"/>
      <c r="L95" s="135"/>
      <c r="M95" s="135"/>
      <c r="N95" s="135"/>
      <c r="O95" s="135"/>
      <c r="P95" s="135">
        <f t="shared" si="37"/>
        <v>19425600</v>
      </c>
      <c r="Q95" s="178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</row>
    <row r="96" spans="1:525" s="24" customFormat="1" ht="31.5" x14ac:dyDescent="0.25">
      <c r="A96" s="76"/>
      <c r="B96" s="97"/>
      <c r="C96" s="76"/>
      <c r="D96" s="79" t="s">
        <v>384</v>
      </c>
      <c r="E96" s="136">
        <f t="shared" si="36"/>
        <v>19425600</v>
      </c>
      <c r="F96" s="136">
        <f>24077400-4651800</f>
        <v>19425600</v>
      </c>
      <c r="G96" s="136">
        <f>19735600-3816200</f>
        <v>15919400</v>
      </c>
      <c r="H96" s="136"/>
      <c r="I96" s="136"/>
      <c r="J96" s="136">
        <f t="shared" si="38"/>
        <v>0</v>
      </c>
      <c r="K96" s="136"/>
      <c r="L96" s="136"/>
      <c r="M96" s="136"/>
      <c r="N96" s="136"/>
      <c r="O96" s="136"/>
      <c r="P96" s="136">
        <f t="shared" si="37"/>
        <v>19425600</v>
      </c>
      <c r="Q96" s="178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</row>
    <row r="97" spans="1:525" s="22" customFormat="1" ht="31.5" x14ac:dyDescent="0.25">
      <c r="A97" s="56" t="s">
        <v>462</v>
      </c>
      <c r="B97" s="56" t="s">
        <v>463</v>
      </c>
      <c r="C97" s="56" t="s">
        <v>57</v>
      </c>
      <c r="D97" s="36" t="str">
        <f>'дод 7'!C60</f>
        <v>Забезпечення діяльності інших закладів у сфері освіти</v>
      </c>
      <c r="E97" s="135">
        <f t="shared" si="36"/>
        <v>13156200</v>
      </c>
      <c r="F97" s="135">
        <f>13057600+98600</f>
        <v>13156200</v>
      </c>
      <c r="G97" s="135">
        <v>9323800</v>
      </c>
      <c r="H97" s="135">
        <v>1054400</v>
      </c>
      <c r="I97" s="135"/>
      <c r="J97" s="135">
        <f t="shared" si="38"/>
        <v>100000</v>
      </c>
      <c r="K97" s="135">
        <v>100000</v>
      </c>
      <c r="L97" s="135"/>
      <c r="M97" s="135"/>
      <c r="N97" s="135"/>
      <c r="O97" s="135">
        <v>100000</v>
      </c>
      <c r="P97" s="135">
        <f t="shared" si="37"/>
        <v>13256200</v>
      </c>
      <c r="Q97" s="178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</row>
    <row r="98" spans="1:525" s="22" customFormat="1" ht="27.75" customHeight="1" x14ac:dyDescent="0.25">
      <c r="A98" s="56" t="s">
        <v>464</v>
      </c>
      <c r="B98" s="56" t="s">
        <v>465</v>
      </c>
      <c r="C98" s="56" t="s">
        <v>57</v>
      </c>
      <c r="D98" s="36" t="str">
        <f>'дод 7'!C61</f>
        <v>Інші програми та заходи у сфері освіти</v>
      </c>
      <c r="E98" s="135">
        <f t="shared" si="36"/>
        <v>1124100</v>
      </c>
      <c r="F98" s="135">
        <v>1124100</v>
      </c>
      <c r="G98" s="135"/>
      <c r="H98" s="135"/>
      <c r="I98" s="135"/>
      <c r="J98" s="135">
        <f t="shared" ref="J98" si="44">L98+O98</f>
        <v>0</v>
      </c>
      <c r="K98" s="135"/>
      <c r="L98" s="135"/>
      <c r="M98" s="135"/>
      <c r="N98" s="135"/>
      <c r="O98" s="135"/>
      <c r="P98" s="135">
        <f t="shared" ref="P98" si="45">E98+J98</f>
        <v>1124100</v>
      </c>
      <c r="Q98" s="178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</row>
    <row r="99" spans="1:525" s="22" customFormat="1" ht="35.25" customHeight="1" x14ac:dyDescent="0.25">
      <c r="A99" s="56" t="s">
        <v>466</v>
      </c>
      <c r="B99" s="56" t="s">
        <v>467</v>
      </c>
      <c r="C99" s="56" t="s">
        <v>57</v>
      </c>
      <c r="D99" s="57" t="str">
        <f>'дод 7'!C62</f>
        <v>Забезпечення діяльності інклюзивно-ресурсних центрів за рахунок коштів місцевого бюджету</v>
      </c>
      <c r="E99" s="135">
        <f t="shared" si="36"/>
        <v>556800</v>
      </c>
      <c r="F99" s="135">
        <v>556800</v>
      </c>
      <c r="G99" s="135">
        <v>312400</v>
      </c>
      <c r="H99" s="135">
        <v>118400</v>
      </c>
      <c r="I99" s="135"/>
      <c r="J99" s="135">
        <f t="shared" si="38"/>
        <v>0</v>
      </c>
      <c r="K99" s="135"/>
      <c r="L99" s="135"/>
      <c r="M99" s="135"/>
      <c r="N99" s="135"/>
      <c r="O99" s="135"/>
      <c r="P99" s="135">
        <f t="shared" si="37"/>
        <v>556800</v>
      </c>
      <c r="Q99" s="178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  <c r="SQ99" s="23"/>
      <c r="SR99" s="23"/>
      <c r="SS99" s="23"/>
      <c r="ST99" s="23"/>
      <c r="SU99" s="23"/>
      <c r="SV99" s="23"/>
      <c r="SW99" s="23"/>
      <c r="SX99" s="23"/>
      <c r="SY99" s="23"/>
      <c r="SZ99" s="23"/>
      <c r="TA99" s="23"/>
      <c r="TB99" s="23"/>
      <c r="TC99" s="23"/>
      <c r="TD99" s="23"/>
      <c r="TE99" s="23"/>
    </row>
    <row r="100" spans="1:525" s="22" customFormat="1" ht="45.75" customHeight="1" x14ac:dyDescent="0.25">
      <c r="A100" s="56" t="s">
        <v>469</v>
      </c>
      <c r="B100" s="56" t="s">
        <v>470</v>
      </c>
      <c r="C100" s="56" t="str">
        <f>'дод 7'!B62</f>
        <v>0990</v>
      </c>
      <c r="D100" s="57" t="str">
        <f>'дод 7'!C63</f>
        <v>Забезпечення діяльності інклюзивно-ресурсних центрів за рахунок освітньої субвенції, у т.ч. за рахунок:</v>
      </c>
      <c r="E100" s="135">
        <f t="shared" si="36"/>
        <v>1756818</v>
      </c>
      <c r="F100" s="135">
        <f>1952020-195202</f>
        <v>1756818</v>
      </c>
      <c r="G100" s="135">
        <f>1600020-152258</f>
        <v>1447762</v>
      </c>
      <c r="H100" s="135"/>
      <c r="I100" s="135"/>
      <c r="J100" s="135">
        <f t="shared" si="38"/>
        <v>0</v>
      </c>
      <c r="K100" s="135"/>
      <c r="L100" s="135"/>
      <c r="M100" s="135"/>
      <c r="N100" s="135"/>
      <c r="O100" s="135"/>
      <c r="P100" s="135">
        <f t="shared" si="37"/>
        <v>1756818</v>
      </c>
      <c r="Q100" s="178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</row>
    <row r="101" spans="1:525" s="24" customFormat="1" ht="45.75" customHeight="1" x14ac:dyDescent="0.25">
      <c r="A101" s="76"/>
      <c r="B101" s="76"/>
      <c r="C101" s="76"/>
      <c r="D101" s="79" t="s">
        <v>379</v>
      </c>
      <c r="E101" s="136">
        <f t="shared" si="36"/>
        <v>1756818</v>
      </c>
      <c r="F101" s="136">
        <f>1952020-195202</f>
        <v>1756818</v>
      </c>
      <c r="G101" s="136">
        <f>1600020-152258</f>
        <v>1447762</v>
      </c>
      <c r="H101" s="136"/>
      <c r="I101" s="136"/>
      <c r="J101" s="136">
        <f t="shared" si="38"/>
        <v>0</v>
      </c>
      <c r="K101" s="136"/>
      <c r="L101" s="136"/>
      <c r="M101" s="136"/>
      <c r="N101" s="136"/>
      <c r="O101" s="136"/>
      <c r="P101" s="136">
        <f t="shared" si="37"/>
        <v>1756818</v>
      </c>
      <c r="Q101" s="178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</row>
    <row r="102" spans="1:525" s="22" customFormat="1" ht="36" customHeight="1" x14ac:dyDescent="0.25">
      <c r="A102" s="56" t="s">
        <v>471</v>
      </c>
      <c r="B102" s="56" t="s">
        <v>472</v>
      </c>
      <c r="C102" s="56" t="str">
        <f>'дод 7'!B63</f>
        <v>0990</v>
      </c>
      <c r="D102" s="57" t="str">
        <f>'дод 7'!C65</f>
        <v>Забезпечення діяльності центрів професійного розвитку педагогічних працівників</v>
      </c>
      <c r="E102" s="135">
        <f t="shared" si="36"/>
        <v>3137600</v>
      </c>
      <c r="F102" s="135">
        <f>3017600+120000</f>
        <v>3137600</v>
      </c>
      <c r="G102" s="135">
        <v>2115300</v>
      </c>
      <c r="H102" s="135">
        <f>258300+120000</f>
        <v>378300</v>
      </c>
      <c r="I102" s="135"/>
      <c r="J102" s="135">
        <f t="shared" si="38"/>
        <v>0</v>
      </c>
      <c r="K102" s="135"/>
      <c r="L102" s="135"/>
      <c r="M102" s="135"/>
      <c r="N102" s="135"/>
      <c r="O102" s="135"/>
      <c r="P102" s="135">
        <f t="shared" si="37"/>
        <v>3137600</v>
      </c>
      <c r="Q102" s="178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</row>
    <row r="103" spans="1:525" s="22" customFormat="1" ht="66" customHeight="1" x14ac:dyDescent="0.25">
      <c r="A103" s="56" t="s">
        <v>542</v>
      </c>
      <c r="B103" s="56" t="s">
        <v>543</v>
      </c>
      <c r="C103" s="56" t="s">
        <v>57</v>
      </c>
      <c r="D103" s="57" t="str">
        <f>'дод 7'!C66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3" s="135">
        <f t="shared" si="36"/>
        <v>0</v>
      </c>
      <c r="F103" s="135"/>
      <c r="G103" s="135"/>
      <c r="H103" s="135"/>
      <c r="I103" s="135"/>
      <c r="J103" s="135">
        <f t="shared" si="38"/>
        <v>2000000</v>
      </c>
      <c r="K103" s="135">
        <v>2000000</v>
      </c>
      <c r="L103" s="135"/>
      <c r="M103" s="135"/>
      <c r="N103" s="135"/>
      <c r="O103" s="135">
        <v>2000000</v>
      </c>
      <c r="P103" s="135">
        <f t="shared" si="37"/>
        <v>2000000</v>
      </c>
      <c r="Q103" s="178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</row>
    <row r="104" spans="1:525" s="22" customFormat="1" ht="63" hidden="1" customHeight="1" x14ac:dyDescent="0.25">
      <c r="A104" s="56" t="s">
        <v>532</v>
      </c>
      <c r="B104" s="56" t="s">
        <v>534</v>
      </c>
      <c r="C104" s="56" t="s">
        <v>57</v>
      </c>
      <c r="D104" s="57" t="s">
        <v>570</v>
      </c>
      <c r="E104" s="135">
        <f t="shared" si="36"/>
        <v>0</v>
      </c>
      <c r="F104" s="135"/>
      <c r="G104" s="135"/>
      <c r="H104" s="135"/>
      <c r="I104" s="135"/>
      <c r="J104" s="135">
        <f t="shared" si="38"/>
        <v>0</v>
      </c>
      <c r="K104" s="135"/>
      <c r="L104" s="135"/>
      <c r="M104" s="135"/>
      <c r="N104" s="135"/>
      <c r="O104" s="135"/>
      <c r="P104" s="135">
        <f t="shared" si="37"/>
        <v>0</v>
      </c>
      <c r="Q104" s="178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</row>
    <row r="105" spans="1:525" s="24" customFormat="1" ht="52.5" hidden="1" customHeight="1" x14ac:dyDescent="0.25">
      <c r="A105" s="76"/>
      <c r="B105" s="76"/>
      <c r="C105" s="76"/>
      <c r="D105" s="79" t="s">
        <v>564</v>
      </c>
      <c r="E105" s="136">
        <f t="shared" si="36"/>
        <v>0</v>
      </c>
      <c r="F105" s="136"/>
      <c r="G105" s="136"/>
      <c r="H105" s="136"/>
      <c r="I105" s="136"/>
      <c r="J105" s="136">
        <f t="shared" si="38"/>
        <v>0</v>
      </c>
      <c r="K105" s="136"/>
      <c r="L105" s="136"/>
      <c r="M105" s="136"/>
      <c r="N105" s="136"/>
      <c r="O105" s="136"/>
      <c r="P105" s="136">
        <f t="shared" si="37"/>
        <v>0</v>
      </c>
      <c r="Q105" s="178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</row>
    <row r="106" spans="1:525" s="22" customFormat="1" ht="78.75" x14ac:dyDescent="0.25">
      <c r="A106" s="56" t="s">
        <v>544</v>
      </c>
      <c r="B106" s="56" t="s">
        <v>545</v>
      </c>
      <c r="C106" s="56" t="s">
        <v>57</v>
      </c>
      <c r="D106" s="57" t="str">
        <f>'дод 7'!C69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06" s="135">
        <f t="shared" si="36"/>
        <v>3000000</v>
      </c>
      <c r="F106" s="135">
        <v>3000000</v>
      </c>
      <c r="G106" s="135"/>
      <c r="H106" s="135"/>
      <c r="I106" s="135"/>
      <c r="J106" s="135">
        <f t="shared" si="38"/>
        <v>0</v>
      </c>
      <c r="K106" s="135"/>
      <c r="L106" s="135"/>
      <c r="M106" s="135"/>
      <c r="N106" s="135"/>
      <c r="O106" s="135"/>
      <c r="P106" s="135">
        <f t="shared" si="37"/>
        <v>3000000</v>
      </c>
      <c r="Q106" s="178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</row>
    <row r="107" spans="1:525" s="22" customFormat="1" ht="15.75" hidden="1" customHeight="1" x14ac:dyDescent="0.25">
      <c r="A107" s="56"/>
      <c r="B107" s="56"/>
      <c r="C107" s="56"/>
      <c r="D107" s="79" t="s">
        <v>390</v>
      </c>
      <c r="E107" s="136">
        <f t="shared" si="36"/>
        <v>0</v>
      </c>
      <c r="F107" s="136"/>
      <c r="G107" s="135"/>
      <c r="H107" s="135"/>
      <c r="I107" s="135"/>
      <c r="J107" s="136">
        <f t="shared" si="38"/>
        <v>0</v>
      </c>
      <c r="K107" s="135"/>
      <c r="L107" s="135"/>
      <c r="M107" s="135"/>
      <c r="N107" s="135"/>
      <c r="O107" s="135"/>
      <c r="P107" s="136">
        <f t="shared" si="37"/>
        <v>0</v>
      </c>
      <c r="Q107" s="178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</row>
    <row r="108" spans="1:525" s="22" customFormat="1" ht="78.75" hidden="1" customHeight="1" x14ac:dyDescent="0.25">
      <c r="A108" s="56" t="s">
        <v>533</v>
      </c>
      <c r="B108" s="56" t="s">
        <v>535</v>
      </c>
      <c r="C108" s="56" t="s">
        <v>57</v>
      </c>
      <c r="D108" s="57" t="s">
        <v>565</v>
      </c>
      <c r="E108" s="135">
        <f t="shared" si="36"/>
        <v>0</v>
      </c>
      <c r="F108" s="135"/>
      <c r="G108" s="135"/>
      <c r="H108" s="135"/>
      <c r="I108" s="135"/>
      <c r="J108" s="135">
        <f t="shared" si="38"/>
        <v>0</v>
      </c>
      <c r="K108" s="135"/>
      <c r="L108" s="135"/>
      <c r="M108" s="135"/>
      <c r="N108" s="135"/>
      <c r="O108" s="135"/>
      <c r="P108" s="135">
        <f t="shared" si="37"/>
        <v>0</v>
      </c>
      <c r="Q108" s="178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</row>
    <row r="109" spans="1:525" s="24" customFormat="1" ht="79.5" hidden="1" customHeight="1" x14ac:dyDescent="0.25">
      <c r="A109" s="76"/>
      <c r="B109" s="76"/>
      <c r="C109" s="76"/>
      <c r="D109" s="79" t="s">
        <v>536</v>
      </c>
      <c r="E109" s="136">
        <f t="shared" si="36"/>
        <v>0</v>
      </c>
      <c r="F109" s="136"/>
      <c r="G109" s="136"/>
      <c r="H109" s="136"/>
      <c r="I109" s="136"/>
      <c r="J109" s="136">
        <f t="shared" si="38"/>
        <v>0</v>
      </c>
      <c r="K109" s="136"/>
      <c r="L109" s="136"/>
      <c r="M109" s="136"/>
      <c r="N109" s="136"/>
      <c r="O109" s="136"/>
      <c r="P109" s="136">
        <f t="shared" si="37"/>
        <v>0</v>
      </c>
      <c r="Q109" s="178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</row>
    <row r="110" spans="1:525" s="22" customFormat="1" ht="65.25" customHeight="1" x14ac:dyDescent="0.25">
      <c r="A110" s="56" t="s">
        <v>474</v>
      </c>
      <c r="B110" s="56" t="s">
        <v>475</v>
      </c>
      <c r="C110" s="56" t="s">
        <v>57</v>
      </c>
      <c r="D110" s="85" t="s">
        <v>489</v>
      </c>
      <c r="E110" s="135">
        <f t="shared" si="36"/>
        <v>1322337.5</v>
      </c>
      <c r="F110" s="135">
        <f>70693.5+1251644</f>
        <v>1322337.5</v>
      </c>
      <c r="G110" s="176">
        <f>57945.5+1025900</f>
        <v>1083845.5</v>
      </c>
      <c r="H110" s="135"/>
      <c r="I110" s="135"/>
      <c r="J110" s="135">
        <f t="shared" si="38"/>
        <v>0</v>
      </c>
      <c r="K110" s="135"/>
      <c r="L110" s="135"/>
      <c r="M110" s="135"/>
      <c r="N110" s="135"/>
      <c r="O110" s="135"/>
      <c r="P110" s="135">
        <f t="shared" si="37"/>
        <v>1322337.5</v>
      </c>
      <c r="Q110" s="178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</row>
    <row r="111" spans="1:525" s="24" customFormat="1" ht="63" customHeight="1" x14ac:dyDescent="0.25">
      <c r="A111" s="76"/>
      <c r="B111" s="97"/>
      <c r="C111" s="97"/>
      <c r="D111" s="79" t="s">
        <v>378</v>
      </c>
      <c r="E111" s="136">
        <f t="shared" si="36"/>
        <v>1322337.5</v>
      </c>
      <c r="F111" s="136">
        <f>70693.5+1251644</f>
        <v>1322337.5</v>
      </c>
      <c r="G111" s="177">
        <f>57945.5+1025900</f>
        <v>1083845.5</v>
      </c>
      <c r="H111" s="136"/>
      <c r="I111" s="136"/>
      <c r="J111" s="136">
        <f t="shared" si="38"/>
        <v>0</v>
      </c>
      <c r="K111" s="136"/>
      <c r="L111" s="136"/>
      <c r="M111" s="136"/>
      <c r="N111" s="136"/>
      <c r="O111" s="136"/>
      <c r="P111" s="136">
        <f t="shared" si="37"/>
        <v>1322337.5</v>
      </c>
      <c r="Q111" s="178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</row>
    <row r="112" spans="1:525" s="24" customFormat="1" ht="78.75" customHeight="1" x14ac:dyDescent="0.25">
      <c r="A112" s="56" t="s">
        <v>502</v>
      </c>
      <c r="B112" s="84">
        <v>1210</v>
      </c>
      <c r="C112" s="56" t="s">
        <v>57</v>
      </c>
      <c r="D112" s="36" t="s">
        <v>503</v>
      </c>
      <c r="E112" s="135">
        <f t="shared" si="36"/>
        <v>429496.68</v>
      </c>
      <c r="F112" s="135">
        <v>429496.68</v>
      </c>
      <c r="G112" s="135">
        <v>352046.5</v>
      </c>
      <c r="H112" s="136"/>
      <c r="I112" s="136"/>
      <c r="J112" s="135">
        <f t="shared" si="38"/>
        <v>0</v>
      </c>
      <c r="K112" s="136"/>
      <c r="L112" s="136"/>
      <c r="M112" s="136"/>
      <c r="N112" s="136"/>
      <c r="O112" s="136"/>
      <c r="P112" s="135">
        <f t="shared" si="37"/>
        <v>429496.68</v>
      </c>
      <c r="Q112" s="178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</row>
    <row r="113" spans="1:525" s="24" customFormat="1" ht="75.75" customHeight="1" x14ac:dyDescent="0.25">
      <c r="A113" s="76"/>
      <c r="B113" s="97"/>
      <c r="C113" s="97"/>
      <c r="D113" s="79" t="s">
        <v>504</v>
      </c>
      <c r="E113" s="136">
        <f t="shared" si="36"/>
        <v>429496.68</v>
      </c>
      <c r="F113" s="136">
        <v>429496.68</v>
      </c>
      <c r="G113" s="136">
        <v>352046.5</v>
      </c>
      <c r="H113" s="136"/>
      <c r="I113" s="136"/>
      <c r="J113" s="136">
        <f t="shared" si="38"/>
        <v>0</v>
      </c>
      <c r="K113" s="136"/>
      <c r="L113" s="136"/>
      <c r="M113" s="136"/>
      <c r="N113" s="136"/>
      <c r="O113" s="136"/>
      <c r="P113" s="136">
        <f t="shared" si="37"/>
        <v>429496.68</v>
      </c>
      <c r="Q113" s="178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</row>
    <row r="114" spans="1:525" s="24" customFormat="1" ht="64.5" customHeight="1" x14ac:dyDescent="0.25">
      <c r="A114" s="56" t="s">
        <v>476</v>
      </c>
      <c r="B114" s="84">
        <v>3140</v>
      </c>
      <c r="C114" s="84">
        <v>1040</v>
      </c>
      <c r="D114" s="6" t="str">
        <f>'дод 7'!C121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4" s="135">
        <f t="shared" si="36"/>
        <v>1946900</v>
      </c>
      <c r="F114" s="135">
        <v>1946900</v>
      </c>
      <c r="G114" s="135"/>
      <c r="H114" s="135"/>
      <c r="I114" s="135"/>
      <c r="J114" s="135">
        <f t="shared" si="38"/>
        <v>0</v>
      </c>
      <c r="K114" s="136"/>
      <c r="L114" s="136"/>
      <c r="M114" s="136"/>
      <c r="N114" s="136"/>
      <c r="O114" s="136"/>
      <c r="P114" s="135">
        <f t="shared" si="37"/>
        <v>1946900</v>
      </c>
      <c r="Q114" s="178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</row>
    <row r="115" spans="1:525" s="24" customFormat="1" ht="31.5" x14ac:dyDescent="0.25">
      <c r="A115" s="56" t="s">
        <v>477</v>
      </c>
      <c r="B115" s="84">
        <v>3242</v>
      </c>
      <c r="C115" s="84">
        <v>1090</v>
      </c>
      <c r="D115" s="36" t="s">
        <v>406</v>
      </c>
      <c r="E115" s="135">
        <f>F115+I115</f>
        <v>63350</v>
      </c>
      <c r="F115" s="135">
        <v>63350</v>
      </c>
      <c r="G115" s="135"/>
      <c r="H115" s="135"/>
      <c r="I115" s="135"/>
      <c r="J115" s="135">
        <f t="shared" si="38"/>
        <v>0</v>
      </c>
      <c r="K115" s="136"/>
      <c r="L115" s="136"/>
      <c r="M115" s="136"/>
      <c r="N115" s="136"/>
      <c r="O115" s="136"/>
      <c r="P115" s="135">
        <f t="shared" si="37"/>
        <v>63350</v>
      </c>
      <c r="Q115" s="178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</row>
    <row r="116" spans="1:525" s="24" customFormat="1" ht="31.5" x14ac:dyDescent="0.25">
      <c r="A116" s="56" t="s">
        <v>479</v>
      </c>
      <c r="B116" s="84">
        <v>5031</v>
      </c>
      <c r="C116" s="56" t="s">
        <v>79</v>
      </c>
      <c r="D116" s="3" t="str">
        <f>'дод 7'!C150</f>
        <v>Утримання та навчально-тренувальна робота комунальних дитячо-юнацьких спортивних шкіл</v>
      </c>
      <c r="E116" s="135">
        <f t="shared" si="36"/>
        <v>10721400</v>
      </c>
      <c r="F116" s="135">
        <f>9648000+323400+750000</f>
        <v>10721400</v>
      </c>
      <c r="G116" s="135">
        <f>6839800+265500+615000</f>
        <v>7720300</v>
      </c>
      <c r="H116" s="135">
        <v>444800</v>
      </c>
      <c r="I116" s="135"/>
      <c r="J116" s="135">
        <f t="shared" si="38"/>
        <v>0</v>
      </c>
      <c r="K116" s="136"/>
      <c r="L116" s="136"/>
      <c r="M116" s="136"/>
      <c r="N116" s="136"/>
      <c r="O116" s="136"/>
      <c r="P116" s="135">
        <f t="shared" si="37"/>
        <v>10721400</v>
      </c>
      <c r="Q116" s="178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</row>
    <row r="117" spans="1:525" s="24" customFormat="1" ht="23.25" hidden="1" customHeight="1" x14ac:dyDescent="0.25">
      <c r="A117" s="76"/>
      <c r="B117" s="97"/>
      <c r="C117" s="76"/>
      <c r="D117" s="79" t="s">
        <v>390</v>
      </c>
      <c r="E117" s="136">
        <f t="shared" si="36"/>
        <v>0</v>
      </c>
      <c r="F117" s="136"/>
      <c r="G117" s="136"/>
      <c r="H117" s="136"/>
      <c r="I117" s="136"/>
      <c r="J117" s="136">
        <f t="shared" si="38"/>
        <v>0</v>
      </c>
      <c r="K117" s="136"/>
      <c r="L117" s="136"/>
      <c r="M117" s="136"/>
      <c r="N117" s="136"/>
      <c r="O117" s="136"/>
      <c r="P117" s="136">
        <f t="shared" si="37"/>
        <v>0</v>
      </c>
      <c r="Q117" s="178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</row>
    <row r="118" spans="1:525" s="24" customFormat="1" ht="42" hidden="1" customHeight="1" x14ac:dyDescent="0.25">
      <c r="A118" s="56" t="s">
        <v>480</v>
      </c>
      <c r="B118" s="84">
        <v>7321</v>
      </c>
      <c r="C118" s="56" t="s">
        <v>110</v>
      </c>
      <c r="D118" s="6" t="str">
        <f>'дод 7'!C180</f>
        <v>Будівництво1 освітніх установ та закладів</v>
      </c>
      <c r="E118" s="135">
        <f t="shared" si="36"/>
        <v>0</v>
      </c>
      <c r="F118" s="135"/>
      <c r="G118" s="135"/>
      <c r="H118" s="135"/>
      <c r="I118" s="135"/>
      <c r="J118" s="135">
        <f t="shared" si="38"/>
        <v>0</v>
      </c>
      <c r="K118" s="135"/>
      <c r="L118" s="135"/>
      <c r="M118" s="135"/>
      <c r="N118" s="135"/>
      <c r="O118" s="135"/>
      <c r="P118" s="135">
        <f t="shared" si="37"/>
        <v>0</v>
      </c>
      <c r="Q118" s="178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</row>
    <row r="119" spans="1:525" s="24" customFormat="1" ht="21" hidden="1" customHeight="1" x14ac:dyDescent="0.25">
      <c r="A119" s="56"/>
      <c r="B119" s="84"/>
      <c r="C119" s="56"/>
      <c r="D119" s="79" t="s">
        <v>390</v>
      </c>
      <c r="E119" s="136">
        <f t="shared" si="36"/>
        <v>0</v>
      </c>
      <c r="F119" s="135"/>
      <c r="G119" s="135"/>
      <c r="H119" s="135"/>
      <c r="I119" s="135"/>
      <c r="J119" s="136">
        <f t="shared" si="38"/>
        <v>0</v>
      </c>
      <c r="K119" s="136"/>
      <c r="L119" s="135"/>
      <c r="M119" s="135"/>
      <c r="N119" s="135"/>
      <c r="O119" s="136"/>
      <c r="P119" s="136">
        <f t="shared" si="37"/>
        <v>0</v>
      </c>
      <c r="Q119" s="178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</row>
    <row r="120" spans="1:525" s="24" customFormat="1" ht="53.25" hidden="1" customHeight="1" x14ac:dyDescent="0.25">
      <c r="A120" s="56" t="s">
        <v>529</v>
      </c>
      <c r="B120" s="84">
        <v>7363</v>
      </c>
      <c r="C120" s="56" t="s">
        <v>81</v>
      </c>
      <c r="D120" s="6" t="s">
        <v>392</v>
      </c>
      <c r="E120" s="135">
        <f t="shared" si="36"/>
        <v>0</v>
      </c>
      <c r="F120" s="135"/>
      <c r="G120" s="135"/>
      <c r="H120" s="135"/>
      <c r="I120" s="135"/>
      <c r="J120" s="135">
        <f t="shared" si="38"/>
        <v>0</v>
      </c>
      <c r="K120" s="135"/>
      <c r="L120" s="135"/>
      <c r="M120" s="135"/>
      <c r="N120" s="135"/>
      <c r="O120" s="135"/>
      <c r="P120" s="135">
        <f t="shared" si="37"/>
        <v>0</v>
      </c>
      <c r="Q120" s="178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</row>
    <row r="121" spans="1:525" s="24" customFormat="1" ht="63" hidden="1" customHeight="1" x14ac:dyDescent="0.25">
      <c r="A121" s="76"/>
      <c r="B121" s="97"/>
      <c r="C121" s="76"/>
      <c r="D121" s="73" t="s">
        <v>539</v>
      </c>
      <c r="E121" s="136">
        <f t="shared" si="36"/>
        <v>0</v>
      </c>
      <c r="F121" s="136"/>
      <c r="G121" s="136"/>
      <c r="H121" s="136"/>
      <c r="I121" s="136"/>
      <c r="J121" s="136">
        <f t="shared" si="38"/>
        <v>0</v>
      </c>
      <c r="K121" s="136"/>
      <c r="L121" s="136"/>
      <c r="M121" s="136"/>
      <c r="N121" s="136"/>
      <c r="O121" s="136"/>
      <c r="P121" s="136">
        <f t="shared" si="37"/>
        <v>0</v>
      </c>
      <c r="Q121" s="178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</row>
    <row r="122" spans="1:525" s="24" customFormat="1" ht="15.75" x14ac:dyDescent="0.25">
      <c r="A122" s="56" t="s">
        <v>481</v>
      </c>
      <c r="B122" s="84">
        <v>7640</v>
      </c>
      <c r="C122" s="56" t="s">
        <v>85</v>
      </c>
      <c r="D122" s="3" t="s">
        <v>416</v>
      </c>
      <c r="E122" s="135">
        <f t="shared" si="36"/>
        <v>952000</v>
      </c>
      <c r="F122" s="135">
        <v>952000</v>
      </c>
      <c r="G122" s="135"/>
      <c r="H122" s="135"/>
      <c r="I122" s="135"/>
      <c r="J122" s="135">
        <f t="shared" si="38"/>
        <v>2770000</v>
      </c>
      <c r="K122" s="135">
        <f>12910000+3316100-2640000-5316100+5315954-5315954+1759010-1759010-5000000-500000</f>
        <v>2770000</v>
      </c>
      <c r="L122" s="135"/>
      <c r="M122" s="135"/>
      <c r="N122" s="135"/>
      <c r="O122" s="135">
        <f>12910000+3316100-2640000-5316100+5315954-5315954+1759010-1759010-5000000-500000</f>
        <v>2770000</v>
      </c>
      <c r="P122" s="135">
        <f t="shared" si="37"/>
        <v>3722000</v>
      </c>
      <c r="Q122" s="178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</row>
    <row r="123" spans="1:525" s="24" customFormat="1" ht="47.25" hidden="1" customHeight="1" x14ac:dyDescent="0.25">
      <c r="A123" s="56" t="s">
        <v>484</v>
      </c>
      <c r="B123" s="84">
        <v>7700</v>
      </c>
      <c r="C123" s="56" t="s">
        <v>92</v>
      </c>
      <c r="D123" s="3" t="s">
        <v>357</v>
      </c>
      <c r="E123" s="135">
        <f t="shared" si="36"/>
        <v>0</v>
      </c>
      <c r="F123" s="135"/>
      <c r="G123" s="135"/>
      <c r="H123" s="135"/>
      <c r="I123" s="135"/>
      <c r="J123" s="135">
        <f t="shared" si="38"/>
        <v>0</v>
      </c>
      <c r="K123" s="135"/>
      <c r="L123" s="135"/>
      <c r="M123" s="135"/>
      <c r="N123" s="135"/>
      <c r="O123" s="135"/>
      <c r="P123" s="135">
        <f t="shared" si="37"/>
        <v>0</v>
      </c>
      <c r="Q123" s="174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</row>
    <row r="124" spans="1:525" s="24" customFormat="1" ht="37.5" customHeight="1" x14ac:dyDescent="0.25">
      <c r="A124" s="56" t="s">
        <v>482</v>
      </c>
      <c r="B124" s="84">
        <v>8340</v>
      </c>
      <c r="C124" s="56" t="s">
        <v>91</v>
      </c>
      <c r="D124" s="3" t="str">
        <f>'дод 7'!C240</f>
        <v>Природоохоронні заходи за рахунок цільових фондів</v>
      </c>
      <c r="E124" s="135">
        <f t="shared" si="36"/>
        <v>0</v>
      </c>
      <c r="F124" s="135"/>
      <c r="G124" s="135"/>
      <c r="H124" s="135"/>
      <c r="I124" s="135"/>
      <c r="J124" s="135">
        <f t="shared" si="38"/>
        <v>689800</v>
      </c>
      <c r="K124" s="135"/>
      <c r="L124" s="135">
        <f>689800-70000</f>
        <v>619800</v>
      </c>
      <c r="M124" s="135"/>
      <c r="N124" s="135"/>
      <c r="O124" s="135">
        <v>70000</v>
      </c>
      <c r="P124" s="135">
        <f t="shared" si="37"/>
        <v>689800</v>
      </c>
      <c r="Q124" s="178">
        <v>17</v>
      </c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</row>
    <row r="125" spans="1:525" s="24" customFormat="1" ht="47.25" hidden="1" customHeight="1" x14ac:dyDescent="0.25">
      <c r="A125" s="56" t="s">
        <v>514</v>
      </c>
      <c r="B125" s="84">
        <v>9320</v>
      </c>
      <c r="C125" s="56" t="s">
        <v>44</v>
      </c>
      <c r="D125" s="6" t="s">
        <v>567</v>
      </c>
      <c r="E125" s="135">
        <f t="shared" si="36"/>
        <v>0</v>
      </c>
      <c r="F125" s="135"/>
      <c r="G125" s="135"/>
      <c r="H125" s="135"/>
      <c r="I125" s="135"/>
      <c r="J125" s="135">
        <f t="shared" si="38"/>
        <v>0</v>
      </c>
      <c r="K125" s="135"/>
      <c r="L125" s="135"/>
      <c r="M125" s="135"/>
      <c r="N125" s="135"/>
      <c r="O125" s="135"/>
      <c r="P125" s="135">
        <f t="shared" si="37"/>
        <v>0</v>
      </c>
      <c r="Q125" s="178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</row>
    <row r="126" spans="1:525" s="24" customFormat="1" ht="31.5" hidden="1" customHeight="1" x14ac:dyDescent="0.25">
      <c r="A126" s="76"/>
      <c r="B126" s="97"/>
      <c r="C126" s="76"/>
      <c r="D126" s="79" t="s">
        <v>510</v>
      </c>
      <c r="E126" s="136">
        <f t="shared" si="36"/>
        <v>0</v>
      </c>
      <c r="F126" s="136"/>
      <c r="G126" s="136"/>
      <c r="H126" s="136"/>
      <c r="I126" s="136"/>
      <c r="J126" s="136">
        <f t="shared" si="38"/>
        <v>0</v>
      </c>
      <c r="K126" s="136"/>
      <c r="L126" s="136"/>
      <c r="M126" s="136"/>
      <c r="N126" s="136"/>
      <c r="O126" s="136"/>
      <c r="P126" s="136">
        <f t="shared" si="37"/>
        <v>0</v>
      </c>
      <c r="Q126" s="178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</row>
    <row r="127" spans="1:525" s="24" customFormat="1" ht="22.5" hidden="1" customHeight="1" x14ac:dyDescent="0.25">
      <c r="A127" s="56" t="s">
        <v>483</v>
      </c>
      <c r="B127" s="84">
        <v>9770</v>
      </c>
      <c r="C127" s="56" t="s">
        <v>44</v>
      </c>
      <c r="D127" s="6" t="str">
        <f>'дод 7'!C260</f>
        <v>Інші субвенції з місцевого бюджету</v>
      </c>
      <c r="E127" s="135">
        <f t="shared" ref="E127" si="46">F127+I127</f>
        <v>0</v>
      </c>
      <c r="F127" s="135"/>
      <c r="G127" s="135"/>
      <c r="H127" s="135"/>
      <c r="I127" s="135"/>
      <c r="J127" s="135">
        <f t="shared" ref="J127" si="47">L127+O127</f>
        <v>0</v>
      </c>
      <c r="K127" s="135"/>
      <c r="L127" s="135"/>
      <c r="M127" s="135"/>
      <c r="N127" s="135"/>
      <c r="O127" s="135"/>
      <c r="P127" s="135">
        <f t="shared" ref="P127" si="48">E127+J127</f>
        <v>0</v>
      </c>
      <c r="Q127" s="178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</row>
    <row r="128" spans="1:525" s="24" customFormat="1" ht="48.75" hidden="1" customHeight="1" x14ac:dyDescent="0.25">
      <c r="A128" s="56" t="s">
        <v>506</v>
      </c>
      <c r="B128" s="84">
        <v>9800</v>
      </c>
      <c r="C128" s="56" t="s">
        <v>44</v>
      </c>
      <c r="D128" s="6" t="s">
        <v>362</v>
      </c>
      <c r="E128" s="135">
        <f t="shared" si="36"/>
        <v>0</v>
      </c>
      <c r="F128" s="135"/>
      <c r="G128" s="135"/>
      <c r="H128" s="135"/>
      <c r="I128" s="135"/>
      <c r="J128" s="135">
        <f t="shared" si="38"/>
        <v>0</v>
      </c>
      <c r="K128" s="135"/>
      <c r="L128" s="135"/>
      <c r="M128" s="135"/>
      <c r="N128" s="135"/>
      <c r="O128" s="135"/>
      <c r="P128" s="135">
        <f t="shared" si="37"/>
        <v>0</v>
      </c>
      <c r="Q128" s="178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</row>
    <row r="129" spans="1:525" s="27" customFormat="1" ht="33.75" customHeight="1" x14ac:dyDescent="0.25">
      <c r="A129" s="96" t="s">
        <v>166</v>
      </c>
      <c r="B129" s="98"/>
      <c r="C129" s="98"/>
      <c r="D129" s="93" t="s">
        <v>450</v>
      </c>
      <c r="E129" s="133">
        <f>E130</f>
        <v>105570400</v>
      </c>
      <c r="F129" s="133">
        <f t="shared" ref="F129:P129" si="49">F130</f>
        <v>105570400</v>
      </c>
      <c r="G129" s="133">
        <f t="shared" si="49"/>
        <v>4570300</v>
      </c>
      <c r="H129" s="133">
        <f t="shared" si="49"/>
        <v>215900</v>
      </c>
      <c r="I129" s="133">
        <f t="shared" si="49"/>
        <v>0</v>
      </c>
      <c r="J129" s="133">
        <f t="shared" si="49"/>
        <v>87907200</v>
      </c>
      <c r="K129" s="133">
        <f t="shared" si="49"/>
        <v>87907200</v>
      </c>
      <c r="L129" s="133">
        <f t="shared" si="49"/>
        <v>0</v>
      </c>
      <c r="M129" s="133">
        <f t="shared" si="49"/>
        <v>0</v>
      </c>
      <c r="N129" s="133">
        <f t="shared" si="49"/>
        <v>0</v>
      </c>
      <c r="O129" s="133">
        <f t="shared" si="49"/>
        <v>87907200</v>
      </c>
      <c r="P129" s="133">
        <f t="shared" si="49"/>
        <v>193477600</v>
      </c>
      <c r="Q129" s="178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2"/>
      <c r="JK129" s="32"/>
      <c r="JL129" s="32"/>
      <c r="JM129" s="32"/>
      <c r="JN129" s="32"/>
      <c r="JO129" s="32"/>
      <c r="JP129" s="32"/>
      <c r="JQ129" s="32"/>
      <c r="JR129" s="32"/>
      <c r="JS129" s="32"/>
      <c r="JT129" s="32"/>
      <c r="JU129" s="32"/>
      <c r="JV129" s="32"/>
      <c r="JW129" s="32"/>
      <c r="JX129" s="32"/>
      <c r="JY129" s="32"/>
      <c r="JZ129" s="32"/>
      <c r="KA129" s="32"/>
      <c r="KB129" s="32"/>
      <c r="KC129" s="32"/>
      <c r="KD129" s="32"/>
      <c r="KE129" s="32"/>
      <c r="KF129" s="32"/>
      <c r="KG129" s="32"/>
      <c r="KH129" s="32"/>
      <c r="KI129" s="32"/>
      <c r="KJ129" s="32"/>
      <c r="KK129" s="32"/>
      <c r="KL129" s="32"/>
      <c r="KM129" s="32"/>
      <c r="KN129" s="32"/>
      <c r="KO129" s="32"/>
      <c r="KP129" s="32"/>
      <c r="KQ129" s="32"/>
      <c r="KR129" s="32"/>
      <c r="KS129" s="32"/>
      <c r="KT129" s="32"/>
      <c r="KU129" s="32"/>
      <c r="KV129" s="32"/>
      <c r="KW129" s="32"/>
      <c r="KX129" s="32"/>
      <c r="KY129" s="32"/>
      <c r="KZ129" s="32"/>
      <c r="LA129" s="32"/>
      <c r="LB129" s="32"/>
      <c r="LC129" s="32"/>
      <c r="LD129" s="32"/>
      <c r="LE129" s="32"/>
      <c r="LF129" s="32"/>
      <c r="LG129" s="32"/>
      <c r="LH129" s="32"/>
      <c r="LI129" s="32"/>
      <c r="LJ129" s="32"/>
      <c r="LK129" s="32"/>
      <c r="LL129" s="32"/>
      <c r="LM129" s="32"/>
      <c r="LN129" s="32"/>
      <c r="LO129" s="32"/>
      <c r="LP129" s="32"/>
      <c r="LQ129" s="32"/>
      <c r="LR129" s="32"/>
      <c r="LS129" s="32"/>
      <c r="LT129" s="32"/>
      <c r="LU129" s="32"/>
      <c r="LV129" s="32"/>
      <c r="LW129" s="32"/>
      <c r="LX129" s="32"/>
      <c r="LY129" s="32"/>
      <c r="LZ129" s="32"/>
      <c r="MA129" s="32"/>
      <c r="MB129" s="32"/>
      <c r="MC129" s="32"/>
      <c r="MD129" s="32"/>
      <c r="ME129" s="32"/>
      <c r="MF129" s="32"/>
      <c r="MG129" s="32"/>
      <c r="MH129" s="32"/>
      <c r="MI129" s="32"/>
      <c r="MJ129" s="32"/>
      <c r="MK129" s="32"/>
      <c r="ML129" s="32"/>
      <c r="MM129" s="32"/>
      <c r="MN129" s="32"/>
      <c r="MO129" s="32"/>
      <c r="MP129" s="32"/>
      <c r="MQ129" s="32"/>
      <c r="MR129" s="32"/>
      <c r="MS129" s="32"/>
      <c r="MT129" s="32"/>
      <c r="MU129" s="32"/>
      <c r="MV129" s="32"/>
      <c r="MW129" s="32"/>
      <c r="MX129" s="32"/>
      <c r="MY129" s="32"/>
      <c r="MZ129" s="32"/>
      <c r="NA129" s="32"/>
      <c r="NB129" s="32"/>
      <c r="NC129" s="32"/>
      <c r="ND129" s="32"/>
      <c r="NE129" s="32"/>
      <c r="NF129" s="32"/>
      <c r="NG129" s="32"/>
      <c r="NH129" s="32"/>
      <c r="NI129" s="32"/>
      <c r="NJ129" s="32"/>
      <c r="NK129" s="32"/>
      <c r="NL129" s="32"/>
      <c r="NM129" s="32"/>
      <c r="NN129" s="32"/>
      <c r="NO129" s="32"/>
      <c r="NP129" s="32"/>
      <c r="NQ129" s="32"/>
      <c r="NR129" s="32"/>
      <c r="NS129" s="32"/>
      <c r="NT129" s="32"/>
      <c r="NU129" s="32"/>
      <c r="NV129" s="32"/>
      <c r="NW129" s="32"/>
      <c r="NX129" s="32"/>
      <c r="NY129" s="32"/>
      <c r="NZ129" s="32"/>
      <c r="OA129" s="32"/>
      <c r="OB129" s="32"/>
      <c r="OC129" s="32"/>
      <c r="OD129" s="32"/>
      <c r="OE129" s="32"/>
      <c r="OF129" s="32"/>
      <c r="OG129" s="32"/>
      <c r="OH129" s="32"/>
      <c r="OI129" s="32"/>
      <c r="OJ129" s="32"/>
      <c r="OK129" s="32"/>
      <c r="OL129" s="32"/>
      <c r="OM129" s="32"/>
      <c r="ON129" s="32"/>
      <c r="OO129" s="32"/>
      <c r="OP129" s="32"/>
      <c r="OQ129" s="32"/>
      <c r="OR129" s="32"/>
      <c r="OS129" s="32"/>
      <c r="OT129" s="32"/>
      <c r="OU129" s="32"/>
      <c r="OV129" s="32"/>
      <c r="OW129" s="32"/>
      <c r="OX129" s="32"/>
      <c r="OY129" s="32"/>
      <c r="OZ129" s="32"/>
      <c r="PA129" s="32"/>
      <c r="PB129" s="32"/>
      <c r="PC129" s="32"/>
      <c r="PD129" s="32"/>
      <c r="PE129" s="32"/>
      <c r="PF129" s="32"/>
      <c r="PG129" s="32"/>
      <c r="PH129" s="32"/>
      <c r="PI129" s="32"/>
      <c r="PJ129" s="32"/>
      <c r="PK129" s="32"/>
      <c r="PL129" s="32"/>
      <c r="PM129" s="32"/>
      <c r="PN129" s="32"/>
      <c r="PO129" s="32"/>
      <c r="PP129" s="32"/>
      <c r="PQ129" s="32"/>
      <c r="PR129" s="32"/>
      <c r="PS129" s="32"/>
      <c r="PT129" s="32"/>
      <c r="PU129" s="32"/>
      <c r="PV129" s="32"/>
      <c r="PW129" s="32"/>
      <c r="PX129" s="32"/>
      <c r="PY129" s="32"/>
      <c r="PZ129" s="32"/>
      <c r="QA129" s="32"/>
      <c r="QB129" s="32"/>
      <c r="QC129" s="32"/>
      <c r="QD129" s="32"/>
      <c r="QE129" s="32"/>
      <c r="QF129" s="32"/>
      <c r="QG129" s="32"/>
      <c r="QH129" s="32"/>
      <c r="QI129" s="32"/>
      <c r="QJ129" s="32"/>
      <c r="QK129" s="32"/>
      <c r="QL129" s="32"/>
      <c r="QM129" s="32"/>
      <c r="QN129" s="32"/>
      <c r="QO129" s="32"/>
      <c r="QP129" s="32"/>
      <c r="QQ129" s="32"/>
      <c r="QR129" s="32"/>
      <c r="QS129" s="32"/>
      <c r="QT129" s="32"/>
      <c r="QU129" s="32"/>
      <c r="QV129" s="32"/>
      <c r="QW129" s="32"/>
      <c r="QX129" s="32"/>
      <c r="QY129" s="32"/>
      <c r="QZ129" s="32"/>
      <c r="RA129" s="32"/>
      <c r="RB129" s="32"/>
      <c r="RC129" s="32"/>
      <c r="RD129" s="32"/>
      <c r="RE129" s="32"/>
      <c r="RF129" s="32"/>
      <c r="RG129" s="32"/>
      <c r="RH129" s="32"/>
      <c r="RI129" s="32"/>
      <c r="RJ129" s="32"/>
      <c r="RK129" s="32"/>
      <c r="RL129" s="32"/>
      <c r="RM129" s="32"/>
      <c r="RN129" s="32"/>
      <c r="RO129" s="32"/>
      <c r="RP129" s="32"/>
      <c r="RQ129" s="32"/>
      <c r="RR129" s="32"/>
      <c r="RS129" s="32"/>
      <c r="RT129" s="32"/>
      <c r="RU129" s="32"/>
      <c r="RV129" s="32"/>
      <c r="RW129" s="32"/>
      <c r="RX129" s="32"/>
      <c r="RY129" s="32"/>
      <c r="RZ129" s="32"/>
      <c r="SA129" s="32"/>
      <c r="SB129" s="32"/>
      <c r="SC129" s="32"/>
      <c r="SD129" s="32"/>
      <c r="SE129" s="32"/>
      <c r="SF129" s="32"/>
      <c r="SG129" s="32"/>
      <c r="SH129" s="32"/>
      <c r="SI129" s="32"/>
      <c r="SJ129" s="32"/>
      <c r="SK129" s="32"/>
      <c r="SL129" s="32"/>
      <c r="SM129" s="32"/>
      <c r="SN129" s="32"/>
      <c r="SO129" s="32"/>
      <c r="SP129" s="32"/>
      <c r="SQ129" s="32"/>
      <c r="SR129" s="32"/>
      <c r="SS129" s="32"/>
      <c r="ST129" s="32"/>
      <c r="SU129" s="32"/>
      <c r="SV129" s="32"/>
      <c r="SW129" s="32"/>
      <c r="SX129" s="32"/>
      <c r="SY129" s="32"/>
      <c r="SZ129" s="32"/>
      <c r="TA129" s="32"/>
      <c r="TB129" s="32"/>
      <c r="TC129" s="32"/>
      <c r="TD129" s="32"/>
      <c r="TE129" s="32"/>
    </row>
    <row r="130" spans="1:525" s="34" customFormat="1" ht="33" customHeight="1" x14ac:dyDescent="0.25">
      <c r="A130" s="86" t="s">
        <v>167</v>
      </c>
      <c r="B130" s="95"/>
      <c r="C130" s="95"/>
      <c r="D130" s="70" t="s">
        <v>586</v>
      </c>
      <c r="E130" s="134">
        <f>E138+E139+E144+E147+E149+E151+E154+E155+E156+E157+E158+E160+E162+E163+E143+E146+E164</f>
        <v>105570400</v>
      </c>
      <c r="F130" s="134">
        <f t="shared" ref="F130:P130" si="50">F138+F139+F144+F147+F149+F151+F154+F155+F156+F157+F158+F160+F162+F163+F143+F146+F164</f>
        <v>105570400</v>
      </c>
      <c r="G130" s="134">
        <f t="shared" si="50"/>
        <v>4570300</v>
      </c>
      <c r="H130" s="134">
        <f t="shared" si="50"/>
        <v>215900</v>
      </c>
      <c r="I130" s="134">
        <f t="shared" si="50"/>
        <v>0</v>
      </c>
      <c r="J130" s="134">
        <f t="shared" si="50"/>
        <v>87907200</v>
      </c>
      <c r="K130" s="134">
        <f t="shared" si="50"/>
        <v>87907200</v>
      </c>
      <c r="L130" s="134">
        <f t="shared" si="50"/>
        <v>0</v>
      </c>
      <c r="M130" s="134">
        <f t="shared" si="50"/>
        <v>0</v>
      </c>
      <c r="N130" s="134">
        <f t="shared" si="50"/>
        <v>0</v>
      </c>
      <c r="O130" s="134">
        <f t="shared" si="50"/>
        <v>87907200</v>
      </c>
      <c r="P130" s="134">
        <f t="shared" si="50"/>
        <v>193477600</v>
      </c>
      <c r="Q130" s="178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</row>
    <row r="131" spans="1:525" s="34" customFormat="1" ht="31.5" hidden="1" customHeight="1" x14ac:dyDescent="0.25">
      <c r="A131" s="86"/>
      <c r="B131" s="95"/>
      <c r="C131" s="95"/>
      <c r="D131" s="70" t="s">
        <v>385</v>
      </c>
      <c r="E131" s="134">
        <f>E140+E145+E148</f>
        <v>0</v>
      </c>
      <c r="F131" s="134">
        <f t="shared" ref="F131:P131" si="51">F140+F145+F148</f>
        <v>0</v>
      </c>
      <c r="G131" s="134">
        <f t="shared" si="51"/>
        <v>0</v>
      </c>
      <c r="H131" s="134">
        <f t="shared" si="51"/>
        <v>0</v>
      </c>
      <c r="I131" s="134">
        <f t="shared" si="51"/>
        <v>0</v>
      </c>
      <c r="J131" s="134">
        <f t="shared" si="51"/>
        <v>0</v>
      </c>
      <c r="K131" s="134">
        <f t="shared" si="51"/>
        <v>0</v>
      </c>
      <c r="L131" s="134">
        <f t="shared" si="51"/>
        <v>0</v>
      </c>
      <c r="M131" s="134">
        <f t="shared" si="51"/>
        <v>0</v>
      </c>
      <c r="N131" s="134">
        <f t="shared" si="51"/>
        <v>0</v>
      </c>
      <c r="O131" s="134">
        <f t="shared" si="51"/>
        <v>0</v>
      </c>
      <c r="P131" s="134">
        <f t="shared" si="51"/>
        <v>0</v>
      </c>
      <c r="Q131" s="178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</row>
    <row r="132" spans="1:525" s="34" customFormat="1" ht="63" hidden="1" customHeight="1" x14ac:dyDescent="0.25">
      <c r="A132" s="86"/>
      <c r="B132" s="95"/>
      <c r="C132" s="95"/>
      <c r="D132" s="70" t="s">
        <v>383</v>
      </c>
      <c r="E132" s="134">
        <f>E159</f>
        <v>0</v>
      </c>
      <c r="F132" s="134">
        <f>F159</f>
        <v>0</v>
      </c>
      <c r="G132" s="134">
        <f t="shared" ref="G132:I132" si="52">G159</f>
        <v>0</v>
      </c>
      <c r="H132" s="134">
        <f t="shared" si="52"/>
        <v>0</v>
      </c>
      <c r="I132" s="134">
        <f t="shared" si="52"/>
        <v>0</v>
      </c>
      <c r="J132" s="134">
        <f>J159</f>
        <v>0</v>
      </c>
      <c r="K132" s="134">
        <f t="shared" ref="K132:P132" si="53">K159</f>
        <v>0</v>
      </c>
      <c r="L132" s="134">
        <f t="shared" si="53"/>
        <v>0</v>
      </c>
      <c r="M132" s="134">
        <f t="shared" si="53"/>
        <v>0</v>
      </c>
      <c r="N132" s="134">
        <f t="shared" si="53"/>
        <v>0</v>
      </c>
      <c r="O132" s="134">
        <f t="shared" si="53"/>
        <v>0</v>
      </c>
      <c r="P132" s="134">
        <f t="shared" si="53"/>
        <v>0</v>
      </c>
      <c r="Q132" s="178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</row>
    <row r="133" spans="1:525" s="34" customFormat="1" ht="47.25" hidden="1" customHeight="1" x14ac:dyDescent="0.25">
      <c r="A133" s="86"/>
      <c r="B133" s="95"/>
      <c r="C133" s="95"/>
      <c r="D133" s="70" t="s">
        <v>386</v>
      </c>
      <c r="E133" s="134">
        <f>E141+E152</f>
        <v>0</v>
      </c>
      <c r="F133" s="134">
        <f t="shared" ref="F133:P133" si="54">F141+F152</f>
        <v>0</v>
      </c>
      <c r="G133" s="134">
        <f t="shared" si="54"/>
        <v>0</v>
      </c>
      <c r="H133" s="134">
        <f t="shared" si="54"/>
        <v>0</v>
      </c>
      <c r="I133" s="134">
        <f t="shared" si="54"/>
        <v>0</v>
      </c>
      <c r="J133" s="134">
        <f t="shared" si="54"/>
        <v>0</v>
      </c>
      <c r="K133" s="134">
        <f t="shared" si="54"/>
        <v>0</v>
      </c>
      <c r="L133" s="134">
        <f t="shared" si="54"/>
        <v>0</v>
      </c>
      <c r="M133" s="134">
        <f t="shared" si="54"/>
        <v>0</v>
      </c>
      <c r="N133" s="134">
        <f t="shared" si="54"/>
        <v>0</v>
      </c>
      <c r="O133" s="134">
        <f t="shared" si="54"/>
        <v>0</v>
      </c>
      <c r="P133" s="134">
        <f t="shared" si="54"/>
        <v>0</v>
      </c>
      <c r="Q133" s="178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</row>
    <row r="134" spans="1:525" s="34" customFormat="1" ht="63" hidden="1" customHeight="1" x14ac:dyDescent="0.25">
      <c r="A134" s="86"/>
      <c r="B134" s="95"/>
      <c r="C134" s="95"/>
      <c r="D134" s="70" t="s">
        <v>387</v>
      </c>
      <c r="E134" s="134">
        <f>E150+E153</f>
        <v>0</v>
      </c>
      <c r="F134" s="134">
        <f>F150+F153</f>
        <v>0</v>
      </c>
      <c r="G134" s="134">
        <f t="shared" ref="G134:P134" si="55">G150+G153</f>
        <v>0</v>
      </c>
      <c r="H134" s="134">
        <f t="shared" si="55"/>
        <v>0</v>
      </c>
      <c r="I134" s="134">
        <f t="shared" si="55"/>
        <v>0</v>
      </c>
      <c r="J134" s="134">
        <f t="shared" si="55"/>
        <v>0</v>
      </c>
      <c r="K134" s="134">
        <f>K150+K153</f>
        <v>0</v>
      </c>
      <c r="L134" s="134">
        <f t="shared" si="55"/>
        <v>0</v>
      </c>
      <c r="M134" s="134">
        <f t="shared" si="55"/>
        <v>0</v>
      </c>
      <c r="N134" s="134">
        <f t="shared" si="55"/>
        <v>0</v>
      </c>
      <c r="O134" s="134">
        <f t="shared" si="55"/>
        <v>0</v>
      </c>
      <c r="P134" s="134">
        <f t="shared" si="55"/>
        <v>0</v>
      </c>
      <c r="Q134" s="178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</row>
    <row r="135" spans="1:525" s="34" customFormat="1" ht="49.5" hidden="1" customHeight="1" x14ac:dyDescent="0.25">
      <c r="A135" s="86"/>
      <c r="B135" s="95"/>
      <c r="C135" s="95"/>
      <c r="D135" s="70" t="s">
        <v>383</v>
      </c>
      <c r="E135" s="134">
        <f>E159</f>
        <v>0</v>
      </c>
      <c r="F135" s="134">
        <f t="shared" ref="F135:P135" si="56">F159</f>
        <v>0</v>
      </c>
      <c r="G135" s="134">
        <f t="shared" si="56"/>
        <v>0</v>
      </c>
      <c r="H135" s="134">
        <f t="shared" si="56"/>
        <v>0</v>
      </c>
      <c r="I135" s="134">
        <f t="shared" si="56"/>
        <v>0</v>
      </c>
      <c r="J135" s="134">
        <f t="shared" si="56"/>
        <v>0</v>
      </c>
      <c r="K135" s="134">
        <f t="shared" si="56"/>
        <v>0</v>
      </c>
      <c r="L135" s="134">
        <f t="shared" si="56"/>
        <v>0</v>
      </c>
      <c r="M135" s="134">
        <f t="shared" si="56"/>
        <v>0</v>
      </c>
      <c r="N135" s="134">
        <f t="shared" si="56"/>
        <v>0</v>
      </c>
      <c r="O135" s="134">
        <f t="shared" si="56"/>
        <v>0</v>
      </c>
      <c r="P135" s="134">
        <f t="shared" si="56"/>
        <v>0</v>
      </c>
      <c r="Q135" s="178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</row>
    <row r="136" spans="1:525" s="34" customFormat="1" ht="15.75" hidden="1" customHeight="1" x14ac:dyDescent="0.25">
      <c r="A136" s="86"/>
      <c r="B136" s="95"/>
      <c r="C136" s="95"/>
      <c r="D136" s="70" t="s">
        <v>388</v>
      </c>
      <c r="E136" s="134">
        <f>E142</f>
        <v>0</v>
      </c>
      <c r="F136" s="134">
        <f>F142</f>
        <v>0</v>
      </c>
      <c r="G136" s="134">
        <f t="shared" ref="G136:O136" si="57">G142</f>
        <v>0</v>
      </c>
      <c r="H136" s="134">
        <f t="shared" si="57"/>
        <v>0</v>
      </c>
      <c r="I136" s="134">
        <f t="shared" si="57"/>
        <v>0</v>
      </c>
      <c r="J136" s="134">
        <f t="shared" si="57"/>
        <v>0</v>
      </c>
      <c r="K136" s="134">
        <f t="shared" si="57"/>
        <v>0</v>
      </c>
      <c r="L136" s="134">
        <f t="shared" si="57"/>
        <v>0</v>
      </c>
      <c r="M136" s="134">
        <f t="shared" si="57"/>
        <v>0</v>
      </c>
      <c r="N136" s="134">
        <f t="shared" si="57"/>
        <v>0</v>
      </c>
      <c r="O136" s="134">
        <f t="shared" si="57"/>
        <v>0</v>
      </c>
      <c r="P136" s="134">
        <f>P142</f>
        <v>0</v>
      </c>
      <c r="Q136" s="178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</row>
    <row r="137" spans="1:525" s="34" customFormat="1" ht="15.75" hidden="1" customHeight="1" x14ac:dyDescent="0.25">
      <c r="A137" s="86"/>
      <c r="B137" s="95"/>
      <c r="C137" s="95"/>
      <c r="D137" s="75" t="s">
        <v>413</v>
      </c>
      <c r="E137" s="134">
        <f>E161</f>
        <v>0</v>
      </c>
      <c r="F137" s="134">
        <f t="shared" ref="F137:P137" si="58">F161</f>
        <v>0</v>
      </c>
      <c r="G137" s="134">
        <f t="shared" si="58"/>
        <v>0</v>
      </c>
      <c r="H137" s="134">
        <f t="shared" si="58"/>
        <v>0</v>
      </c>
      <c r="I137" s="134">
        <f t="shared" si="58"/>
        <v>0</v>
      </c>
      <c r="J137" s="134">
        <f t="shared" si="58"/>
        <v>0</v>
      </c>
      <c r="K137" s="134">
        <f t="shared" si="58"/>
        <v>0</v>
      </c>
      <c r="L137" s="134">
        <f t="shared" si="58"/>
        <v>0</v>
      </c>
      <c r="M137" s="134">
        <f t="shared" si="58"/>
        <v>0</v>
      </c>
      <c r="N137" s="134">
        <f t="shared" si="58"/>
        <v>0</v>
      </c>
      <c r="O137" s="134">
        <f t="shared" si="58"/>
        <v>0</v>
      </c>
      <c r="P137" s="134">
        <f t="shared" si="58"/>
        <v>0</v>
      </c>
      <c r="Q137" s="178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  <c r="SQ137" s="33"/>
      <c r="SR137" s="33"/>
      <c r="SS137" s="33"/>
      <c r="ST137" s="33"/>
      <c r="SU137" s="33"/>
      <c r="SV137" s="33"/>
      <c r="SW137" s="33"/>
      <c r="SX137" s="33"/>
      <c r="SY137" s="33"/>
      <c r="SZ137" s="33"/>
      <c r="TA137" s="33"/>
      <c r="TB137" s="33"/>
      <c r="TC137" s="33"/>
      <c r="TD137" s="33"/>
      <c r="TE137" s="33"/>
    </row>
    <row r="138" spans="1:525" s="22" customFormat="1" ht="48" customHeight="1" x14ac:dyDescent="0.25">
      <c r="A138" s="56" t="s">
        <v>168</v>
      </c>
      <c r="B138" s="84" t="str">
        <f>'дод 7'!A14</f>
        <v>0160</v>
      </c>
      <c r="C138" s="84" t="str">
        <f>'дод 7'!B14</f>
        <v>0111</v>
      </c>
      <c r="D138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138" s="135">
        <f t="shared" ref="E138:E163" si="59">F138+I138</f>
        <v>2544900</v>
      </c>
      <c r="F138" s="135">
        <f>2742700-197800</f>
        <v>2544900</v>
      </c>
      <c r="G138" s="135">
        <f>2086600-162100</f>
        <v>1924500</v>
      </c>
      <c r="H138" s="135">
        <v>57900</v>
      </c>
      <c r="I138" s="135"/>
      <c r="J138" s="135">
        <f>L138+O138</f>
        <v>0</v>
      </c>
      <c r="K138" s="135"/>
      <c r="L138" s="135"/>
      <c r="M138" s="135"/>
      <c r="N138" s="135"/>
      <c r="O138" s="135"/>
      <c r="P138" s="135">
        <f t="shared" ref="P138:P164" si="60">E138+J138</f>
        <v>2544900</v>
      </c>
      <c r="Q138" s="178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</row>
    <row r="139" spans="1:525" s="22" customFormat="1" ht="33" customHeight="1" x14ac:dyDescent="0.25">
      <c r="A139" s="56" t="s">
        <v>169</v>
      </c>
      <c r="B139" s="84" t="str">
        <f>'дод 7'!A82</f>
        <v>2010</v>
      </c>
      <c r="C139" s="84" t="str">
        <f>'дод 7'!B82</f>
        <v>0731</v>
      </c>
      <c r="D139" s="6" t="str">
        <f>'дод 7'!C82</f>
        <v>Багатопрофільна стаціонарна медична допомога населенню</v>
      </c>
      <c r="E139" s="135">
        <f t="shared" si="59"/>
        <v>52837500</v>
      </c>
      <c r="F139" s="135">
        <f>51967500+570000+300000</f>
        <v>52837500</v>
      </c>
      <c r="G139" s="135"/>
      <c r="H139" s="135"/>
      <c r="I139" s="137"/>
      <c r="J139" s="135">
        <f t="shared" ref="J139:J164" si="61">L139+O139</f>
        <v>0</v>
      </c>
      <c r="K139" s="135"/>
      <c r="L139" s="135"/>
      <c r="M139" s="135"/>
      <c r="N139" s="135"/>
      <c r="O139" s="135"/>
      <c r="P139" s="135">
        <f t="shared" si="60"/>
        <v>52837500</v>
      </c>
      <c r="Q139" s="178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</row>
    <row r="140" spans="1:525" s="24" customFormat="1" ht="30" hidden="1" customHeight="1" x14ac:dyDescent="0.25">
      <c r="A140" s="76"/>
      <c r="B140" s="97"/>
      <c r="C140" s="97"/>
      <c r="D140" s="79" t="s">
        <v>385</v>
      </c>
      <c r="E140" s="136">
        <f t="shared" si="59"/>
        <v>0</v>
      </c>
      <c r="F140" s="136"/>
      <c r="G140" s="136"/>
      <c r="H140" s="136"/>
      <c r="I140" s="139"/>
      <c r="J140" s="136">
        <f t="shared" si="61"/>
        <v>0</v>
      </c>
      <c r="K140" s="136"/>
      <c r="L140" s="136"/>
      <c r="M140" s="136"/>
      <c r="N140" s="136"/>
      <c r="O140" s="136"/>
      <c r="P140" s="136">
        <f t="shared" si="60"/>
        <v>0</v>
      </c>
      <c r="Q140" s="178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</row>
    <row r="141" spans="1:525" s="24" customFormat="1" ht="47.25" hidden="1" customHeight="1" x14ac:dyDescent="0.25">
      <c r="A141" s="76"/>
      <c r="B141" s="97"/>
      <c r="C141" s="97"/>
      <c r="D141" s="79" t="s">
        <v>386</v>
      </c>
      <c r="E141" s="136">
        <f t="shared" si="59"/>
        <v>0</v>
      </c>
      <c r="F141" s="136"/>
      <c r="G141" s="136"/>
      <c r="H141" s="136"/>
      <c r="I141" s="136"/>
      <c r="J141" s="136">
        <f t="shared" si="61"/>
        <v>0</v>
      </c>
      <c r="K141" s="136"/>
      <c r="L141" s="136"/>
      <c r="M141" s="136"/>
      <c r="N141" s="136"/>
      <c r="O141" s="136"/>
      <c r="P141" s="136">
        <f t="shared" si="60"/>
        <v>0</v>
      </c>
      <c r="Q141" s="178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  <c r="SQ141" s="30"/>
      <c r="SR141" s="30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</row>
    <row r="142" spans="1:525" s="24" customFormat="1" ht="15.75" hidden="1" customHeight="1" x14ac:dyDescent="0.25">
      <c r="A142" s="76"/>
      <c r="B142" s="97"/>
      <c r="C142" s="97"/>
      <c r="D142" s="79" t="s">
        <v>388</v>
      </c>
      <c r="E142" s="136">
        <f t="shared" si="59"/>
        <v>0</v>
      </c>
      <c r="F142" s="136"/>
      <c r="G142" s="136"/>
      <c r="H142" s="136"/>
      <c r="I142" s="139"/>
      <c r="J142" s="136">
        <f t="shared" si="61"/>
        <v>0</v>
      </c>
      <c r="K142" s="136"/>
      <c r="L142" s="136"/>
      <c r="M142" s="136"/>
      <c r="N142" s="136"/>
      <c r="O142" s="136"/>
      <c r="P142" s="136">
        <f t="shared" si="60"/>
        <v>0</v>
      </c>
      <c r="Q142" s="178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</row>
    <row r="143" spans="1:525" s="22" customFormat="1" ht="31.5" hidden="1" customHeight="1" x14ac:dyDescent="0.25">
      <c r="A143" s="56" t="s">
        <v>436</v>
      </c>
      <c r="B143" s="84">
        <v>2020</v>
      </c>
      <c r="C143" s="56" t="s">
        <v>437</v>
      </c>
      <c r="D143" s="57" t="str">
        <f>'дод 7'!C86</f>
        <v xml:space="preserve"> Спеціалізована стаціонарна медична допомога населенню</v>
      </c>
      <c r="E143" s="135">
        <f t="shared" si="59"/>
        <v>0</v>
      </c>
      <c r="F143" s="135"/>
      <c r="G143" s="137"/>
      <c r="H143" s="137"/>
      <c r="I143" s="137"/>
      <c r="J143" s="135">
        <f t="shared" si="61"/>
        <v>0</v>
      </c>
      <c r="K143" s="135"/>
      <c r="L143" s="135"/>
      <c r="M143" s="135"/>
      <c r="N143" s="135"/>
      <c r="O143" s="135"/>
      <c r="P143" s="135">
        <f t="shared" si="60"/>
        <v>0</v>
      </c>
      <c r="Q143" s="178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</row>
    <row r="144" spans="1:525" s="22" customFormat="1" ht="31.5" x14ac:dyDescent="0.25">
      <c r="A144" s="56" t="s">
        <v>174</v>
      </c>
      <c r="B144" s="84" t="str">
        <f>'дод 7'!A87</f>
        <v>2030</v>
      </c>
      <c r="C144" s="84" t="str">
        <f>'дод 7'!B87</f>
        <v>0733</v>
      </c>
      <c r="D144" s="57" t="str">
        <f>'дод 7'!C87</f>
        <v>Лікарсько-акушерська допомога вагітним, породіллям та новонародженим</v>
      </c>
      <c r="E144" s="135">
        <f t="shared" si="59"/>
        <v>5125600</v>
      </c>
      <c r="F144" s="135">
        <v>5125600</v>
      </c>
      <c r="G144" s="140"/>
      <c r="H144" s="140"/>
      <c r="I144" s="137"/>
      <c r="J144" s="135">
        <f t="shared" si="61"/>
        <v>0</v>
      </c>
      <c r="K144" s="135"/>
      <c r="L144" s="135"/>
      <c r="M144" s="135"/>
      <c r="N144" s="135"/>
      <c r="O144" s="135"/>
      <c r="P144" s="135">
        <f t="shared" si="60"/>
        <v>5125600</v>
      </c>
      <c r="Q144" s="178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</row>
    <row r="145" spans="1:525" s="24" customFormat="1" ht="31.5" hidden="1" customHeight="1" x14ac:dyDescent="0.25">
      <c r="A145" s="76"/>
      <c r="B145" s="97"/>
      <c r="C145" s="97"/>
      <c r="D145" s="79" t="s">
        <v>385</v>
      </c>
      <c r="E145" s="136">
        <f t="shared" si="59"/>
        <v>0</v>
      </c>
      <c r="F145" s="136"/>
      <c r="G145" s="139"/>
      <c r="H145" s="139"/>
      <c r="I145" s="139"/>
      <c r="J145" s="136"/>
      <c r="K145" s="136"/>
      <c r="L145" s="136"/>
      <c r="M145" s="136"/>
      <c r="N145" s="136"/>
      <c r="O145" s="136"/>
      <c r="P145" s="135">
        <f t="shared" si="60"/>
        <v>0</v>
      </c>
      <c r="Q145" s="178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</row>
    <row r="146" spans="1:525" s="24" customFormat="1" ht="15.75" x14ac:dyDescent="0.25">
      <c r="A146" s="56" t="s">
        <v>610</v>
      </c>
      <c r="B146" s="84">
        <v>2070</v>
      </c>
      <c r="C146" s="55" t="s">
        <v>611</v>
      </c>
      <c r="D146" s="57" t="s">
        <v>612</v>
      </c>
      <c r="E146" s="135"/>
      <c r="F146" s="135"/>
      <c r="G146" s="57"/>
      <c r="H146" s="57"/>
      <c r="I146" s="57"/>
      <c r="J146" s="135">
        <v>400000</v>
      </c>
      <c r="K146" s="135">
        <v>400000</v>
      </c>
      <c r="L146" s="135"/>
      <c r="M146" s="135"/>
      <c r="N146" s="135"/>
      <c r="O146" s="135">
        <v>400000</v>
      </c>
      <c r="P146" s="135">
        <f t="shared" si="60"/>
        <v>400000</v>
      </c>
      <c r="Q146" s="178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  <c r="SO146" s="30"/>
      <c r="SP146" s="30"/>
      <c r="SQ146" s="30"/>
      <c r="SR146" s="30"/>
      <c r="SS146" s="30"/>
      <c r="ST146" s="30"/>
      <c r="SU146" s="30"/>
      <c r="SV146" s="30"/>
      <c r="SW146" s="30"/>
      <c r="SX146" s="30"/>
      <c r="SY146" s="30"/>
      <c r="SZ146" s="30"/>
      <c r="TA146" s="30"/>
      <c r="TB146" s="30"/>
      <c r="TC146" s="30"/>
      <c r="TD146" s="30"/>
      <c r="TE146" s="30"/>
    </row>
    <row r="147" spans="1:525" s="22" customFormat="1" ht="24" customHeight="1" x14ac:dyDescent="0.25">
      <c r="A147" s="56" t="s">
        <v>173</v>
      </c>
      <c r="B147" s="84" t="str">
        <f>'дод 7'!A90</f>
        <v>2100</v>
      </c>
      <c r="C147" s="84" t="str">
        <f>'дод 7'!B90</f>
        <v>0722</v>
      </c>
      <c r="D147" s="57" t="str">
        <f>'дод 7'!C90</f>
        <v>Стоматологічна допомога населенню</v>
      </c>
      <c r="E147" s="135">
        <f t="shared" si="59"/>
        <v>12388700</v>
      </c>
      <c r="F147" s="135">
        <f>12958700-570000</f>
        <v>12388700</v>
      </c>
      <c r="G147" s="140"/>
      <c r="H147" s="140"/>
      <c r="I147" s="137"/>
      <c r="J147" s="135">
        <f t="shared" si="61"/>
        <v>0</v>
      </c>
      <c r="K147" s="135"/>
      <c r="L147" s="135"/>
      <c r="M147" s="135"/>
      <c r="N147" s="135"/>
      <c r="O147" s="135"/>
      <c r="P147" s="135">
        <f t="shared" si="60"/>
        <v>12388700</v>
      </c>
      <c r="Q147" s="178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</row>
    <row r="148" spans="1:525" s="24" customFormat="1" ht="30" hidden="1" customHeight="1" x14ac:dyDescent="0.25">
      <c r="A148" s="76"/>
      <c r="B148" s="97"/>
      <c r="C148" s="97"/>
      <c r="D148" s="79" t="s">
        <v>385</v>
      </c>
      <c r="E148" s="136">
        <f t="shared" si="59"/>
        <v>0</v>
      </c>
      <c r="F148" s="136"/>
      <c r="G148" s="139"/>
      <c r="H148" s="139"/>
      <c r="I148" s="139"/>
      <c r="J148" s="136">
        <f t="shared" si="61"/>
        <v>0</v>
      </c>
      <c r="K148" s="136"/>
      <c r="L148" s="136"/>
      <c r="M148" s="136"/>
      <c r="N148" s="136"/>
      <c r="O148" s="136"/>
      <c r="P148" s="136">
        <f t="shared" si="60"/>
        <v>0</v>
      </c>
      <c r="Q148" s="178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</row>
    <row r="149" spans="1:525" s="22" customFormat="1" ht="48" customHeight="1" x14ac:dyDescent="0.25">
      <c r="A149" s="56" t="s">
        <v>172</v>
      </c>
      <c r="B149" s="84" t="str">
        <f>'дод 7'!A92</f>
        <v>2111</v>
      </c>
      <c r="C149" s="84" t="str">
        <f>'дод 7'!B92</f>
        <v>0726</v>
      </c>
      <c r="D149" s="57" t="str">
        <f>'дод 7'!C92</f>
        <v>Первинна медична допомога населенню, що надається центрами первинної медичної (медико-санітарної) допомоги</v>
      </c>
      <c r="E149" s="135">
        <f t="shared" si="59"/>
        <v>5307100</v>
      </c>
      <c r="F149" s="135">
        <v>5307100</v>
      </c>
      <c r="G149" s="137"/>
      <c r="H149" s="140"/>
      <c r="I149" s="137"/>
      <c r="J149" s="135">
        <f t="shared" si="61"/>
        <v>0</v>
      </c>
      <c r="K149" s="135"/>
      <c r="L149" s="135"/>
      <c r="M149" s="135"/>
      <c r="N149" s="135"/>
      <c r="O149" s="135"/>
      <c r="P149" s="135">
        <f t="shared" si="60"/>
        <v>5307100</v>
      </c>
      <c r="Q149" s="178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</row>
    <row r="150" spans="1:525" s="24" customFormat="1" ht="63" hidden="1" customHeight="1" x14ac:dyDescent="0.25">
      <c r="A150" s="76"/>
      <c r="B150" s="97"/>
      <c r="C150" s="97"/>
      <c r="D150" s="77" t="s">
        <v>387</v>
      </c>
      <c r="E150" s="136">
        <f t="shared" si="59"/>
        <v>0</v>
      </c>
      <c r="F150" s="136"/>
      <c r="G150" s="139"/>
      <c r="H150" s="139"/>
      <c r="I150" s="139"/>
      <c r="J150" s="136">
        <f t="shared" si="61"/>
        <v>0</v>
      </c>
      <c r="K150" s="136"/>
      <c r="L150" s="136"/>
      <c r="M150" s="136"/>
      <c r="N150" s="136"/>
      <c r="O150" s="136"/>
      <c r="P150" s="136">
        <f t="shared" si="60"/>
        <v>0</v>
      </c>
      <c r="Q150" s="178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</row>
    <row r="151" spans="1:525" s="22" customFormat="1" ht="31.5" hidden="1" customHeight="1" x14ac:dyDescent="0.25">
      <c r="A151" s="56" t="s">
        <v>171</v>
      </c>
      <c r="B151" s="84">
        <f>'дод 7'!A94</f>
        <v>2144</v>
      </c>
      <c r="C151" s="84" t="str">
        <f>'дод 7'!B94</f>
        <v>0763</v>
      </c>
      <c r="D151" s="105" t="str">
        <f>'дод 7'!C94</f>
        <v>Централізовані заходи з лікування хворих на цукровий та нецукровий діабет, у т.ч. за рахунок:</v>
      </c>
      <c r="E151" s="135">
        <f t="shared" si="59"/>
        <v>0</v>
      </c>
      <c r="F151" s="135"/>
      <c r="G151" s="137"/>
      <c r="H151" s="137"/>
      <c r="I151" s="137"/>
      <c r="J151" s="135">
        <f t="shared" si="61"/>
        <v>0</v>
      </c>
      <c r="K151" s="135"/>
      <c r="L151" s="135"/>
      <c r="M151" s="135"/>
      <c r="N151" s="135"/>
      <c r="O151" s="135"/>
      <c r="P151" s="135">
        <f t="shared" si="60"/>
        <v>0</v>
      </c>
      <c r="Q151" s="178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</row>
    <row r="152" spans="1:525" s="24" customFormat="1" ht="47.25" hidden="1" customHeight="1" x14ac:dyDescent="0.25">
      <c r="A152" s="76"/>
      <c r="B152" s="97"/>
      <c r="C152" s="97"/>
      <c r="D152" s="106" t="s">
        <v>386</v>
      </c>
      <c r="E152" s="136">
        <f t="shared" si="59"/>
        <v>0</v>
      </c>
      <c r="F152" s="136"/>
      <c r="G152" s="136"/>
      <c r="H152" s="136"/>
      <c r="I152" s="136"/>
      <c r="J152" s="136">
        <f t="shared" si="61"/>
        <v>0</v>
      </c>
      <c r="K152" s="136"/>
      <c r="L152" s="136"/>
      <c r="M152" s="136"/>
      <c r="N152" s="136"/>
      <c r="O152" s="136"/>
      <c r="P152" s="136">
        <f t="shared" si="60"/>
        <v>0</v>
      </c>
      <c r="Q152" s="178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</row>
    <row r="153" spans="1:525" s="24" customFormat="1" ht="63" hidden="1" customHeight="1" x14ac:dyDescent="0.25">
      <c r="A153" s="76"/>
      <c r="B153" s="97"/>
      <c r="C153" s="97"/>
      <c r="D153" s="106" t="s">
        <v>387</v>
      </c>
      <c r="E153" s="136">
        <f t="shared" si="59"/>
        <v>0</v>
      </c>
      <c r="F153" s="136"/>
      <c r="G153" s="139"/>
      <c r="H153" s="139"/>
      <c r="I153" s="139"/>
      <c r="J153" s="136">
        <f t="shared" si="61"/>
        <v>0</v>
      </c>
      <c r="K153" s="136"/>
      <c r="L153" s="136"/>
      <c r="M153" s="136"/>
      <c r="N153" s="136"/>
      <c r="O153" s="136"/>
      <c r="P153" s="136">
        <f t="shared" si="60"/>
        <v>0</v>
      </c>
      <c r="Q153" s="178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  <c r="SQ153" s="30"/>
      <c r="SR153" s="30"/>
      <c r="SS153" s="30"/>
      <c r="ST153" s="30"/>
      <c r="SU153" s="30"/>
      <c r="SV153" s="30"/>
      <c r="SW153" s="30"/>
      <c r="SX153" s="30"/>
      <c r="SY153" s="30"/>
      <c r="SZ153" s="30"/>
      <c r="TA153" s="30"/>
      <c r="TB153" s="30"/>
      <c r="TC153" s="30"/>
      <c r="TD153" s="30"/>
      <c r="TE153" s="30"/>
    </row>
    <row r="154" spans="1:525" s="22" customFormat="1" ht="30" customHeight="1" x14ac:dyDescent="0.25">
      <c r="A154" s="56" t="s">
        <v>320</v>
      </c>
      <c r="B154" s="42" t="str">
        <f>'дод 7'!A97</f>
        <v>2151</v>
      </c>
      <c r="C154" s="42" t="str">
        <f>'дод 7'!B97</f>
        <v>0763</v>
      </c>
      <c r="D154" s="57" t="str">
        <f>'дод 7'!C97</f>
        <v>Забезпечення діяльності інших закладів у сфері охорони здоров'я</v>
      </c>
      <c r="E154" s="135">
        <f t="shared" si="59"/>
        <v>3518500</v>
      </c>
      <c r="F154" s="135">
        <v>3518500</v>
      </c>
      <c r="G154" s="140">
        <v>2645800</v>
      </c>
      <c r="H154" s="140">
        <v>158000</v>
      </c>
      <c r="I154" s="137"/>
      <c r="J154" s="135">
        <f t="shared" si="61"/>
        <v>300000</v>
      </c>
      <c r="K154" s="135">
        <v>300000</v>
      </c>
      <c r="L154" s="135"/>
      <c r="M154" s="135"/>
      <c r="N154" s="135"/>
      <c r="O154" s="135">
        <v>300000</v>
      </c>
      <c r="P154" s="135">
        <f t="shared" si="60"/>
        <v>3818500</v>
      </c>
      <c r="Q154" s="178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</row>
    <row r="155" spans="1:525" s="22" customFormat="1" ht="34.5" customHeight="1" x14ac:dyDescent="0.25">
      <c r="A155" s="56" t="s">
        <v>321</v>
      </c>
      <c r="B155" s="42" t="str">
        <f>'дод 7'!A98</f>
        <v>2152</v>
      </c>
      <c r="C155" s="42" t="str">
        <f>'дод 7'!B98</f>
        <v>0763</v>
      </c>
      <c r="D155" s="36" t="str">
        <f>'дод 7'!C98</f>
        <v>Інші програми та заходи у сфері охорони здоров'я</v>
      </c>
      <c r="E155" s="135">
        <f>F155+I155</f>
        <v>21723600</v>
      </c>
      <c r="F155" s="135">
        <v>21723600</v>
      </c>
      <c r="G155" s="135"/>
      <c r="H155" s="135"/>
      <c r="I155" s="135"/>
      <c r="J155" s="135">
        <f t="shared" si="61"/>
        <v>80030000</v>
      </c>
      <c r="K155" s="135">
        <v>80030000</v>
      </c>
      <c r="L155" s="135"/>
      <c r="M155" s="135"/>
      <c r="N155" s="135"/>
      <c r="O155" s="135">
        <v>80030000</v>
      </c>
      <c r="P155" s="135">
        <f t="shared" si="60"/>
        <v>101753600</v>
      </c>
      <c r="Q155" s="178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</row>
    <row r="156" spans="1:525" s="22" customFormat="1" ht="24.75" hidden="1" customHeight="1" x14ac:dyDescent="0.25">
      <c r="A156" s="56" t="s">
        <v>410</v>
      </c>
      <c r="B156" s="42">
        <v>7322</v>
      </c>
      <c r="C156" s="89" t="s">
        <v>110</v>
      </c>
      <c r="D156" s="6" t="str">
        <f>'дод 7'!C182</f>
        <v>Будівництво1 медичних установ та закладів</v>
      </c>
      <c r="E156" s="135">
        <f>F156+I156</f>
        <v>0</v>
      </c>
      <c r="F156" s="135"/>
      <c r="G156" s="135"/>
      <c r="H156" s="135"/>
      <c r="I156" s="135"/>
      <c r="J156" s="135">
        <f t="shared" si="61"/>
        <v>0</v>
      </c>
      <c r="K156" s="135"/>
      <c r="L156" s="135"/>
      <c r="M156" s="135"/>
      <c r="N156" s="135"/>
      <c r="O156" s="135"/>
      <c r="P156" s="135">
        <f t="shared" si="60"/>
        <v>0</v>
      </c>
      <c r="Q156" s="178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</row>
    <row r="157" spans="1:525" s="22" customFormat="1" ht="47.25" x14ac:dyDescent="0.25">
      <c r="A157" s="56" t="s">
        <v>368</v>
      </c>
      <c r="B157" s="42">
        <f>'дод 7'!A189</f>
        <v>7361</v>
      </c>
      <c r="C157" s="42" t="str">
        <f>'дод 7'!B189</f>
        <v>0490</v>
      </c>
      <c r="D157" s="36" t="str">
        <f>'дод 7'!C189</f>
        <v>Співфінансування інвестиційних проектів, що реалізуються за рахунок коштів державного фонду регіонального розвитку</v>
      </c>
      <c r="E157" s="135">
        <f t="shared" si="59"/>
        <v>0</v>
      </c>
      <c r="F157" s="135"/>
      <c r="G157" s="135"/>
      <c r="H157" s="135"/>
      <c r="I157" s="135"/>
      <c r="J157" s="135">
        <f t="shared" si="61"/>
        <v>7136700</v>
      </c>
      <c r="K157" s="135">
        <f>17636700+1100000-10000000-1600000</f>
        <v>7136700</v>
      </c>
      <c r="L157" s="135"/>
      <c r="M157" s="135"/>
      <c r="N157" s="135"/>
      <c r="O157" s="135">
        <f>17636700+1100000-10000000-1600000</f>
        <v>7136700</v>
      </c>
      <c r="P157" s="135">
        <f t="shared" si="60"/>
        <v>7136700</v>
      </c>
      <c r="Q157" s="178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</row>
    <row r="158" spans="1:525" s="22" customFormat="1" ht="47.25" hidden="1" customHeight="1" x14ac:dyDescent="0.25">
      <c r="A158" s="56" t="s">
        <v>417</v>
      </c>
      <c r="B158" s="42">
        <v>7363</v>
      </c>
      <c r="C158" s="89" t="s">
        <v>81</v>
      </c>
      <c r="D158" s="57" t="s">
        <v>392</v>
      </c>
      <c r="E158" s="135">
        <f t="shared" si="59"/>
        <v>0</v>
      </c>
      <c r="F158" s="135"/>
      <c r="G158" s="135"/>
      <c r="H158" s="135"/>
      <c r="I158" s="135"/>
      <c r="J158" s="135">
        <f t="shared" si="61"/>
        <v>0</v>
      </c>
      <c r="K158" s="135"/>
      <c r="L158" s="135"/>
      <c r="M158" s="135"/>
      <c r="N158" s="135"/>
      <c r="O158" s="135"/>
      <c r="P158" s="135">
        <f t="shared" si="60"/>
        <v>0</v>
      </c>
      <c r="Q158" s="178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</row>
    <row r="159" spans="1:525" s="22" customFormat="1" ht="47.25" hidden="1" customHeight="1" x14ac:dyDescent="0.25">
      <c r="A159" s="56"/>
      <c r="B159" s="42"/>
      <c r="C159" s="42"/>
      <c r="D159" s="79" t="s">
        <v>383</v>
      </c>
      <c r="E159" s="136">
        <f t="shared" si="59"/>
        <v>0</v>
      </c>
      <c r="F159" s="136"/>
      <c r="G159" s="136"/>
      <c r="H159" s="136"/>
      <c r="I159" s="136"/>
      <c r="J159" s="136">
        <f t="shared" si="61"/>
        <v>0</v>
      </c>
      <c r="K159" s="136"/>
      <c r="L159" s="136"/>
      <c r="M159" s="136"/>
      <c r="N159" s="136"/>
      <c r="O159" s="136"/>
      <c r="P159" s="136">
        <f t="shared" si="60"/>
        <v>0</v>
      </c>
      <c r="Q159" s="178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</row>
    <row r="160" spans="1:525" s="22" customFormat="1" ht="27.75" customHeight="1" x14ac:dyDescent="0.25">
      <c r="A160" s="56" t="s">
        <v>170</v>
      </c>
      <c r="B160" s="84" t="str">
        <f>'дод 7'!A217</f>
        <v>7640</v>
      </c>
      <c r="C160" s="84" t="str">
        <f>'дод 7'!B217</f>
        <v>0470</v>
      </c>
      <c r="D160" s="57" t="s">
        <v>416</v>
      </c>
      <c r="E160" s="135">
        <f t="shared" si="59"/>
        <v>124500</v>
      </c>
      <c r="F160" s="135">
        <v>124500</v>
      </c>
      <c r="G160" s="135"/>
      <c r="H160" s="135"/>
      <c r="I160" s="135"/>
      <c r="J160" s="135">
        <f t="shared" si="61"/>
        <v>40500</v>
      </c>
      <c r="K160" s="135">
        <f>8635500-6900000-700000-495000-500000</f>
        <v>40500</v>
      </c>
      <c r="L160" s="135"/>
      <c r="M160" s="135"/>
      <c r="N160" s="135"/>
      <c r="O160" s="135">
        <f>8635500-6900000-700000-495000-500000</f>
        <v>40500</v>
      </c>
      <c r="P160" s="135">
        <f t="shared" si="60"/>
        <v>165000</v>
      </c>
      <c r="Q160" s="178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</row>
    <row r="161" spans="1:525" s="24" customFormat="1" ht="15" hidden="1" customHeight="1" x14ac:dyDescent="0.25">
      <c r="A161" s="76"/>
      <c r="B161" s="97"/>
      <c r="C161" s="97"/>
      <c r="D161" s="77" t="s">
        <v>413</v>
      </c>
      <c r="E161" s="136">
        <f t="shared" si="59"/>
        <v>0</v>
      </c>
      <c r="F161" s="136"/>
      <c r="G161" s="136"/>
      <c r="H161" s="136"/>
      <c r="I161" s="136"/>
      <c r="J161" s="136">
        <f t="shared" si="61"/>
        <v>0</v>
      </c>
      <c r="K161" s="136"/>
      <c r="L161" s="136"/>
      <c r="M161" s="136"/>
      <c r="N161" s="136"/>
      <c r="O161" s="136"/>
      <c r="P161" s="136">
        <f t="shared" si="60"/>
        <v>0</v>
      </c>
      <c r="Q161" s="178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</row>
    <row r="162" spans="1:525" s="22" customFormat="1" ht="45" hidden="1" customHeight="1" x14ac:dyDescent="0.25">
      <c r="A162" s="56" t="s">
        <v>356</v>
      </c>
      <c r="B162" s="84">
        <v>7700</v>
      </c>
      <c r="C162" s="56" t="s">
        <v>92</v>
      </c>
      <c r="D162" s="57" t="s">
        <v>357</v>
      </c>
      <c r="E162" s="135">
        <f t="shared" si="59"/>
        <v>0</v>
      </c>
      <c r="F162" s="135"/>
      <c r="G162" s="135"/>
      <c r="H162" s="135"/>
      <c r="I162" s="135"/>
      <c r="J162" s="135">
        <f t="shared" si="61"/>
        <v>0</v>
      </c>
      <c r="K162" s="135"/>
      <c r="L162" s="135"/>
      <c r="M162" s="135"/>
      <c r="N162" s="135"/>
      <c r="O162" s="135"/>
      <c r="P162" s="135">
        <f t="shared" si="60"/>
        <v>0</v>
      </c>
      <c r="Q162" s="178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</row>
    <row r="163" spans="1:525" s="22" customFormat="1" ht="15.75" hidden="1" customHeight="1" x14ac:dyDescent="0.25">
      <c r="A163" s="56" t="s">
        <v>422</v>
      </c>
      <c r="B163" s="84">
        <v>9770</v>
      </c>
      <c r="C163" s="56" t="s">
        <v>44</v>
      </c>
      <c r="D163" s="57" t="s">
        <v>423</v>
      </c>
      <c r="E163" s="135">
        <f t="shared" si="59"/>
        <v>0</v>
      </c>
      <c r="F163" s="135"/>
      <c r="G163" s="135"/>
      <c r="H163" s="135"/>
      <c r="I163" s="135"/>
      <c r="J163" s="135">
        <f t="shared" si="61"/>
        <v>0</v>
      </c>
      <c r="K163" s="135"/>
      <c r="L163" s="135"/>
      <c r="M163" s="135"/>
      <c r="N163" s="135"/>
      <c r="O163" s="135"/>
      <c r="P163" s="135">
        <f t="shared" si="60"/>
        <v>0</v>
      </c>
      <c r="Q163" s="178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</row>
    <row r="164" spans="1:525" s="22" customFormat="1" ht="38.25" customHeight="1" x14ac:dyDescent="0.25">
      <c r="A164" s="89" t="s">
        <v>615</v>
      </c>
      <c r="B164" s="42">
        <v>8775</v>
      </c>
      <c r="C164" s="89" t="s">
        <v>92</v>
      </c>
      <c r="D164" s="36" t="s">
        <v>614</v>
      </c>
      <c r="E164" s="135">
        <f>F164</f>
        <v>2000000</v>
      </c>
      <c r="F164" s="135">
        <v>2000000</v>
      </c>
      <c r="G164" s="135"/>
      <c r="H164" s="135"/>
      <c r="I164" s="135"/>
      <c r="J164" s="135">
        <f t="shared" si="61"/>
        <v>0</v>
      </c>
      <c r="K164" s="135"/>
      <c r="L164" s="135"/>
      <c r="M164" s="135"/>
      <c r="N164" s="135"/>
      <c r="O164" s="135"/>
      <c r="P164" s="135">
        <f t="shared" si="60"/>
        <v>2000000</v>
      </c>
      <c r="Q164" s="178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</row>
    <row r="165" spans="1:525" s="27" customFormat="1" ht="36" customHeight="1" x14ac:dyDescent="0.25">
      <c r="A165" s="96" t="s">
        <v>175</v>
      </c>
      <c r="B165" s="98"/>
      <c r="C165" s="98"/>
      <c r="D165" s="93" t="s">
        <v>37</v>
      </c>
      <c r="E165" s="133">
        <f>E166</f>
        <v>285394196.86000001</v>
      </c>
      <c r="F165" s="133">
        <f t="shared" ref="F165:P165" si="62">F166</f>
        <v>285394196.86000001</v>
      </c>
      <c r="G165" s="133">
        <f t="shared" si="62"/>
        <v>59588900</v>
      </c>
      <c r="H165" s="133">
        <f t="shared" si="62"/>
        <v>2416100</v>
      </c>
      <c r="I165" s="133">
        <f t="shared" si="62"/>
        <v>0</v>
      </c>
      <c r="J165" s="133">
        <f t="shared" si="62"/>
        <v>668200</v>
      </c>
      <c r="K165" s="133">
        <f t="shared" si="62"/>
        <v>572000</v>
      </c>
      <c r="L165" s="133">
        <f t="shared" si="62"/>
        <v>96200</v>
      </c>
      <c r="M165" s="133">
        <f t="shared" si="62"/>
        <v>78600</v>
      </c>
      <c r="N165" s="133">
        <f t="shared" si="62"/>
        <v>0</v>
      </c>
      <c r="O165" s="133">
        <f t="shared" si="62"/>
        <v>572000</v>
      </c>
      <c r="P165" s="133">
        <f t="shared" si="62"/>
        <v>286062396.86000001</v>
      </c>
      <c r="Q165" s="178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  <c r="SQ165" s="32"/>
      <c r="SR165" s="32"/>
      <c r="SS165" s="32"/>
      <c r="ST165" s="32"/>
      <c r="SU165" s="32"/>
      <c r="SV165" s="32"/>
      <c r="SW165" s="32"/>
      <c r="SX165" s="32"/>
      <c r="SY165" s="32"/>
      <c r="SZ165" s="32"/>
      <c r="TA165" s="32"/>
      <c r="TB165" s="32"/>
      <c r="TC165" s="32"/>
      <c r="TD165" s="32"/>
      <c r="TE165" s="32"/>
    </row>
    <row r="166" spans="1:525" s="34" customFormat="1" ht="32.25" customHeight="1" x14ac:dyDescent="0.25">
      <c r="A166" s="86" t="s">
        <v>176</v>
      </c>
      <c r="B166" s="95"/>
      <c r="C166" s="95"/>
      <c r="D166" s="70" t="s">
        <v>389</v>
      </c>
      <c r="E166" s="134">
        <f>E172+E173+E174+E175+E176+E178+E179+E180+E182+E184+E186+E187+E189+E191+E192+E193+E194+E195+E196+E198+E200+E202+E203+E205+E209+E185+E206+E208+E207</f>
        <v>285394196.86000001</v>
      </c>
      <c r="F166" s="134">
        <f t="shared" ref="F166:P166" si="63">F172+F173+F174+F175+F176+F178+F179+F180+F182+F184+F186+F187+F189+F191+F192+F193+F194+F195+F196+F198+F200+F202+F203+F205+F209+F185+F206+F208+F207</f>
        <v>285394196.86000001</v>
      </c>
      <c r="G166" s="134">
        <f t="shared" si="63"/>
        <v>59588900</v>
      </c>
      <c r="H166" s="134">
        <f t="shared" si="63"/>
        <v>2416100</v>
      </c>
      <c r="I166" s="134">
        <f t="shared" si="63"/>
        <v>0</v>
      </c>
      <c r="J166" s="134">
        <f t="shared" si="63"/>
        <v>668200</v>
      </c>
      <c r="K166" s="134">
        <f t="shared" si="63"/>
        <v>572000</v>
      </c>
      <c r="L166" s="134">
        <f t="shared" si="63"/>
        <v>96200</v>
      </c>
      <c r="M166" s="134">
        <f t="shared" si="63"/>
        <v>78600</v>
      </c>
      <c r="N166" s="134">
        <f t="shared" si="63"/>
        <v>0</v>
      </c>
      <c r="O166" s="134">
        <f t="shared" si="63"/>
        <v>572000</v>
      </c>
      <c r="P166" s="134">
        <f t="shared" si="63"/>
        <v>286062396.86000001</v>
      </c>
      <c r="Q166" s="178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</row>
    <row r="167" spans="1:525" s="34" customFormat="1" ht="275.25" hidden="1" customHeight="1" x14ac:dyDescent="0.25">
      <c r="A167" s="86"/>
      <c r="B167" s="95"/>
      <c r="C167" s="95"/>
      <c r="D167" s="70" t="str">
        <f>'дод 7'!C100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7" s="134">
        <f>E197</f>
        <v>0</v>
      </c>
      <c r="F167" s="134">
        <f t="shared" ref="F167:P167" si="64">F197</f>
        <v>0</v>
      </c>
      <c r="G167" s="134">
        <f t="shared" si="64"/>
        <v>0</v>
      </c>
      <c r="H167" s="134">
        <f t="shared" si="64"/>
        <v>0</v>
      </c>
      <c r="I167" s="134">
        <f t="shared" si="64"/>
        <v>0</v>
      </c>
      <c r="J167" s="134">
        <f t="shared" si="64"/>
        <v>0</v>
      </c>
      <c r="K167" s="134">
        <f t="shared" si="64"/>
        <v>0</v>
      </c>
      <c r="L167" s="134">
        <f t="shared" si="64"/>
        <v>0</v>
      </c>
      <c r="M167" s="134">
        <f t="shared" si="64"/>
        <v>0</v>
      </c>
      <c r="N167" s="134">
        <f t="shared" si="64"/>
        <v>0</v>
      </c>
      <c r="O167" s="134">
        <f t="shared" si="64"/>
        <v>0</v>
      </c>
      <c r="P167" s="134">
        <f t="shared" si="64"/>
        <v>0</v>
      </c>
      <c r="Q167" s="178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</row>
    <row r="168" spans="1:525" s="34" customFormat="1" ht="255" hidden="1" customHeight="1" x14ac:dyDescent="0.25">
      <c r="A168" s="86"/>
      <c r="B168" s="95"/>
      <c r="C168" s="95"/>
      <c r="D168" s="70" t="str">
        <f>'дод 7'!C101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8" s="134">
        <f>E201</f>
        <v>0</v>
      </c>
      <c r="F168" s="134">
        <f t="shared" ref="F168:P168" si="65">F201</f>
        <v>0</v>
      </c>
      <c r="G168" s="134">
        <f t="shared" si="65"/>
        <v>0</v>
      </c>
      <c r="H168" s="134">
        <f t="shared" si="65"/>
        <v>0</v>
      </c>
      <c r="I168" s="134">
        <f t="shared" si="65"/>
        <v>0</v>
      </c>
      <c r="J168" s="134">
        <f t="shared" si="65"/>
        <v>0</v>
      </c>
      <c r="K168" s="134">
        <f t="shared" si="65"/>
        <v>0</v>
      </c>
      <c r="L168" s="134">
        <f t="shared" si="65"/>
        <v>0</v>
      </c>
      <c r="M168" s="134">
        <f t="shared" si="65"/>
        <v>0</v>
      </c>
      <c r="N168" s="134">
        <f t="shared" si="65"/>
        <v>0</v>
      </c>
      <c r="O168" s="134">
        <f t="shared" si="65"/>
        <v>0</v>
      </c>
      <c r="P168" s="134">
        <f t="shared" si="65"/>
        <v>0</v>
      </c>
      <c r="Q168" s="178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</row>
    <row r="169" spans="1:525" s="34" customFormat="1" ht="15.75" x14ac:dyDescent="0.25">
      <c r="A169" s="86"/>
      <c r="B169" s="95"/>
      <c r="C169" s="95"/>
      <c r="D169" s="70" t="s">
        <v>390</v>
      </c>
      <c r="E169" s="134">
        <f>E177+E181+E183+E188+E190+E204</f>
        <v>5433914.8600000003</v>
      </c>
      <c r="F169" s="134">
        <f t="shared" ref="F169:P169" si="66">F177+F181+F183+F188+F190+F204</f>
        <v>5433914.8600000003</v>
      </c>
      <c r="G169" s="134">
        <f t="shared" si="66"/>
        <v>0</v>
      </c>
      <c r="H169" s="134">
        <f t="shared" si="66"/>
        <v>0</v>
      </c>
      <c r="I169" s="134">
        <f t="shared" si="66"/>
        <v>0</v>
      </c>
      <c r="J169" s="134">
        <f t="shared" si="66"/>
        <v>0</v>
      </c>
      <c r="K169" s="134">
        <f t="shared" si="66"/>
        <v>0</v>
      </c>
      <c r="L169" s="134">
        <f t="shared" si="66"/>
        <v>0</v>
      </c>
      <c r="M169" s="134">
        <f t="shared" si="66"/>
        <v>0</v>
      </c>
      <c r="N169" s="134">
        <f t="shared" si="66"/>
        <v>0</v>
      </c>
      <c r="O169" s="134">
        <f t="shared" si="66"/>
        <v>0</v>
      </c>
      <c r="P169" s="134">
        <f t="shared" si="66"/>
        <v>5433914.8600000003</v>
      </c>
      <c r="Q169" s="178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</row>
    <row r="170" spans="1:525" s="34" customFormat="1" ht="309.75" hidden="1" customHeight="1" x14ac:dyDescent="0.25">
      <c r="A170" s="86"/>
      <c r="B170" s="95"/>
      <c r="C170" s="95"/>
      <c r="D170" s="70" t="s">
        <v>549</v>
      </c>
      <c r="E170" s="134">
        <f>E197</f>
        <v>0</v>
      </c>
      <c r="F170" s="134">
        <f t="shared" ref="F170:P170" si="67">F197</f>
        <v>0</v>
      </c>
      <c r="G170" s="134">
        <f t="shared" si="67"/>
        <v>0</v>
      </c>
      <c r="H170" s="134">
        <f t="shared" si="67"/>
        <v>0</v>
      </c>
      <c r="I170" s="134">
        <f t="shared" si="67"/>
        <v>0</v>
      </c>
      <c r="J170" s="134">
        <f t="shared" si="67"/>
        <v>0</v>
      </c>
      <c r="K170" s="134">
        <f t="shared" si="67"/>
        <v>0</v>
      </c>
      <c r="L170" s="134">
        <f t="shared" si="67"/>
        <v>0</v>
      </c>
      <c r="M170" s="134">
        <f t="shared" si="67"/>
        <v>0</v>
      </c>
      <c r="N170" s="134">
        <f t="shared" si="67"/>
        <v>0</v>
      </c>
      <c r="O170" s="134">
        <f t="shared" si="67"/>
        <v>0</v>
      </c>
      <c r="P170" s="134">
        <f t="shared" si="67"/>
        <v>0</v>
      </c>
      <c r="Q170" s="178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</row>
    <row r="171" spans="1:525" s="34" customFormat="1" ht="369.75" hidden="1" customHeight="1" x14ac:dyDescent="0.25">
      <c r="A171" s="86"/>
      <c r="B171" s="95"/>
      <c r="C171" s="95"/>
      <c r="D171" s="70" t="s">
        <v>566</v>
      </c>
      <c r="E171" s="134">
        <f>E199</f>
        <v>0</v>
      </c>
      <c r="F171" s="134">
        <f t="shared" ref="F171:P171" si="68">F199</f>
        <v>0</v>
      </c>
      <c r="G171" s="134">
        <f t="shared" si="68"/>
        <v>0</v>
      </c>
      <c r="H171" s="134">
        <f t="shared" si="68"/>
        <v>0</v>
      </c>
      <c r="I171" s="134">
        <f t="shared" si="68"/>
        <v>0</v>
      </c>
      <c r="J171" s="134">
        <f t="shared" si="68"/>
        <v>0</v>
      </c>
      <c r="K171" s="134">
        <f t="shared" si="68"/>
        <v>0</v>
      </c>
      <c r="L171" s="134">
        <f t="shared" si="68"/>
        <v>0</v>
      </c>
      <c r="M171" s="134">
        <f t="shared" si="68"/>
        <v>0</v>
      </c>
      <c r="N171" s="134">
        <f t="shared" si="68"/>
        <v>0</v>
      </c>
      <c r="O171" s="134">
        <f t="shared" si="68"/>
        <v>0</v>
      </c>
      <c r="P171" s="134">
        <f t="shared" si="68"/>
        <v>0</v>
      </c>
      <c r="Q171" s="178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</row>
    <row r="172" spans="1:525" s="22" customFormat="1" ht="50.25" customHeight="1" x14ac:dyDescent="0.25">
      <c r="A172" s="56" t="s">
        <v>177</v>
      </c>
      <c r="B172" s="84" t="str">
        <f>'дод 7'!A14</f>
        <v>0160</v>
      </c>
      <c r="C172" s="84" t="str">
        <f>'дод 7'!B14</f>
        <v>0111</v>
      </c>
      <c r="D172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172" s="135">
        <f t="shared" ref="E172:E209" si="69">F172+I172</f>
        <v>53685900</v>
      </c>
      <c r="F172" s="135">
        <f>58159000-4473100</f>
        <v>53685900</v>
      </c>
      <c r="G172" s="135">
        <f>44913600-3666500</f>
        <v>41247100</v>
      </c>
      <c r="H172" s="135">
        <v>1347600</v>
      </c>
      <c r="I172" s="135"/>
      <c r="J172" s="135">
        <f>L172+O172</f>
        <v>0</v>
      </c>
      <c r="K172" s="135">
        <f>68000-68000</f>
        <v>0</v>
      </c>
      <c r="L172" s="135"/>
      <c r="M172" s="135"/>
      <c r="N172" s="135"/>
      <c r="O172" s="135">
        <f>68000-68000</f>
        <v>0</v>
      </c>
      <c r="P172" s="135">
        <f t="shared" ref="P172:P209" si="70">E172+J172</f>
        <v>53685900</v>
      </c>
      <c r="Q172" s="178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</row>
    <row r="173" spans="1:525" s="22" customFormat="1" ht="23.25" customHeight="1" x14ac:dyDescent="0.25">
      <c r="A173" s="56" t="s">
        <v>512</v>
      </c>
      <c r="B173" s="56" t="s">
        <v>44</v>
      </c>
      <c r="C173" s="56" t="s">
        <v>92</v>
      </c>
      <c r="D173" s="36" t="str">
        <f>'дод 7'!C16</f>
        <v>Інша діяльність у сфері державного управління</v>
      </c>
      <c r="E173" s="135">
        <f t="shared" si="69"/>
        <v>41949</v>
      </c>
      <c r="F173" s="135">
        <v>41949</v>
      </c>
      <c r="G173" s="135"/>
      <c r="H173" s="135"/>
      <c r="I173" s="135"/>
      <c r="J173" s="135">
        <f>L173+O173</f>
        <v>0</v>
      </c>
      <c r="K173" s="135"/>
      <c r="L173" s="135"/>
      <c r="M173" s="135"/>
      <c r="N173" s="135"/>
      <c r="O173" s="135"/>
      <c r="P173" s="135">
        <f t="shared" si="70"/>
        <v>41949</v>
      </c>
      <c r="Q173" s="178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</row>
    <row r="174" spans="1:525" s="23" customFormat="1" ht="36" customHeight="1" x14ac:dyDescent="0.25">
      <c r="A174" s="56" t="s">
        <v>178</v>
      </c>
      <c r="B174" s="84" t="str">
        <f>'дод 7'!A105</f>
        <v>3031</v>
      </c>
      <c r="C174" s="84" t="str">
        <f>'дод 7'!B105</f>
        <v>1030</v>
      </c>
      <c r="D174" s="57" t="str">
        <f>'дод 7'!C105</f>
        <v>Надання інших пільг окремим категоріям громадян відповідно до законодавства</v>
      </c>
      <c r="E174" s="135">
        <f t="shared" si="69"/>
        <v>675400</v>
      </c>
      <c r="F174" s="135">
        <v>675400</v>
      </c>
      <c r="G174" s="135"/>
      <c r="H174" s="135"/>
      <c r="I174" s="135"/>
      <c r="J174" s="135">
        <f t="shared" ref="J174:J201" si="71">L174+O174</f>
        <v>0</v>
      </c>
      <c r="K174" s="135"/>
      <c r="L174" s="135"/>
      <c r="M174" s="135"/>
      <c r="N174" s="135"/>
      <c r="O174" s="135"/>
      <c r="P174" s="135">
        <f t="shared" si="70"/>
        <v>675400</v>
      </c>
      <c r="Q174" s="178"/>
    </row>
    <row r="175" spans="1:525" s="23" customFormat="1" ht="33" customHeight="1" x14ac:dyDescent="0.25">
      <c r="A175" s="56" t="s">
        <v>179</v>
      </c>
      <c r="B175" s="84" t="str">
        <f>'дод 7'!A106</f>
        <v>3032</v>
      </c>
      <c r="C175" s="84" t="str">
        <f>'дод 7'!B106</f>
        <v>1070</v>
      </c>
      <c r="D175" s="57" t="str">
        <f>'дод 7'!C106</f>
        <v>Надання пільг окремим категоріям громадян з оплати послуг зв'язку</v>
      </c>
      <c r="E175" s="135">
        <f t="shared" si="69"/>
        <v>1023300</v>
      </c>
      <c r="F175" s="135">
        <v>1023300</v>
      </c>
      <c r="G175" s="135"/>
      <c r="H175" s="135"/>
      <c r="I175" s="135"/>
      <c r="J175" s="135">
        <f t="shared" si="71"/>
        <v>0</v>
      </c>
      <c r="K175" s="135"/>
      <c r="L175" s="135"/>
      <c r="M175" s="135"/>
      <c r="N175" s="135"/>
      <c r="O175" s="135"/>
      <c r="P175" s="135">
        <f t="shared" si="70"/>
        <v>1023300</v>
      </c>
      <c r="Q175" s="178"/>
    </row>
    <row r="176" spans="1:525" s="23" customFormat="1" ht="48.75" customHeight="1" x14ac:dyDescent="0.25">
      <c r="A176" s="56" t="s">
        <v>347</v>
      </c>
      <c r="B176" s="84" t="str">
        <f>'дод 7'!A107</f>
        <v>3033</v>
      </c>
      <c r="C176" s="84" t="str">
        <f>'дод 7'!B107</f>
        <v>1070</v>
      </c>
      <c r="D176" s="57" t="str">
        <f>'дод 7'!C107</f>
        <v>Компенсаційні виплати на пільговий проїзд автомобільним транспортом окремим категоріям громадян</v>
      </c>
      <c r="E176" s="135">
        <f t="shared" si="69"/>
        <v>32713069.859999999</v>
      </c>
      <c r="F176" s="135">
        <f>33694000-3922300+2415721-1000000+1525648.86</f>
        <v>32713069.859999999</v>
      </c>
      <c r="G176" s="135"/>
      <c r="H176" s="135"/>
      <c r="I176" s="135"/>
      <c r="J176" s="135">
        <f t="shared" si="71"/>
        <v>0</v>
      </c>
      <c r="K176" s="135"/>
      <c r="L176" s="135"/>
      <c r="M176" s="135"/>
      <c r="N176" s="135"/>
      <c r="O176" s="135"/>
      <c r="P176" s="135">
        <f t="shared" si="70"/>
        <v>32713069.859999999</v>
      </c>
      <c r="Q176" s="178"/>
    </row>
    <row r="177" spans="1:525" s="30" customFormat="1" ht="20.25" customHeight="1" x14ac:dyDescent="0.25">
      <c r="A177" s="76"/>
      <c r="B177" s="97"/>
      <c r="C177" s="97"/>
      <c r="D177" s="77" t="s">
        <v>388</v>
      </c>
      <c r="E177" s="136">
        <f t="shared" si="69"/>
        <v>3941369.8600000003</v>
      </c>
      <c r="F177" s="136">
        <f>2415721+1525648.86</f>
        <v>3941369.8600000003</v>
      </c>
      <c r="G177" s="136"/>
      <c r="H177" s="136"/>
      <c r="I177" s="136"/>
      <c r="J177" s="136">
        <f t="shared" si="71"/>
        <v>0</v>
      </c>
      <c r="K177" s="136"/>
      <c r="L177" s="136"/>
      <c r="M177" s="136"/>
      <c r="N177" s="136"/>
      <c r="O177" s="136"/>
      <c r="P177" s="136">
        <f t="shared" si="70"/>
        <v>3941369.8600000003</v>
      </c>
      <c r="Q177" s="178"/>
    </row>
    <row r="178" spans="1:525" s="23" customFormat="1" ht="47.25" x14ac:dyDescent="0.25">
      <c r="A178" s="56" t="s">
        <v>319</v>
      </c>
      <c r="B178" s="84" t="str">
        <f>'дод 7'!A109</f>
        <v>3035</v>
      </c>
      <c r="C178" s="84" t="str">
        <f>'дод 7'!B109</f>
        <v>1070</v>
      </c>
      <c r="D178" s="57" t="str">
        <f>'дод 7'!C109</f>
        <v>Компенсаційні виплати за пільговий проїзд окремих категорій громадян на залізничному транспорті</v>
      </c>
      <c r="E178" s="135">
        <f t="shared" si="69"/>
        <v>2000000</v>
      </c>
      <c r="F178" s="135">
        <v>2000000</v>
      </c>
      <c r="G178" s="135"/>
      <c r="H178" s="135"/>
      <c r="I178" s="135"/>
      <c r="J178" s="135">
        <f t="shared" si="71"/>
        <v>0</v>
      </c>
      <c r="K178" s="135"/>
      <c r="L178" s="135"/>
      <c r="M178" s="135"/>
      <c r="N178" s="135"/>
      <c r="O178" s="135"/>
      <c r="P178" s="135">
        <f t="shared" si="70"/>
        <v>2000000</v>
      </c>
      <c r="Q178" s="178"/>
    </row>
    <row r="179" spans="1:525" s="23" customFormat="1" ht="36" customHeight="1" x14ac:dyDescent="0.25">
      <c r="A179" s="56" t="s">
        <v>180</v>
      </c>
      <c r="B179" s="84" t="str">
        <f>'дод 7'!A110</f>
        <v>3036</v>
      </c>
      <c r="C179" s="84" t="str">
        <f>'дод 7'!B110</f>
        <v>1070</v>
      </c>
      <c r="D179" s="57" t="str">
        <f>'дод 7'!C110</f>
        <v>Компенсаційні виплати на пільговий проїзд електротранспортом окремим категоріям громадян</v>
      </c>
      <c r="E179" s="135">
        <f t="shared" si="69"/>
        <v>54992100</v>
      </c>
      <c r="F179" s="135">
        <f>55069800+3922300-4000000</f>
        <v>54992100</v>
      </c>
      <c r="G179" s="135"/>
      <c r="H179" s="135"/>
      <c r="I179" s="135"/>
      <c r="J179" s="135">
        <f t="shared" si="71"/>
        <v>0</v>
      </c>
      <c r="K179" s="135"/>
      <c r="L179" s="135"/>
      <c r="M179" s="135"/>
      <c r="N179" s="135"/>
      <c r="O179" s="135"/>
      <c r="P179" s="135">
        <f t="shared" si="70"/>
        <v>54992100</v>
      </c>
      <c r="Q179" s="178"/>
    </row>
    <row r="180" spans="1:525" s="22" customFormat="1" ht="47.25" x14ac:dyDescent="0.25">
      <c r="A180" s="56" t="s">
        <v>345</v>
      </c>
      <c r="B180" s="84" t="str">
        <f>'дод 7'!A111</f>
        <v>3050</v>
      </c>
      <c r="C180" s="84" t="str">
        <f>'дод 7'!B111</f>
        <v>1070</v>
      </c>
      <c r="D180" s="57" t="str">
        <f>'дод 7'!C111</f>
        <v>Пільгове медичне обслуговування осіб, які постраждали внаслідок Чорнобильської катастрофи, у т.ч. за рахунок:</v>
      </c>
      <c r="E180" s="135">
        <f t="shared" si="69"/>
        <v>713800</v>
      </c>
      <c r="F180" s="135">
        <v>713800</v>
      </c>
      <c r="G180" s="135"/>
      <c r="H180" s="135"/>
      <c r="I180" s="135"/>
      <c r="J180" s="135">
        <f t="shared" si="71"/>
        <v>0</v>
      </c>
      <c r="K180" s="135"/>
      <c r="L180" s="135"/>
      <c r="M180" s="135"/>
      <c r="N180" s="135"/>
      <c r="O180" s="135"/>
      <c r="P180" s="135">
        <f t="shared" si="70"/>
        <v>713800</v>
      </c>
      <c r="Q180" s="178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</row>
    <row r="181" spans="1:525" s="24" customFormat="1" ht="15.75" x14ac:dyDescent="0.25">
      <c r="A181" s="76"/>
      <c r="B181" s="97"/>
      <c r="C181" s="97"/>
      <c r="D181" s="77" t="s">
        <v>388</v>
      </c>
      <c r="E181" s="136">
        <f t="shared" si="69"/>
        <v>713800</v>
      </c>
      <c r="F181" s="136">
        <v>713800</v>
      </c>
      <c r="G181" s="136"/>
      <c r="H181" s="136"/>
      <c r="I181" s="136"/>
      <c r="J181" s="136">
        <f t="shared" si="71"/>
        <v>0</v>
      </c>
      <c r="K181" s="136"/>
      <c r="L181" s="136"/>
      <c r="M181" s="136"/>
      <c r="N181" s="136"/>
      <c r="O181" s="136"/>
      <c r="P181" s="136">
        <f t="shared" si="70"/>
        <v>713800</v>
      </c>
      <c r="Q181" s="178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</row>
    <row r="182" spans="1:525" s="22" customFormat="1" ht="47.25" x14ac:dyDescent="0.25">
      <c r="A182" s="56" t="s">
        <v>346</v>
      </c>
      <c r="B182" s="84" t="str">
        <f>'дод 7'!A113</f>
        <v>3090</v>
      </c>
      <c r="C182" s="84" t="str">
        <f>'дод 7'!B113</f>
        <v>1030</v>
      </c>
      <c r="D182" s="57" t="str">
        <f>'дод 7'!C113</f>
        <v>Видатки на поховання учасників бойових дій та осіб з інвалідністю внаслідок війни, у т.ч. за рахунок:</v>
      </c>
      <c r="E182" s="135">
        <f t="shared" si="69"/>
        <v>260200</v>
      </c>
      <c r="F182" s="135">
        <v>260200</v>
      </c>
      <c r="G182" s="135"/>
      <c r="H182" s="135"/>
      <c r="I182" s="135"/>
      <c r="J182" s="135">
        <f t="shared" si="71"/>
        <v>0</v>
      </c>
      <c r="K182" s="135"/>
      <c r="L182" s="135"/>
      <c r="M182" s="135"/>
      <c r="N182" s="135"/>
      <c r="O182" s="135"/>
      <c r="P182" s="135">
        <f t="shared" si="70"/>
        <v>260200</v>
      </c>
      <c r="Q182" s="178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</row>
    <row r="183" spans="1:525" s="24" customFormat="1" ht="15.75" x14ac:dyDescent="0.25">
      <c r="A183" s="76"/>
      <c r="B183" s="97"/>
      <c r="C183" s="97"/>
      <c r="D183" s="77" t="s">
        <v>388</v>
      </c>
      <c r="E183" s="136">
        <f t="shared" si="69"/>
        <v>260200</v>
      </c>
      <c r="F183" s="136">
        <v>260200</v>
      </c>
      <c r="G183" s="136"/>
      <c r="H183" s="136"/>
      <c r="I183" s="136"/>
      <c r="J183" s="136">
        <f t="shared" si="71"/>
        <v>0</v>
      </c>
      <c r="K183" s="136"/>
      <c r="L183" s="136"/>
      <c r="M183" s="136"/>
      <c r="N183" s="136"/>
      <c r="O183" s="136"/>
      <c r="P183" s="136">
        <f t="shared" si="70"/>
        <v>260200</v>
      </c>
      <c r="Q183" s="178">
        <v>18</v>
      </c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  <c r="SQ183" s="30"/>
      <c r="SR183" s="30"/>
      <c r="SS183" s="30"/>
      <c r="ST183" s="30"/>
      <c r="SU183" s="30"/>
      <c r="SV183" s="30"/>
      <c r="SW183" s="30"/>
      <c r="SX183" s="30"/>
      <c r="SY183" s="30"/>
      <c r="SZ183" s="30"/>
      <c r="TA183" s="30"/>
      <c r="TB183" s="30"/>
      <c r="TC183" s="30"/>
      <c r="TD183" s="30"/>
      <c r="TE183" s="30"/>
    </row>
    <row r="184" spans="1:525" s="22" customFormat="1" ht="64.5" customHeight="1" x14ac:dyDescent="0.25">
      <c r="A184" s="56" t="s">
        <v>181</v>
      </c>
      <c r="B184" s="84" t="str">
        <f>'дод 7'!A115</f>
        <v>3104</v>
      </c>
      <c r="C184" s="84" t="str">
        <f>'дод 7'!B115</f>
        <v>1020</v>
      </c>
      <c r="D184" s="57" t="str">
        <f>'дод 7'!C115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4" s="135">
        <f t="shared" si="69"/>
        <v>20984700</v>
      </c>
      <c r="F184" s="135">
        <f>21044700-60000</f>
        <v>20984700</v>
      </c>
      <c r="G184" s="135">
        <v>15797400</v>
      </c>
      <c r="H184" s="135">
        <v>658300</v>
      </c>
      <c r="I184" s="135"/>
      <c r="J184" s="135">
        <f t="shared" si="71"/>
        <v>596200</v>
      </c>
      <c r="K184" s="135">
        <f>240000+500000-240000</f>
        <v>500000</v>
      </c>
      <c r="L184" s="135">
        <v>96200</v>
      </c>
      <c r="M184" s="135">
        <v>78600</v>
      </c>
      <c r="N184" s="135"/>
      <c r="O184" s="135">
        <f>240000+500000-240000</f>
        <v>500000</v>
      </c>
      <c r="P184" s="135">
        <f t="shared" si="70"/>
        <v>21580900</v>
      </c>
      <c r="Q184" s="178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</row>
    <row r="185" spans="1:525" s="22" customFormat="1" ht="64.5" customHeight="1" x14ac:dyDescent="0.25">
      <c r="A185" s="56" t="s">
        <v>579</v>
      </c>
      <c r="B185" s="84">
        <v>3140</v>
      </c>
      <c r="C185" s="37" t="s">
        <v>99</v>
      </c>
      <c r="D185" s="6" t="str">
        <f>'дод 7'!C121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85" s="135">
        <f t="shared" si="69"/>
        <v>6667500</v>
      </c>
      <c r="F185" s="135">
        <v>6667500</v>
      </c>
      <c r="G185" s="135"/>
      <c r="H185" s="135"/>
      <c r="I185" s="135"/>
      <c r="J185" s="135">
        <f t="shared" si="71"/>
        <v>0</v>
      </c>
      <c r="K185" s="135"/>
      <c r="L185" s="135"/>
      <c r="M185" s="135"/>
      <c r="N185" s="135"/>
      <c r="O185" s="135"/>
      <c r="P185" s="135">
        <f t="shared" si="70"/>
        <v>6667500</v>
      </c>
      <c r="Q185" s="178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</row>
    <row r="186" spans="1:525" s="22" customFormat="1" ht="81.75" customHeight="1" x14ac:dyDescent="0.25">
      <c r="A186" s="56" t="s">
        <v>182</v>
      </c>
      <c r="B186" s="84" t="str">
        <f>'дод 7'!A122</f>
        <v>3160</v>
      </c>
      <c r="C186" s="84">
        <f>'дод 7'!B122</f>
        <v>1010</v>
      </c>
      <c r="D186" s="57" t="str">
        <f>'дод 7'!C122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6" s="135">
        <f t="shared" si="69"/>
        <v>5461975</v>
      </c>
      <c r="F186" s="135">
        <v>5461975</v>
      </c>
      <c r="G186" s="135"/>
      <c r="H186" s="135"/>
      <c r="I186" s="135"/>
      <c r="J186" s="135">
        <f t="shared" si="71"/>
        <v>0</v>
      </c>
      <c r="K186" s="135"/>
      <c r="L186" s="135"/>
      <c r="M186" s="135"/>
      <c r="N186" s="135"/>
      <c r="O186" s="135"/>
      <c r="P186" s="135">
        <f t="shared" si="70"/>
        <v>5461975</v>
      </c>
      <c r="Q186" s="178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</row>
    <row r="187" spans="1:525" s="22" customFormat="1" ht="63" customHeight="1" x14ac:dyDescent="0.25">
      <c r="A187" s="56" t="s">
        <v>348</v>
      </c>
      <c r="B187" s="84" t="str">
        <f>'дод 7'!A123</f>
        <v>3171</v>
      </c>
      <c r="C187" s="84">
        <f>'дод 7'!B123</f>
        <v>1010</v>
      </c>
      <c r="D187" s="57" t="str">
        <f>'дод 7'!C123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7" s="135">
        <f t="shared" si="69"/>
        <v>213745</v>
      </c>
      <c r="F187" s="135">
        <v>213745</v>
      </c>
      <c r="G187" s="135"/>
      <c r="H187" s="135"/>
      <c r="I187" s="135"/>
      <c r="J187" s="135">
        <f t="shared" si="71"/>
        <v>0</v>
      </c>
      <c r="K187" s="135"/>
      <c r="L187" s="135"/>
      <c r="M187" s="135"/>
      <c r="N187" s="135"/>
      <c r="O187" s="135"/>
      <c r="P187" s="135">
        <f t="shared" si="70"/>
        <v>213745</v>
      </c>
      <c r="Q187" s="178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</row>
    <row r="188" spans="1:525" s="24" customFormat="1" ht="18" customHeight="1" x14ac:dyDescent="0.25">
      <c r="A188" s="76"/>
      <c r="B188" s="97"/>
      <c r="C188" s="97"/>
      <c r="D188" s="77" t="s">
        <v>388</v>
      </c>
      <c r="E188" s="136">
        <f t="shared" si="69"/>
        <v>213745</v>
      </c>
      <c r="F188" s="136">
        <v>213745</v>
      </c>
      <c r="G188" s="136"/>
      <c r="H188" s="136"/>
      <c r="I188" s="136"/>
      <c r="J188" s="136">
        <f t="shared" si="71"/>
        <v>0</v>
      </c>
      <c r="K188" s="136"/>
      <c r="L188" s="136"/>
      <c r="M188" s="136"/>
      <c r="N188" s="136"/>
      <c r="O188" s="136"/>
      <c r="P188" s="136">
        <f t="shared" si="70"/>
        <v>213745</v>
      </c>
      <c r="Q188" s="178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</row>
    <row r="189" spans="1:525" s="22" customFormat="1" ht="31.5" hidden="1" customHeight="1" x14ac:dyDescent="0.25">
      <c r="A189" s="56" t="s">
        <v>349</v>
      </c>
      <c r="B189" s="84" t="str">
        <f>'дод 7'!A125</f>
        <v>3172</v>
      </c>
      <c r="C189" s="84">
        <f>'дод 7'!B125</f>
        <v>1010</v>
      </c>
      <c r="D189" s="57" t="str">
        <f>'дод 7'!C125</f>
        <v>Встановлення телефонів особам з інвалідністю I і II груп, у т.ч. за рахунок:</v>
      </c>
      <c r="E189" s="135">
        <f t="shared" si="69"/>
        <v>0</v>
      </c>
      <c r="F189" s="135"/>
      <c r="G189" s="135"/>
      <c r="H189" s="135"/>
      <c r="I189" s="135"/>
      <c r="J189" s="135">
        <f t="shared" si="71"/>
        <v>0</v>
      </c>
      <c r="K189" s="135"/>
      <c r="L189" s="135"/>
      <c r="M189" s="135"/>
      <c r="N189" s="135"/>
      <c r="O189" s="135"/>
      <c r="P189" s="135">
        <f t="shared" si="70"/>
        <v>0</v>
      </c>
      <c r="Q189" s="178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</row>
    <row r="190" spans="1:525" s="24" customFormat="1" ht="15.75" hidden="1" customHeight="1" x14ac:dyDescent="0.25">
      <c r="A190" s="76"/>
      <c r="B190" s="97"/>
      <c r="C190" s="97"/>
      <c r="D190" s="77" t="s">
        <v>388</v>
      </c>
      <c r="E190" s="136">
        <f t="shared" si="69"/>
        <v>0</v>
      </c>
      <c r="F190" s="136"/>
      <c r="G190" s="136"/>
      <c r="H190" s="136"/>
      <c r="I190" s="136"/>
      <c r="J190" s="136">
        <f t="shared" si="71"/>
        <v>0</v>
      </c>
      <c r="K190" s="136"/>
      <c r="L190" s="136"/>
      <c r="M190" s="136"/>
      <c r="N190" s="136"/>
      <c r="O190" s="136"/>
      <c r="P190" s="136">
        <f t="shared" si="70"/>
        <v>0</v>
      </c>
      <c r="Q190" s="178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/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30"/>
      <c r="MW190" s="30"/>
      <c r="MX190" s="30"/>
      <c r="MY190" s="30"/>
      <c r="MZ190" s="30"/>
      <c r="NA190" s="30"/>
      <c r="NB190" s="30"/>
      <c r="NC190" s="30"/>
      <c r="ND190" s="30"/>
      <c r="NE190" s="30"/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30"/>
      <c r="NY190" s="30"/>
      <c r="NZ190" s="30"/>
      <c r="OA190" s="30"/>
      <c r="OB190" s="30"/>
      <c r="OC190" s="30"/>
      <c r="OD190" s="30"/>
      <c r="OE190" s="30"/>
      <c r="OF190" s="30"/>
      <c r="OG190" s="30"/>
      <c r="OH190" s="30"/>
      <c r="OI190" s="30"/>
      <c r="OJ190" s="30"/>
      <c r="OK190" s="30"/>
      <c r="OL190" s="30"/>
      <c r="OM190" s="30"/>
      <c r="ON190" s="30"/>
      <c r="OO190" s="30"/>
      <c r="OP190" s="30"/>
      <c r="OQ190" s="30"/>
      <c r="OR190" s="30"/>
      <c r="OS190" s="30"/>
      <c r="OT190" s="30"/>
      <c r="OU190" s="30"/>
      <c r="OV190" s="30"/>
      <c r="OW190" s="30"/>
      <c r="OX190" s="30"/>
      <c r="OY190" s="30"/>
      <c r="OZ190" s="30"/>
      <c r="PA190" s="30"/>
      <c r="PB190" s="30"/>
      <c r="PC190" s="30"/>
      <c r="PD190" s="30"/>
      <c r="PE190" s="30"/>
      <c r="PF190" s="30"/>
      <c r="PG190" s="30"/>
      <c r="PH190" s="30"/>
      <c r="PI190" s="30"/>
      <c r="PJ190" s="30"/>
      <c r="PK190" s="30"/>
      <c r="PL190" s="30"/>
      <c r="PM190" s="30"/>
      <c r="PN190" s="30"/>
      <c r="PO190" s="30"/>
      <c r="PP190" s="30"/>
      <c r="PQ190" s="30"/>
      <c r="PR190" s="30"/>
      <c r="PS190" s="30"/>
      <c r="PT190" s="30"/>
      <c r="PU190" s="30"/>
      <c r="PV190" s="30"/>
      <c r="PW190" s="30"/>
      <c r="PX190" s="30"/>
      <c r="PY190" s="30"/>
      <c r="PZ190" s="30"/>
      <c r="QA190" s="30"/>
      <c r="QB190" s="30"/>
      <c r="QC190" s="30"/>
      <c r="QD190" s="30"/>
      <c r="QE190" s="30"/>
      <c r="QF190" s="30"/>
      <c r="QG190" s="30"/>
      <c r="QH190" s="30"/>
      <c r="QI190" s="30"/>
      <c r="QJ190" s="30"/>
      <c r="QK190" s="30"/>
      <c r="QL190" s="30"/>
      <c r="QM190" s="30"/>
      <c r="QN190" s="30"/>
      <c r="QO190" s="30"/>
      <c r="QP190" s="30"/>
      <c r="QQ190" s="30"/>
      <c r="QR190" s="30"/>
      <c r="QS190" s="30"/>
      <c r="QT190" s="30"/>
      <c r="QU190" s="30"/>
      <c r="QV190" s="30"/>
      <c r="QW190" s="30"/>
      <c r="QX190" s="30"/>
      <c r="QY190" s="30"/>
      <c r="QZ190" s="30"/>
      <c r="RA190" s="30"/>
      <c r="RB190" s="30"/>
      <c r="RC190" s="30"/>
      <c r="RD190" s="30"/>
      <c r="RE190" s="30"/>
      <c r="RF190" s="30"/>
      <c r="RG190" s="30"/>
      <c r="RH190" s="30"/>
      <c r="RI190" s="30"/>
      <c r="RJ190" s="30"/>
      <c r="RK190" s="30"/>
      <c r="RL190" s="30"/>
      <c r="RM190" s="30"/>
      <c r="RN190" s="30"/>
      <c r="RO190" s="30"/>
      <c r="RP190" s="30"/>
      <c r="RQ190" s="30"/>
      <c r="RR190" s="30"/>
      <c r="RS190" s="30"/>
      <c r="RT190" s="30"/>
      <c r="RU190" s="30"/>
      <c r="RV190" s="30"/>
      <c r="RW190" s="30"/>
      <c r="RX190" s="30"/>
      <c r="RY190" s="30"/>
      <c r="RZ190" s="30"/>
      <c r="SA190" s="30"/>
      <c r="SB190" s="30"/>
      <c r="SC190" s="30"/>
      <c r="SD190" s="30"/>
      <c r="SE190" s="30"/>
      <c r="SF190" s="30"/>
      <c r="SG190" s="30"/>
      <c r="SH190" s="30"/>
      <c r="SI190" s="30"/>
      <c r="SJ190" s="30"/>
      <c r="SK190" s="30"/>
      <c r="SL190" s="30"/>
      <c r="SM190" s="30"/>
      <c r="SN190" s="30"/>
      <c r="SO190" s="30"/>
      <c r="SP190" s="30"/>
      <c r="SQ190" s="30"/>
      <c r="SR190" s="30"/>
      <c r="SS190" s="30"/>
      <c r="ST190" s="30"/>
      <c r="SU190" s="30"/>
      <c r="SV190" s="30"/>
      <c r="SW190" s="30"/>
      <c r="SX190" s="30"/>
      <c r="SY190" s="30"/>
      <c r="SZ190" s="30"/>
      <c r="TA190" s="30"/>
      <c r="TB190" s="30"/>
      <c r="TC190" s="30"/>
      <c r="TD190" s="30"/>
      <c r="TE190" s="30"/>
    </row>
    <row r="191" spans="1:525" s="22" customFormat="1" ht="78.75" x14ac:dyDescent="0.25">
      <c r="A191" s="56" t="s">
        <v>183</v>
      </c>
      <c r="B191" s="84" t="str">
        <f>'дод 7'!A127</f>
        <v>3180</v>
      </c>
      <c r="C191" s="84" t="str">
        <f>'дод 7'!B127</f>
        <v>1060</v>
      </c>
      <c r="D191" s="57" t="str">
        <f>'дод 7'!C127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91" s="135">
        <f t="shared" si="69"/>
        <v>318346</v>
      </c>
      <c r="F191" s="135">
        <v>318346</v>
      </c>
      <c r="G191" s="135"/>
      <c r="H191" s="135"/>
      <c r="I191" s="135"/>
      <c r="J191" s="135">
        <f t="shared" si="71"/>
        <v>0</v>
      </c>
      <c r="K191" s="135"/>
      <c r="L191" s="135"/>
      <c r="M191" s="135"/>
      <c r="N191" s="135"/>
      <c r="O191" s="135"/>
      <c r="P191" s="135">
        <f t="shared" si="70"/>
        <v>318346</v>
      </c>
      <c r="Q191" s="178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</row>
    <row r="192" spans="1:525" s="22" customFormat="1" ht="31.5" customHeight="1" x14ac:dyDescent="0.25">
      <c r="A192" s="56" t="s">
        <v>303</v>
      </c>
      <c r="B192" s="84" t="str">
        <f>'дод 7'!A128</f>
        <v>3191</v>
      </c>
      <c r="C192" s="84" t="str">
        <f>'дод 7'!B128</f>
        <v>1030</v>
      </c>
      <c r="D192" s="57" t="str">
        <f>'дод 7'!C128</f>
        <v>Інші видатки на соціальний захист ветеранів війни та праці</v>
      </c>
      <c r="E192" s="135">
        <f t="shared" si="69"/>
        <v>2522957</v>
      </c>
      <c r="F192" s="135">
        <v>2522957</v>
      </c>
      <c r="G192" s="135"/>
      <c r="H192" s="135"/>
      <c r="I192" s="135"/>
      <c r="J192" s="135">
        <f t="shared" si="71"/>
        <v>0</v>
      </c>
      <c r="K192" s="135"/>
      <c r="L192" s="135"/>
      <c r="M192" s="135"/>
      <c r="N192" s="135"/>
      <c r="O192" s="135"/>
      <c r="P192" s="135">
        <f t="shared" si="70"/>
        <v>2522957</v>
      </c>
      <c r="Q192" s="178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</row>
    <row r="193" spans="1:525" s="22" customFormat="1" ht="47.25" x14ac:dyDescent="0.25">
      <c r="A193" s="56" t="s">
        <v>304</v>
      </c>
      <c r="B193" s="84" t="str">
        <f>'дод 7'!A129</f>
        <v>3192</v>
      </c>
      <c r="C193" s="84" t="str">
        <f>'дод 7'!B129</f>
        <v>1030</v>
      </c>
      <c r="D193" s="57" t="str">
        <f>'дод 7'!C129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193" s="135">
        <f t="shared" si="69"/>
        <v>2390210</v>
      </c>
      <c r="F193" s="135">
        <v>2390210</v>
      </c>
      <c r="G193" s="135"/>
      <c r="H193" s="135"/>
      <c r="I193" s="135"/>
      <c r="J193" s="135">
        <f t="shared" si="71"/>
        <v>0</v>
      </c>
      <c r="K193" s="135"/>
      <c r="L193" s="135"/>
      <c r="M193" s="135"/>
      <c r="N193" s="135"/>
      <c r="O193" s="135"/>
      <c r="P193" s="135">
        <f t="shared" si="70"/>
        <v>2390210</v>
      </c>
      <c r="Q193" s="178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</row>
    <row r="194" spans="1:525" s="22" customFormat="1" ht="34.5" customHeight="1" x14ac:dyDescent="0.25">
      <c r="A194" s="56" t="s">
        <v>184</v>
      </c>
      <c r="B194" s="84" t="str">
        <f>'дод 7'!A130</f>
        <v>3200</v>
      </c>
      <c r="C194" s="84" t="str">
        <f>'дод 7'!B130</f>
        <v>1090</v>
      </c>
      <c r="D194" s="57" t="str">
        <f>'дод 7'!C130</f>
        <v>Забезпечення обробки інформації з нарахування та виплати допомог і компенсацій</v>
      </c>
      <c r="E194" s="135">
        <f t="shared" si="69"/>
        <v>96800</v>
      </c>
      <c r="F194" s="135">
        <v>96800</v>
      </c>
      <c r="G194" s="135"/>
      <c r="H194" s="135"/>
      <c r="I194" s="135"/>
      <c r="J194" s="135">
        <f t="shared" si="71"/>
        <v>0</v>
      </c>
      <c r="K194" s="135"/>
      <c r="L194" s="135"/>
      <c r="M194" s="135"/>
      <c r="N194" s="135"/>
      <c r="O194" s="135"/>
      <c r="P194" s="135">
        <f t="shared" si="70"/>
        <v>96800</v>
      </c>
      <c r="Q194" s="178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</row>
    <row r="195" spans="1:525" s="22" customFormat="1" ht="19.5" customHeight="1" x14ac:dyDescent="0.25">
      <c r="A195" s="89" t="s">
        <v>305</v>
      </c>
      <c r="B195" s="42" t="str">
        <f>'дод 7'!A131</f>
        <v>3210</v>
      </c>
      <c r="C195" s="42" t="str">
        <f>'дод 7'!B131</f>
        <v>1050</v>
      </c>
      <c r="D195" s="36" t="str">
        <f>'дод 7'!C131</f>
        <v>Організація та проведення громадських робіт</v>
      </c>
      <c r="E195" s="135">
        <f t="shared" si="69"/>
        <v>50000</v>
      </c>
      <c r="F195" s="135">
        <v>50000</v>
      </c>
      <c r="G195" s="135">
        <v>40900</v>
      </c>
      <c r="H195" s="135"/>
      <c r="I195" s="135"/>
      <c r="J195" s="135">
        <f t="shared" si="71"/>
        <v>0</v>
      </c>
      <c r="K195" s="135"/>
      <c r="L195" s="135"/>
      <c r="M195" s="135"/>
      <c r="N195" s="135"/>
      <c r="O195" s="135"/>
      <c r="P195" s="135">
        <f t="shared" si="70"/>
        <v>50000</v>
      </c>
      <c r="Q195" s="178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</row>
    <row r="196" spans="1:525" s="22" customFormat="1" ht="261" hidden="1" customHeight="1" x14ac:dyDescent="0.25">
      <c r="A196" s="89" t="s">
        <v>431</v>
      </c>
      <c r="B196" s="42">
        <v>3221</v>
      </c>
      <c r="C196" s="89" t="s">
        <v>52</v>
      </c>
      <c r="D196" s="36" t="s">
        <v>550</v>
      </c>
      <c r="E196" s="135">
        <f t="shared" si="69"/>
        <v>0</v>
      </c>
      <c r="F196" s="141"/>
      <c r="G196" s="135"/>
      <c r="H196" s="135"/>
      <c r="I196" s="135"/>
      <c r="J196" s="135">
        <f t="shared" si="71"/>
        <v>0</v>
      </c>
      <c r="K196" s="135"/>
      <c r="L196" s="135"/>
      <c r="M196" s="135"/>
      <c r="N196" s="135"/>
      <c r="O196" s="135"/>
      <c r="P196" s="135">
        <f t="shared" si="70"/>
        <v>0</v>
      </c>
      <c r="Q196" s="178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</row>
    <row r="197" spans="1:525" s="24" customFormat="1" ht="306.75" hidden="1" customHeight="1" x14ac:dyDescent="0.25">
      <c r="A197" s="91"/>
      <c r="B197" s="80"/>
      <c r="C197" s="91"/>
      <c r="D197" s="79" t="s">
        <v>549</v>
      </c>
      <c r="E197" s="135">
        <f t="shared" si="69"/>
        <v>0</v>
      </c>
      <c r="F197" s="142"/>
      <c r="G197" s="136"/>
      <c r="H197" s="136"/>
      <c r="I197" s="136"/>
      <c r="J197" s="135">
        <f t="shared" si="71"/>
        <v>0</v>
      </c>
      <c r="K197" s="136"/>
      <c r="L197" s="136"/>
      <c r="M197" s="136"/>
      <c r="N197" s="136"/>
      <c r="O197" s="136"/>
      <c r="P197" s="136">
        <f t="shared" si="70"/>
        <v>0</v>
      </c>
      <c r="Q197" s="178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</row>
    <row r="198" spans="1:525" s="22" customFormat="1" ht="324.75" hidden="1" customHeight="1" x14ac:dyDescent="0.25">
      <c r="A198" s="89" t="s">
        <v>538</v>
      </c>
      <c r="B198" s="42">
        <v>3222</v>
      </c>
      <c r="C198" s="89" t="s">
        <v>52</v>
      </c>
      <c r="D198" s="36" t="s">
        <v>571</v>
      </c>
      <c r="E198" s="135">
        <f t="shared" ref="E198:E199" si="72">F198+I198</f>
        <v>0</v>
      </c>
      <c r="F198" s="143"/>
      <c r="G198" s="135"/>
      <c r="H198" s="135"/>
      <c r="I198" s="135"/>
      <c r="J198" s="135">
        <f t="shared" ref="J198:J199" si="73">L198+O198</f>
        <v>0</v>
      </c>
      <c r="K198" s="135"/>
      <c r="L198" s="135"/>
      <c r="M198" s="135"/>
      <c r="N198" s="135"/>
      <c r="O198" s="135"/>
      <c r="P198" s="135">
        <f t="shared" si="70"/>
        <v>0</v>
      </c>
      <c r="Q198" s="178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</row>
    <row r="199" spans="1:525" s="24" customFormat="1" ht="350.25" hidden="1" customHeight="1" x14ac:dyDescent="0.25">
      <c r="A199" s="91"/>
      <c r="B199" s="80"/>
      <c r="C199" s="91"/>
      <c r="D199" s="79" t="s">
        <v>566</v>
      </c>
      <c r="E199" s="136">
        <f t="shared" si="72"/>
        <v>0</v>
      </c>
      <c r="F199" s="142"/>
      <c r="G199" s="136"/>
      <c r="H199" s="136"/>
      <c r="I199" s="136"/>
      <c r="J199" s="136">
        <f t="shared" si="73"/>
        <v>0</v>
      </c>
      <c r="K199" s="136"/>
      <c r="L199" s="136"/>
      <c r="M199" s="136"/>
      <c r="N199" s="136"/>
      <c r="O199" s="136"/>
      <c r="P199" s="136">
        <f t="shared" si="70"/>
        <v>0</v>
      </c>
      <c r="Q199" s="178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</row>
    <row r="200" spans="1:525" s="22" customFormat="1" ht="220.5" hidden="1" customHeight="1" x14ac:dyDescent="0.25">
      <c r="A200" s="89" t="s">
        <v>430</v>
      </c>
      <c r="B200" s="42">
        <v>3223</v>
      </c>
      <c r="C200" s="89" t="s">
        <v>52</v>
      </c>
      <c r="D200" s="36" t="str">
        <f>'дод 7'!C136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00" s="135">
        <f t="shared" si="69"/>
        <v>0</v>
      </c>
      <c r="F200" s="135"/>
      <c r="G200" s="135"/>
      <c r="H200" s="135"/>
      <c r="I200" s="135"/>
      <c r="J200" s="135">
        <f t="shared" si="71"/>
        <v>0</v>
      </c>
      <c r="K200" s="135"/>
      <c r="L200" s="135"/>
      <c r="M200" s="135"/>
      <c r="N200" s="135"/>
      <c r="O200" s="135"/>
      <c r="P200" s="135">
        <f t="shared" si="70"/>
        <v>0</v>
      </c>
      <c r="Q200" s="178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</row>
    <row r="201" spans="1:525" s="24" customFormat="1" ht="267.75" hidden="1" customHeight="1" x14ac:dyDescent="0.25">
      <c r="A201" s="91"/>
      <c r="B201" s="80"/>
      <c r="C201" s="91"/>
      <c r="D201" s="79" t="str">
        <f>'дод 7'!C137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01" s="136">
        <f t="shared" si="69"/>
        <v>0</v>
      </c>
      <c r="F201" s="136"/>
      <c r="G201" s="136"/>
      <c r="H201" s="136"/>
      <c r="I201" s="136"/>
      <c r="J201" s="136">
        <f t="shared" si="71"/>
        <v>0</v>
      </c>
      <c r="K201" s="136"/>
      <c r="L201" s="136"/>
      <c r="M201" s="136"/>
      <c r="N201" s="136"/>
      <c r="O201" s="136"/>
      <c r="P201" s="136">
        <f t="shared" si="70"/>
        <v>0</v>
      </c>
      <c r="Q201" s="178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  <c r="LU201" s="30"/>
      <c r="LV201" s="30"/>
      <c r="LW201" s="30"/>
      <c r="LX201" s="30"/>
      <c r="LY201" s="30"/>
      <c r="LZ201" s="30"/>
      <c r="MA201" s="30"/>
      <c r="MB201" s="30"/>
      <c r="MC201" s="30"/>
      <c r="MD201" s="30"/>
      <c r="ME201" s="30"/>
      <c r="MF201" s="30"/>
      <c r="MG201" s="30"/>
      <c r="MH201" s="30"/>
      <c r="MI201" s="30"/>
      <c r="MJ201" s="30"/>
      <c r="MK201" s="30"/>
      <c r="ML201" s="30"/>
      <c r="MM201" s="30"/>
      <c r="MN201" s="30"/>
      <c r="MO201" s="30"/>
      <c r="MP201" s="30"/>
      <c r="MQ201" s="30"/>
      <c r="MR201" s="30"/>
      <c r="MS201" s="30"/>
      <c r="MT201" s="30"/>
      <c r="MU201" s="30"/>
      <c r="MV201" s="30"/>
      <c r="MW201" s="30"/>
      <c r="MX201" s="30"/>
      <c r="MY201" s="30"/>
      <c r="MZ201" s="30"/>
      <c r="NA201" s="30"/>
      <c r="NB201" s="30"/>
      <c r="NC201" s="30"/>
      <c r="ND201" s="30"/>
      <c r="NE201" s="30"/>
      <c r="NF201" s="30"/>
      <c r="NG201" s="30"/>
      <c r="NH201" s="30"/>
      <c r="NI201" s="30"/>
      <c r="NJ201" s="30"/>
      <c r="NK201" s="30"/>
      <c r="NL201" s="30"/>
      <c r="NM201" s="30"/>
      <c r="NN201" s="30"/>
      <c r="NO201" s="30"/>
      <c r="NP201" s="30"/>
      <c r="NQ201" s="30"/>
      <c r="NR201" s="30"/>
      <c r="NS201" s="30"/>
      <c r="NT201" s="30"/>
      <c r="NU201" s="30"/>
      <c r="NV201" s="30"/>
      <c r="NW201" s="30"/>
      <c r="NX201" s="30"/>
      <c r="NY201" s="30"/>
      <c r="NZ201" s="30"/>
      <c r="OA201" s="30"/>
      <c r="OB201" s="30"/>
      <c r="OC201" s="30"/>
      <c r="OD201" s="30"/>
      <c r="OE201" s="30"/>
      <c r="OF201" s="30"/>
      <c r="OG201" s="30"/>
      <c r="OH201" s="30"/>
      <c r="OI201" s="30"/>
      <c r="OJ201" s="30"/>
      <c r="OK201" s="30"/>
      <c r="OL201" s="30"/>
      <c r="OM201" s="30"/>
      <c r="ON201" s="30"/>
      <c r="OO201" s="30"/>
      <c r="OP201" s="30"/>
      <c r="OQ201" s="30"/>
      <c r="OR201" s="30"/>
      <c r="OS201" s="30"/>
      <c r="OT201" s="30"/>
      <c r="OU201" s="30"/>
      <c r="OV201" s="30"/>
      <c r="OW201" s="30"/>
      <c r="OX201" s="30"/>
      <c r="OY201" s="30"/>
      <c r="OZ201" s="30"/>
      <c r="PA201" s="30"/>
      <c r="PB201" s="30"/>
      <c r="PC201" s="30"/>
      <c r="PD201" s="30"/>
      <c r="PE201" s="30"/>
      <c r="PF201" s="30"/>
      <c r="PG201" s="30"/>
      <c r="PH201" s="30"/>
      <c r="PI201" s="30"/>
      <c r="PJ201" s="30"/>
      <c r="PK201" s="30"/>
      <c r="PL201" s="30"/>
      <c r="PM201" s="30"/>
      <c r="PN201" s="30"/>
      <c r="PO201" s="30"/>
      <c r="PP201" s="30"/>
      <c r="PQ201" s="30"/>
      <c r="PR201" s="30"/>
      <c r="PS201" s="30"/>
      <c r="PT201" s="30"/>
      <c r="PU201" s="30"/>
      <c r="PV201" s="30"/>
      <c r="PW201" s="30"/>
      <c r="PX201" s="30"/>
      <c r="PY201" s="30"/>
      <c r="PZ201" s="30"/>
      <c r="QA201" s="30"/>
      <c r="QB201" s="30"/>
      <c r="QC201" s="30"/>
      <c r="QD201" s="30"/>
      <c r="QE201" s="30"/>
      <c r="QF201" s="30"/>
      <c r="QG201" s="30"/>
      <c r="QH201" s="30"/>
      <c r="QI201" s="30"/>
      <c r="QJ201" s="30"/>
      <c r="QK201" s="30"/>
      <c r="QL201" s="30"/>
      <c r="QM201" s="30"/>
      <c r="QN201" s="30"/>
      <c r="QO201" s="30"/>
      <c r="QP201" s="30"/>
      <c r="QQ201" s="30"/>
      <c r="QR201" s="30"/>
      <c r="QS201" s="30"/>
      <c r="QT201" s="30"/>
      <c r="QU201" s="30"/>
      <c r="QV201" s="30"/>
      <c r="QW201" s="30"/>
      <c r="QX201" s="30"/>
      <c r="QY201" s="30"/>
      <c r="QZ201" s="30"/>
      <c r="RA201" s="30"/>
      <c r="RB201" s="30"/>
      <c r="RC201" s="30"/>
      <c r="RD201" s="30"/>
      <c r="RE201" s="30"/>
      <c r="RF201" s="30"/>
      <c r="RG201" s="30"/>
      <c r="RH201" s="30"/>
      <c r="RI201" s="30"/>
      <c r="RJ201" s="30"/>
      <c r="RK201" s="30"/>
      <c r="RL201" s="30"/>
      <c r="RM201" s="30"/>
      <c r="RN201" s="30"/>
      <c r="RO201" s="30"/>
      <c r="RP201" s="30"/>
      <c r="RQ201" s="30"/>
      <c r="RR201" s="30"/>
      <c r="RS201" s="30"/>
      <c r="RT201" s="30"/>
      <c r="RU201" s="30"/>
      <c r="RV201" s="30"/>
      <c r="RW201" s="30"/>
      <c r="RX201" s="30"/>
      <c r="RY201" s="30"/>
      <c r="RZ201" s="30"/>
      <c r="SA201" s="30"/>
      <c r="SB201" s="30"/>
      <c r="SC201" s="30"/>
      <c r="SD201" s="30"/>
      <c r="SE201" s="30"/>
      <c r="SF201" s="30"/>
      <c r="SG201" s="30"/>
      <c r="SH201" s="30"/>
      <c r="SI201" s="30"/>
      <c r="SJ201" s="30"/>
      <c r="SK201" s="30"/>
      <c r="SL201" s="30"/>
      <c r="SM201" s="30"/>
      <c r="SN201" s="30"/>
      <c r="SO201" s="30"/>
      <c r="SP201" s="30"/>
      <c r="SQ201" s="30"/>
      <c r="SR201" s="30"/>
      <c r="SS201" s="30"/>
      <c r="ST201" s="30"/>
      <c r="SU201" s="30"/>
      <c r="SV201" s="30"/>
      <c r="SW201" s="30"/>
      <c r="SX201" s="30"/>
      <c r="SY201" s="30"/>
      <c r="SZ201" s="30"/>
      <c r="TA201" s="30"/>
      <c r="TB201" s="30"/>
      <c r="TC201" s="30"/>
      <c r="TD201" s="30"/>
      <c r="TE201" s="30"/>
    </row>
    <row r="202" spans="1:525" s="22" customFormat="1" ht="31.5" customHeight="1" x14ac:dyDescent="0.25">
      <c r="A202" s="56" t="s">
        <v>302</v>
      </c>
      <c r="B202" s="84" t="str">
        <f>'дод 7'!A138</f>
        <v>3241</v>
      </c>
      <c r="C202" s="84" t="str">
        <f>'дод 7'!B138</f>
        <v>1090</v>
      </c>
      <c r="D202" s="57" t="str">
        <f>'дод 7'!C138</f>
        <v>Забезпечення діяльності інших закладів у сфері соціального захисту і соціального забезпечення</v>
      </c>
      <c r="E202" s="135">
        <f t="shared" si="69"/>
        <v>4568600</v>
      </c>
      <c r="F202" s="135">
        <v>4568600</v>
      </c>
      <c r="G202" s="135">
        <v>2503500</v>
      </c>
      <c r="H202" s="135">
        <v>410200</v>
      </c>
      <c r="I202" s="135"/>
      <c r="J202" s="135">
        <f t="shared" ref="J202:J209" si="74">L202+O202</f>
        <v>0</v>
      </c>
      <c r="K202" s="135"/>
      <c r="L202" s="135"/>
      <c r="M202" s="135"/>
      <c r="N202" s="135"/>
      <c r="O202" s="135"/>
      <c r="P202" s="135">
        <f t="shared" si="70"/>
        <v>4568600</v>
      </c>
      <c r="Q202" s="178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</row>
    <row r="203" spans="1:525" s="22" customFormat="1" ht="33" customHeight="1" x14ac:dyDescent="0.25">
      <c r="A203" s="56" t="s">
        <v>350</v>
      </c>
      <c r="B203" s="84" t="str">
        <f>'дод 7'!A139</f>
        <v>3242</v>
      </c>
      <c r="C203" s="84" t="str">
        <f>'дод 7'!B139</f>
        <v>1090</v>
      </c>
      <c r="D203" s="57" t="s">
        <v>406</v>
      </c>
      <c r="E203" s="135">
        <f t="shared" si="69"/>
        <v>87723245</v>
      </c>
      <c r="F203" s="135">
        <f>36737645+50000-50000+4200000+15000000+17000000-14400+150000+13000000+60000+1590000</f>
        <v>87723245</v>
      </c>
      <c r="G203" s="135"/>
      <c r="H203" s="135"/>
      <c r="I203" s="135"/>
      <c r="J203" s="135">
        <f t="shared" si="74"/>
        <v>72000</v>
      </c>
      <c r="K203" s="135">
        <v>72000</v>
      </c>
      <c r="L203" s="135"/>
      <c r="M203" s="135"/>
      <c r="N203" s="135"/>
      <c r="O203" s="135">
        <v>72000</v>
      </c>
      <c r="P203" s="135">
        <f t="shared" si="70"/>
        <v>87795245</v>
      </c>
      <c r="Q203" s="178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</row>
    <row r="204" spans="1:525" s="24" customFormat="1" ht="15" customHeight="1" x14ac:dyDescent="0.25">
      <c r="A204" s="76"/>
      <c r="B204" s="97"/>
      <c r="C204" s="97"/>
      <c r="D204" s="77" t="s">
        <v>388</v>
      </c>
      <c r="E204" s="136">
        <f t="shared" si="69"/>
        <v>304800</v>
      </c>
      <c r="F204" s="136">
        <f>319200-14400</f>
        <v>304800</v>
      </c>
      <c r="G204" s="136"/>
      <c r="H204" s="136"/>
      <c r="I204" s="136"/>
      <c r="J204" s="136">
        <f t="shared" si="74"/>
        <v>0</v>
      </c>
      <c r="K204" s="136"/>
      <c r="L204" s="136"/>
      <c r="M204" s="136"/>
      <c r="N204" s="136"/>
      <c r="O204" s="136"/>
      <c r="P204" s="136">
        <f t="shared" si="70"/>
        <v>304800</v>
      </c>
      <c r="Q204" s="178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  <c r="IG204" s="30"/>
      <c r="IH204" s="30"/>
      <c r="II204" s="30"/>
      <c r="IJ204" s="30"/>
      <c r="IK204" s="30"/>
      <c r="IL204" s="30"/>
      <c r="IM204" s="30"/>
      <c r="IN204" s="30"/>
      <c r="IO204" s="30"/>
      <c r="IP204" s="30"/>
      <c r="IQ204" s="30"/>
      <c r="IR204" s="30"/>
      <c r="IS204" s="30"/>
      <c r="IT204" s="30"/>
      <c r="IU204" s="30"/>
      <c r="IV204" s="30"/>
      <c r="IW204" s="30"/>
      <c r="IX204" s="30"/>
      <c r="IY204" s="30"/>
      <c r="IZ204" s="30"/>
      <c r="JA204" s="30"/>
      <c r="JB204" s="30"/>
      <c r="JC204" s="30"/>
      <c r="JD204" s="30"/>
      <c r="JE204" s="30"/>
      <c r="JF204" s="30"/>
      <c r="JG204" s="30"/>
      <c r="JH204" s="30"/>
      <c r="JI204" s="30"/>
      <c r="JJ204" s="30"/>
      <c r="JK204" s="30"/>
      <c r="JL204" s="30"/>
      <c r="JM204" s="30"/>
      <c r="JN204" s="30"/>
      <c r="JO204" s="30"/>
      <c r="JP204" s="30"/>
      <c r="JQ204" s="30"/>
      <c r="JR204" s="30"/>
      <c r="JS204" s="30"/>
      <c r="JT204" s="30"/>
      <c r="JU204" s="30"/>
      <c r="JV204" s="30"/>
      <c r="JW204" s="30"/>
      <c r="JX204" s="30"/>
      <c r="JY204" s="30"/>
      <c r="JZ204" s="30"/>
      <c r="KA204" s="30"/>
      <c r="KB204" s="30"/>
      <c r="KC204" s="30"/>
      <c r="KD204" s="30"/>
      <c r="KE204" s="30"/>
      <c r="KF204" s="30"/>
      <c r="KG204" s="30"/>
      <c r="KH204" s="30"/>
      <c r="KI204" s="30"/>
      <c r="KJ204" s="30"/>
      <c r="KK204" s="30"/>
      <c r="KL204" s="30"/>
      <c r="KM204" s="30"/>
      <c r="KN204" s="30"/>
      <c r="KO204" s="30"/>
      <c r="KP204" s="30"/>
      <c r="KQ204" s="30"/>
      <c r="KR204" s="30"/>
      <c r="KS204" s="30"/>
      <c r="KT204" s="30"/>
      <c r="KU204" s="30"/>
      <c r="KV204" s="30"/>
      <c r="KW204" s="30"/>
      <c r="KX204" s="30"/>
      <c r="KY204" s="30"/>
      <c r="KZ204" s="30"/>
      <c r="LA204" s="30"/>
      <c r="LB204" s="30"/>
      <c r="LC204" s="30"/>
      <c r="LD204" s="30"/>
      <c r="LE204" s="30"/>
      <c r="LF204" s="30"/>
      <c r="LG204" s="30"/>
      <c r="LH204" s="30"/>
      <c r="LI204" s="30"/>
      <c r="LJ204" s="30"/>
      <c r="LK204" s="30"/>
      <c r="LL204" s="30"/>
      <c r="LM204" s="30"/>
      <c r="LN204" s="30"/>
      <c r="LO204" s="30"/>
      <c r="LP204" s="30"/>
      <c r="LQ204" s="30"/>
      <c r="LR204" s="30"/>
      <c r="LS204" s="30"/>
      <c r="LT204" s="30"/>
      <c r="LU204" s="30"/>
      <c r="LV204" s="30"/>
      <c r="LW204" s="30"/>
      <c r="LX204" s="30"/>
      <c r="LY204" s="30"/>
      <c r="LZ204" s="30"/>
      <c r="MA204" s="30"/>
      <c r="MB204" s="30"/>
      <c r="MC204" s="30"/>
      <c r="MD204" s="30"/>
      <c r="ME204" s="30"/>
      <c r="MF204" s="30"/>
      <c r="MG204" s="30"/>
      <c r="MH204" s="30"/>
      <c r="MI204" s="30"/>
      <c r="MJ204" s="30"/>
      <c r="MK204" s="30"/>
      <c r="ML204" s="30"/>
      <c r="MM204" s="30"/>
      <c r="MN204" s="30"/>
      <c r="MO204" s="30"/>
      <c r="MP204" s="30"/>
      <c r="MQ204" s="30"/>
      <c r="MR204" s="30"/>
      <c r="MS204" s="30"/>
      <c r="MT204" s="30"/>
      <c r="MU204" s="30"/>
      <c r="MV204" s="30"/>
      <c r="MW204" s="30"/>
      <c r="MX204" s="30"/>
      <c r="MY204" s="30"/>
      <c r="MZ204" s="30"/>
      <c r="NA204" s="30"/>
      <c r="NB204" s="30"/>
      <c r="NC204" s="30"/>
      <c r="ND204" s="30"/>
      <c r="NE204" s="30"/>
      <c r="NF204" s="30"/>
      <c r="NG204" s="30"/>
      <c r="NH204" s="30"/>
      <c r="NI204" s="30"/>
      <c r="NJ204" s="30"/>
      <c r="NK204" s="30"/>
      <c r="NL204" s="30"/>
      <c r="NM204" s="30"/>
      <c r="NN204" s="30"/>
      <c r="NO204" s="30"/>
      <c r="NP204" s="30"/>
      <c r="NQ204" s="30"/>
      <c r="NR204" s="30"/>
      <c r="NS204" s="30"/>
      <c r="NT204" s="30"/>
      <c r="NU204" s="30"/>
      <c r="NV204" s="30"/>
      <c r="NW204" s="30"/>
      <c r="NX204" s="30"/>
      <c r="NY204" s="30"/>
      <c r="NZ204" s="30"/>
      <c r="OA204" s="30"/>
      <c r="OB204" s="30"/>
      <c r="OC204" s="30"/>
      <c r="OD204" s="30"/>
      <c r="OE204" s="30"/>
      <c r="OF204" s="30"/>
      <c r="OG204" s="30"/>
      <c r="OH204" s="30"/>
      <c r="OI204" s="30"/>
      <c r="OJ204" s="30"/>
      <c r="OK204" s="30"/>
      <c r="OL204" s="30"/>
      <c r="OM204" s="30"/>
      <c r="ON204" s="30"/>
      <c r="OO204" s="30"/>
      <c r="OP204" s="30"/>
      <c r="OQ204" s="30"/>
      <c r="OR204" s="30"/>
      <c r="OS204" s="30"/>
      <c r="OT204" s="30"/>
      <c r="OU204" s="30"/>
      <c r="OV204" s="30"/>
      <c r="OW204" s="30"/>
      <c r="OX204" s="30"/>
      <c r="OY204" s="30"/>
      <c r="OZ204" s="30"/>
      <c r="PA204" s="30"/>
      <c r="PB204" s="30"/>
      <c r="PC204" s="30"/>
      <c r="PD204" s="30"/>
      <c r="PE204" s="30"/>
      <c r="PF204" s="30"/>
      <c r="PG204" s="30"/>
      <c r="PH204" s="30"/>
      <c r="PI204" s="30"/>
      <c r="PJ204" s="30"/>
      <c r="PK204" s="30"/>
      <c r="PL204" s="30"/>
      <c r="PM204" s="30"/>
      <c r="PN204" s="30"/>
      <c r="PO204" s="30"/>
      <c r="PP204" s="30"/>
      <c r="PQ204" s="30"/>
      <c r="PR204" s="30"/>
      <c r="PS204" s="30"/>
      <c r="PT204" s="30"/>
      <c r="PU204" s="30"/>
      <c r="PV204" s="30"/>
      <c r="PW204" s="30"/>
      <c r="PX204" s="30"/>
      <c r="PY204" s="30"/>
      <c r="PZ204" s="30"/>
      <c r="QA204" s="30"/>
      <c r="QB204" s="30"/>
      <c r="QC204" s="30"/>
      <c r="QD204" s="30"/>
      <c r="QE204" s="30"/>
      <c r="QF204" s="30"/>
      <c r="QG204" s="30"/>
      <c r="QH204" s="30"/>
      <c r="QI204" s="30"/>
      <c r="QJ204" s="30"/>
      <c r="QK204" s="30"/>
      <c r="QL204" s="30"/>
      <c r="QM204" s="30"/>
      <c r="QN204" s="30"/>
      <c r="QO204" s="30"/>
      <c r="QP204" s="30"/>
      <c r="QQ204" s="30"/>
      <c r="QR204" s="30"/>
      <c r="QS204" s="30"/>
      <c r="QT204" s="30"/>
      <c r="QU204" s="30"/>
      <c r="QV204" s="30"/>
      <c r="QW204" s="30"/>
      <c r="QX204" s="30"/>
      <c r="QY204" s="30"/>
      <c r="QZ204" s="30"/>
      <c r="RA204" s="30"/>
      <c r="RB204" s="30"/>
      <c r="RC204" s="30"/>
      <c r="RD204" s="30"/>
      <c r="RE204" s="30"/>
      <c r="RF204" s="30"/>
      <c r="RG204" s="30"/>
      <c r="RH204" s="30"/>
      <c r="RI204" s="30"/>
      <c r="RJ204" s="30"/>
      <c r="RK204" s="30"/>
      <c r="RL204" s="30"/>
      <c r="RM204" s="30"/>
      <c r="RN204" s="30"/>
      <c r="RO204" s="30"/>
      <c r="RP204" s="30"/>
      <c r="RQ204" s="30"/>
      <c r="RR204" s="30"/>
      <c r="RS204" s="30"/>
      <c r="RT204" s="30"/>
      <c r="RU204" s="30"/>
      <c r="RV204" s="30"/>
      <c r="RW204" s="30"/>
      <c r="RX204" s="30"/>
      <c r="RY204" s="30"/>
      <c r="RZ204" s="30"/>
      <c r="SA204" s="30"/>
      <c r="SB204" s="30"/>
      <c r="SC204" s="30"/>
      <c r="SD204" s="30"/>
      <c r="SE204" s="30"/>
      <c r="SF204" s="30"/>
      <c r="SG204" s="30"/>
      <c r="SH204" s="30"/>
      <c r="SI204" s="30"/>
      <c r="SJ204" s="30"/>
      <c r="SK204" s="30"/>
      <c r="SL204" s="30"/>
      <c r="SM204" s="30"/>
      <c r="SN204" s="30"/>
      <c r="SO204" s="30"/>
      <c r="SP204" s="30"/>
      <c r="SQ204" s="30"/>
      <c r="SR204" s="30"/>
      <c r="SS204" s="30"/>
      <c r="ST204" s="30"/>
      <c r="SU204" s="30"/>
      <c r="SV204" s="30"/>
      <c r="SW204" s="30"/>
      <c r="SX204" s="30"/>
      <c r="SY204" s="30"/>
      <c r="SZ204" s="30"/>
      <c r="TA204" s="30"/>
      <c r="TB204" s="30"/>
      <c r="TC204" s="30"/>
      <c r="TD204" s="30"/>
      <c r="TE204" s="30"/>
    </row>
    <row r="205" spans="1:525" s="22" customFormat="1" ht="31.5" hidden="1" customHeight="1" x14ac:dyDescent="0.25">
      <c r="A205" s="56" t="s">
        <v>411</v>
      </c>
      <c r="B205" s="84">
        <v>7323</v>
      </c>
      <c r="C205" s="56" t="s">
        <v>110</v>
      </c>
      <c r="D205" s="6" t="str">
        <f>'дод 7'!C183</f>
        <v>Будівництво1 установ та закладів соціальної сфери</v>
      </c>
      <c r="E205" s="135">
        <f t="shared" si="69"/>
        <v>0</v>
      </c>
      <c r="F205" s="135"/>
      <c r="G205" s="135"/>
      <c r="H205" s="135"/>
      <c r="I205" s="135"/>
      <c r="J205" s="135">
        <f t="shared" si="74"/>
        <v>0</v>
      </c>
      <c r="K205" s="135"/>
      <c r="L205" s="135"/>
      <c r="M205" s="135"/>
      <c r="N205" s="135"/>
      <c r="O205" s="135"/>
      <c r="P205" s="135">
        <f t="shared" si="70"/>
        <v>0</v>
      </c>
      <c r="Q205" s="178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</row>
    <row r="206" spans="1:525" s="22" customFormat="1" ht="15.75" x14ac:dyDescent="0.25">
      <c r="A206" s="56" t="s">
        <v>580</v>
      </c>
      <c r="B206" s="84">
        <v>7640</v>
      </c>
      <c r="C206" s="37" t="s">
        <v>85</v>
      </c>
      <c r="D206" s="3" t="s">
        <v>416</v>
      </c>
      <c r="E206" s="135">
        <f t="shared" si="69"/>
        <v>69000</v>
      </c>
      <c r="F206" s="135">
        <v>69000</v>
      </c>
      <c r="G206" s="135"/>
      <c r="H206" s="135"/>
      <c r="I206" s="135"/>
      <c r="J206" s="135">
        <f t="shared" si="74"/>
        <v>0</v>
      </c>
      <c r="K206" s="135"/>
      <c r="L206" s="135"/>
      <c r="M206" s="135"/>
      <c r="N206" s="135"/>
      <c r="O206" s="135"/>
      <c r="P206" s="135">
        <f t="shared" si="70"/>
        <v>69000</v>
      </c>
      <c r="Q206" s="178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</row>
    <row r="207" spans="1:525" s="22" customFormat="1" ht="72" customHeight="1" x14ac:dyDescent="0.25">
      <c r="A207" s="56" t="s">
        <v>625</v>
      </c>
      <c r="B207" s="84">
        <f>'дод 7'!A247</f>
        <v>8751</v>
      </c>
      <c r="C207" s="84">
        <f>'дод 7'!B247</f>
        <v>1070</v>
      </c>
      <c r="D207" s="99" t="str">
        <f>'дод 7'!C247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07" s="135">
        <f>F207</f>
        <v>441000</v>
      </c>
      <c r="F207" s="135">
        <v>441000</v>
      </c>
      <c r="G207" s="135"/>
      <c r="H207" s="135"/>
      <c r="I207" s="135"/>
      <c r="J207" s="135">
        <f t="shared" ref="J207" si="75">L207+O207</f>
        <v>0</v>
      </c>
      <c r="K207" s="135"/>
      <c r="L207" s="135"/>
      <c r="M207" s="135"/>
      <c r="N207" s="135"/>
      <c r="O207" s="135"/>
      <c r="P207" s="135">
        <f t="shared" ref="P207" si="76">E207+J207</f>
        <v>441000</v>
      </c>
      <c r="Q207" s="178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</row>
    <row r="208" spans="1:525" s="22" customFormat="1" ht="38.25" customHeight="1" x14ac:dyDescent="0.25">
      <c r="A208" s="89" t="s">
        <v>617</v>
      </c>
      <c r="B208" s="42">
        <v>8775</v>
      </c>
      <c r="C208" s="89" t="s">
        <v>92</v>
      </c>
      <c r="D208" s="36" t="s">
        <v>614</v>
      </c>
      <c r="E208" s="135">
        <f>F208</f>
        <v>5280400</v>
      </c>
      <c r="F208" s="135">
        <f>200000+5000000+80400</f>
        <v>5280400</v>
      </c>
      <c r="G208" s="135"/>
      <c r="H208" s="135"/>
      <c r="I208" s="135"/>
      <c r="J208" s="135">
        <f t="shared" si="74"/>
        <v>0</v>
      </c>
      <c r="K208" s="135"/>
      <c r="L208" s="135"/>
      <c r="M208" s="135"/>
      <c r="N208" s="135"/>
      <c r="O208" s="135"/>
      <c r="P208" s="135">
        <f t="shared" si="70"/>
        <v>5280400</v>
      </c>
      <c r="Q208" s="178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</row>
    <row r="209" spans="1:525" s="22" customFormat="1" ht="22.5" customHeight="1" x14ac:dyDescent="0.25">
      <c r="A209" s="56" t="s">
        <v>262</v>
      </c>
      <c r="B209" s="84" t="str">
        <f>'дод 7'!A260</f>
        <v>9770</v>
      </c>
      <c r="C209" s="84" t="str">
        <f>'дод 7'!B260</f>
        <v>0180</v>
      </c>
      <c r="D209" s="57" t="str">
        <f>'дод 7'!C260</f>
        <v>Інші субвенції з місцевого бюджету</v>
      </c>
      <c r="E209" s="135">
        <f t="shared" si="69"/>
        <v>2500000</v>
      </c>
      <c r="F209" s="135">
        <v>2500000</v>
      </c>
      <c r="G209" s="135"/>
      <c r="H209" s="135"/>
      <c r="I209" s="135"/>
      <c r="J209" s="135">
        <f t="shared" si="74"/>
        <v>0</v>
      </c>
      <c r="K209" s="135"/>
      <c r="L209" s="135"/>
      <c r="M209" s="135"/>
      <c r="N209" s="135"/>
      <c r="O209" s="135"/>
      <c r="P209" s="135">
        <f t="shared" si="70"/>
        <v>2500000</v>
      </c>
      <c r="Q209" s="178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</row>
    <row r="210" spans="1:525" s="27" customFormat="1" ht="31.5" x14ac:dyDescent="0.25">
      <c r="A210" s="92" t="s">
        <v>185</v>
      </c>
      <c r="B210" s="39"/>
      <c r="C210" s="39"/>
      <c r="D210" s="93" t="s">
        <v>358</v>
      </c>
      <c r="E210" s="133">
        <f>E211</f>
        <v>6035940</v>
      </c>
      <c r="F210" s="133">
        <f t="shared" ref="F210:J210" si="77">F211</f>
        <v>6035940</v>
      </c>
      <c r="G210" s="133">
        <f t="shared" si="77"/>
        <v>4368900</v>
      </c>
      <c r="H210" s="133">
        <f t="shared" si="77"/>
        <v>93500</v>
      </c>
      <c r="I210" s="133">
        <f t="shared" si="77"/>
        <v>0</v>
      </c>
      <c r="J210" s="133">
        <f t="shared" si="77"/>
        <v>0</v>
      </c>
      <c r="K210" s="133">
        <f t="shared" ref="K210" si="78">K211</f>
        <v>0</v>
      </c>
      <c r="L210" s="133">
        <f t="shared" ref="L210" si="79">L211</f>
        <v>0</v>
      </c>
      <c r="M210" s="133">
        <f t="shared" ref="M210" si="80">M211</f>
        <v>0</v>
      </c>
      <c r="N210" s="133">
        <f t="shared" ref="N210" si="81">N211</f>
        <v>0</v>
      </c>
      <c r="O210" s="133">
        <f t="shared" ref="O210:P210" si="82">O211</f>
        <v>0</v>
      </c>
      <c r="P210" s="133">
        <f t="shared" si="82"/>
        <v>6035940</v>
      </c>
      <c r="Q210" s="178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2"/>
      <c r="IE210" s="32"/>
      <c r="IF210" s="32"/>
      <c r="IG210" s="32"/>
      <c r="IH210" s="32"/>
      <c r="II210" s="32"/>
      <c r="IJ210" s="32"/>
      <c r="IK210" s="32"/>
      <c r="IL210" s="32"/>
      <c r="IM210" s="32"/>
      <c r="IN210" s="32"/>
      <c r="IO210" s="32"/>
      <c r="IP210" s="32"/>
      <c r="IQ210" s="32"/>
      <c r="IR210" s="32"/>
      <c r="IS210" s="32"/>
      <c r="IT210" s="32"/>
      <c r="IU210" s="32"/>
      <c r="IV210" s="32"/>
      <c r="IW210" s="32"/>
      <c r="IX210" s="32"/>
      <c r="IY210" s="32"/>
      <c r="IZ210" s="32"/>
      <c r="JA210" s="32"/>
      <c r="JB210" s="32"/>
      <c r="JC210" s="32"/>
      <c r="JD210" s="32"/>
      <c r="JE210" s="32"/>
      <c r="JF210" s="32"/>
      <c r="JG210" s="32"/>
      <c r="JH210" s="32"/>
      <c r="JI210" s="32"/>
      <c r="JJ210" s="32"/>
      <c r="JK210" s="32"/>
      <c r="JL210" s="32"/>
      <c r="JM210" s="32"/>
      <c r="JN210" s="32"/>
      <c r="JO210" s="32"/>
      <c r="JP210" s="32"/>
      <c r="JQ210" s="32"/>
      <c r="JR210" s="32"/>
      <c r="JS210" s="32"/>
      <c r="JT210" s="32"/>
      <c r="JU210" s="32"/>
      <c r="JV210" s="32"/>
      <c r="JW210" s="32"/>
      <c r="JX210" s="32"/>
      <c r="JY210" s="32"/>
      <c r="JZ210" s="32"/>
      <c r="KA210" s="32"/>
      <c r="KB210" s="32"/>
      <c r="KC210" s="32"/>
      <c r="KD210" s="32"/>
      <c r="KE210" s="32"/>
      <c r="KF210" s="32"/>
      <c r="KG210" s="32"/>
      <c r="KH210" s="32"/>
      <c r="KI210" s="32"/>
      <c r="KJ210" s="32"/>
      <c r="KK210" s="32"/>
      <c r="KL210" s="32"/>
      <c r="KM210" s="32"/>
      <c r="KN210" s="32"/>
      <c r="KO210" s="32"/>
      <c r="KP210" s="32"/>
      <c r="KQ210" s="32"/>
      <c r="KR210" s="32"/>
      <c r="KS210" s="32"/>
      <c r="KT210" s="32"/>
      <c r="KU210" s="32"/>
      <c r="KV210" s="32"/>
      <c r="KW210" s="32"/>
      <c r="KX210" s="32"/>
      <c r="KY210" s="32"/>
      <c r="KZ210" s="32"/>
      <c r="LA210" s="32"/>
      <c r="LB210" s="32"/>
      <c r="LC210" s="32"/>
      <c r="LD210" s="32"/>
      <c r="LE210" s="32"/>
      <c r="LF210" s="32"/>
      <c r="LG210" s="32"/>
      <c r="LH210" s="32"/>
      <c r="LI210" s="32"/>
      <c r="LJ210" s="32"/>
      <c r="LK210" s="32"/>
      <c r="LL210" s="32"/>
      <c r="LM210" s="32"/>
      <c r="LN210" s="32"/>
      <c r="LO210" s="32"/>
      <c r="LP210" s="32"/>
      <c r="LQ210" s="32"/>
      <c r="LR210" s="32"/>
      <c r="LS210" s="32"/>
      <c r="LT210" s="32"/>
      <c r="LU210" s="32"/>
      <c r="LV210" s="32"/>
      <c r="LW210" s="32"/>
      <c r="LX210" s="32"/>
      <c r="LY210" s="32"/>
      <c r="LZ210" s="32"/>
      <c r="MA210" s="32"/>
      <c r="MB210" s="32"/>
      <c r="MC210" s="32"/>
      <c r="MD210" s="32"/>
      <c r="ME210" s="32"/>
      <c r="MF210" s="32"/>
      <c r="MG210" s="32"/>
      <c r="MH210" s="32"/>
      <c r="MI210" s="32"/>
      <c r="MJ210" s="32"/>
      <c r="MK210" s="32"/>
      <c r="ML210" s="32"/>
      <c r="MM210" s="32"/>
      <c r="MN210" s="32"/>
      <c r="MO210" s="32"/>
      <c r="MP210" s="32"/>
      <c r="MQ210" s="32"/>
      <c r="MR210" s="32"/>
      <c r="MS210" s="32"/>
      <c r="MT210" s="32"/>
      <c r="MU210" s="32"/>
      <c r="MV210" s="32"/>
      <c r="MW210" s="32"/>
      <c r="MX210" s="32"/>
      <c r="MY210" s="32"/>
      <c r="MZ210" s="32"/>
      <c r="NA210" s="32"/>
      <c r="NB210" s="32"/>
      <c r="NC210" s="32"/>
      <c r="ND210" s="32"/>
      <c r="NE210" s="32"/>
      <c r="NF210" s="32"/>
      <c r="NG210" s="32"/>
      <c r="NH210" s="32"/>
      <c r="NI210" s="32"/>
      <c r="NJ210" s="32"/>
      <c r="NK210" s="32"/>
      <c r="NL210" s="32"/>
      <c r="NM210" s="32"/>
      <c r="NN210" s="32"/>
      <c r="NO210" s="32"/>
      <c r="NP210" s="32"/>
      <c r="NQ210" s="32"/>
      <c r="NR210" s="32"/>
      <c r="NS210" s="32"/>
      <c r="NT210" s="32"/>
      <c r="NU210" s="32"/>
      <c r="NV210" s="32"/>
      <c r="NW210" s="32"/>
      <c r="NX210" s="32"/>
      <c r="NY210" s="32"/>
      <c r="NZ210" s="32"/>
      <c r="OA210" s="32"/>
      <c r="OB210" s="32"/>
      <c r="OC210" s="32"/>
      <c r="OD210" s="32"/>
      <c r="OE210" s="32"/>
      <c r="OF210" s="32"/>
      <c r="OG210" s="32"/>
      <c r="OH210" s="32"/>
      <c r="OI210" s="32"/>
      <c r="OJ210" s="32"/>
      <c r="OK210" s="32"/>
      <c r="OL210" s="32"/>
      <c r="OM210" s="32"/>
      <c r="ON210" s="32"/>
      <c r="OO210" s="32"/>
      <c r="OP210" s="32"/>
      <c r="OQ210" s="32"/>
      <c r="OR210" s="32"/>
      <c r="OS210" s="32"/>
      <c r="OT210" s="32"/>
      <c r="OU210" s="32"/>
      <c r="OV210" s="32"/>
      <c r="OW210" s="32"/>
      <c r="OX210" s="32"/>
      <c r="OY210" s="32"/>
      <c r="OZ210" s="32"/>
      <c r="PA210" s="32"/>
      <c r="PB210" s="32"/>
      <c r="PC210" s="32"/>
      <c r="PD210" s="32"/>
      <c r="PE210" s="32"/>
      <c r="PF210" s="32"/>
      <c r="PG210" s="32"/>
      <c r="PH210" s="32"/>
      <c r="PI210" s="32"/>
      <c r="PJ210" s="32"/>
      <c r="PK210" s="32"/>
      <c r="PL210" s="32"/>
      <c r="PM210" s="32"/>
      <c r="PN210" s="32"/>
      <c r="PO210" s="32"/>
      <c r="PP210" s="32"/>
      <c r="PQ210" s="32"/>
      <c r="PR210" s="32"/>
      <c r="PS210" s="32"/>
      <c r="PT210" s="32"/>
      <c r="PU210" s="32"/>
      <c r="PV210" s="32"/>
      <c r="PW210" s="32"/>
      <c r="PX210" s="32"/>
      <c r="PY210" s="32"/>
      <c r="PZ210" s="32"/>
      <c r="QA210" s="32"/>
      <c r="QB210" s="32"/>
      <c r="QC210" s="32"/>
      <c r="QD210" s="32"/>
      <c r="QE210" s="32"/>
      <c r="QF210" s="32"/>
      <c r="QG210" s="32"/>
      <c r="QH210" s="32"/>
      <c r="QI210" s="32"/>
      <c r="QJ210" s="32"/>
      <c r="QK210" s="32"/>
      <c r="QL210" s="32"/>
      <c r="QM210" s="32"/>
      <c r="QN210" s="32"/>
      <c r="QO210" s="32"/>
      <c r="QP210" s="32"/>
      <c r="QQ210" s="32"/>
      <c r="QR210" s="32"/>
      <c r="QS210" s="32"/>
      <c r="QT210" s="32"/>
      <c r="QU210" s="32"/>
      <c r="QV210" s="32"/>
      <c r="QW210" s="32"/>
      <c r="QX210" s="32"/>
      <c r="QY210" s="32"/>
      <c r="QZ210" s="32"/>
      <c r="RA210" s="32"/>
      <c r="RB210" s="32"/>
      <c r="RC210" s="32"/>
      <c r="RD210" s="32"/>
      <c r="RE210" s="32"/>
      <c r="RF210" s="32"/>
      <c r="RG210" s="32"/>
      <c r="RH210" s="32"/>
      <c r="RI210" s="32"/>
      <c r="RJ210" s="32"/>
      <c r="RK210" s="32"/>
      <c r="RL210" s="32"/>
      <c r="RM210" s="32"/>
      <c r="RN210" s="32"/>
      <c r="RO210" s="32"/>
      <c r="RP210" s="32"/>
      <c r="RQ210" s="32"/>
      <c r="RR210" s="32"/>
      <c r="RS210" s="32"/>
      <c r="RT210" s="32"/>
      <c r="RU210" s="32"/>
      <c r="RV210" s="32"/>
      <c r="RW210" s="32"/>
      <c r="RX210" s="32"/>
      <c r="RY210" s="32"/>
      <c r="RZ210" s="32"/>
      <c r="SA210" s="32"/>
      <c r="SB210" s="32"/>
      <c r="SC210" s="32"/>
      <c r="SD210" s="32"/>
      <c r="SE210" s="32"/>
      <c r="SF210" s="32"/>
      <c r="SG210" s="32"/>
      <c r="SH210" s="32"/>
      <c r="SI210" s="32"/>
      <c r="SJ210" s="32"/>
      <c r="SK210" s="32"/>
      <c r="SL210" s="32"/>
      <c r="SM210" s="32"/>
      <c r="SN210" s="32"/>
      <c r="SO210" s="32"/>
      <c r="SP210" s="32"/>
      <c r="SQ210" s="32"/>
      <c r="SR210" s="32"/>
      <c r="SS210" s="32"/>
      <c r="ST210" s="32"/>
      <c r="SU210" s="32"/>
      <c r="SV210" s="32"/>
      <c r="SW210" s="32"/>
      <c r="SX210" s="32"/>
      <c r="SY210" s="32"/>
      <c r="SZ210" s="32"/>
      <c r="TA210" s="32"/>
      <c r="TB210" s="32"/>
      <c r="TC210" s="32"/>
      <c r="TD210" s="32"/>
      <c r="TE210" s="32"/>
    </row>
    <row r="211" spans="1:525" s="34" customFormat="1" ht="31.5" x14ac:dyDescent="0.25">
      <c r="A211" s="94" t="s">
        <v>186</v>
      </c>
      <c r="B211" s="68"/>
      <c r="C211" s="68"/>
      <c r="D211" s="70" t="s">
        <v>358</v>
      </c>
      <c r="E211" s="134">
        <f>E213+E214+E215+E217+E216</f>
        <v>6035940</v>
      </c>
      <c r="F211" s="134">
        <f t="shared" ref="F211:P211" si="83">F213+F214+F215+F217+F216</f>
        <v>6035940</v>
      </c>
      <c r="G211" s="134">
        <f t="shared" si="83"/>
        <v>4368900</v>
      </c>
      <c r="H211" s="134">
        <f t="shared" si="83"/>
        <v>93500</v>
      </c>
      <c r="I211" s="134">
        <f t="shared" si="83"/>
        <v>0</v>
      </c>
      <c r="J211" s="134">
        <f t="shared" si="83"/>
        <v>0</v>
      </c>
      <c r="K211" s="134">
        <f t="shared" si="83"/>
        <v>0</v>
      </c>
      <c r="L211" s="134">
        <f t="shared" si="83"/>
        <v>0</v>
      </c>
      <c r="M211" s="134">
        <f t="shared" si="83"/>
        <v>0</v>
      </c>
      <c r="N211" s="134">
        <f t="shared" si="83"/>
        <v>0</v>
      </c>
      <c r="O211" s="134">
        <f t="shared" si="83"/>
        <v>0</v>
      </c>
      <c r="P211" s="134">
        <f t="shared" si="83"/>
        <v>6035940</v>
      </c>
      <c r="Q211" s="178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  <c r="IT211" s="33"/>
      <c r="IU211" s="33"/>
      <c r="IV211" s="33"/>
      <c r="IW211" s="33"/>
      <c r="IX211" s="33"/>
      <c r="IY211" s="33"/>
      <c r="IZ211" s="33"/>
      <c r="JA211" s="33"/>
      <c r="JB211" s="33"/>
      <c r="JC211" s="33"/>
      <c r="JD211" s="33"/>
      <c r="JE211" s="33"/>
      <c r="JF211" s="33"/>
      <c r="JG211" s="33"/>
      <c r="JH211" s="33"/>
      <c r="JI211" s="33"/>
      <c r="JJ211" s="33"/>
      <c r="JK211" s="33"/>
      <c r="JL211" s="33"/>
      <c r="JM211" s="33"/>
      <c r="JN211" s="33"/>
      <c r="JO211" s="33"/>
      <c r="JP211" s="33"/>
      <c r="JQ211" s="33"/>
      <c r="JR211" s="33"/>
      <c r="JS211" s="33"/>
      <c r="JT211" s="33"/>
      <c r="JU211" s="33"/>
      <c r="JV211" s="33"/>
      <c r="JW211" s="33"/>
      <c r="JX211" s="33"/>
      <c r="JY211" s="33"/>
      <c r="JZ211" s="33"/>
      <c r="KA211" s="33"/>
      <c r="KB211" s="33"/>
      <c r="KC211" s="33"/>
      <c r="KD211" s="33"/>
      <c r="KE211" s="33"/>
      <c r="KF211" s="33"/>
      <c r="KG211" s="33"/>
      <c r="KH211" s="33"/>
      <c r="KI211" s="33"/>
      <c r="KJ211" s="33"/>
      <c r="KK211" s="33"/>
      <c r="KL211" s="33"/>
      <c r="KM211" s="33"/>
      <c r="KN211" s="33"/>
      <c r="KO211" s="33"/>
      <c r="KP211" s="33"/>
      <c r="KQ211" s="33"/>
      <c r="KR211" s="33"/>
      <c r="KS211" s="33"/>
      <c r="KT211" s="33"/>
      <c r="KU211" s="33"/>
      <c r="KV211" s="33"/>
      <c r="KW211" s="33"/>
      <c r="KX211" s="33"/>
      <c r="KY211" s="33"/>
      <c r="KZ211" s="33"/>
      <c r="LA211" s="33"/>
      <c r="LB211" s="33"/>
      <c r="LC211" s="33"/>
      <c r="LD211" s="33"/>
      <c r="LE211" s="33"/>
      <c r="LF211" s="33"/>
      <c r="LG211" s="33"/>
      <c r="LH211" s="33"/>
      <c r="LI211" s="33"/>
      <c r="LJ211" s="33"/>
      <c r="LK211" s="33"/>
      <c r="LL211" s="33"/>
      <c r="LM211" s="33"/>
      <c r="LN211" s="33"/>
      <c r="LO211" s="33"/>
      <c r="LP211" s="33"/>
      <c r="LQ211" s="33"/>
      <c r="LR211" s="33"/>
      <c r="LS211" s="33"/>
      <c r="LT211" s="33"/>
      <c r="LU211" s="33"/>
      <c r="LV211" s="33"/>
      <c r="LW211" s="33"/>
      <c r="LX211" s="33"/>
      <c r="LY211" s="33"/>
      <c r="LZ211" s="33"/>
      <c r="MA211" s="33"/>
      <c r="MB211" s="33"/>
      <c r="MC211" s="33"/>
      <c r="MD211" s="33"/>
      <c r="ME211" s="33"/>
      <c r="MF211" s="33"/>
      <c r="MG211" s="33"/>
      <c r="MH211" s="33"/>
      <c r="MI211" s="33"/>
      <c r="MJ211" s="33"/>
      <c r="MK211" s="33"/>
      <c r="ML211" s="33"/>
      <c r="MM211" s="33"/>
      <c r="MN211" s="33"/>
      <c r="MO211" s="33"/>
      <c r="MP211" s="33"/>
      <c r="MQ211" s="33"/>
      <c r="MR211" s="33"/>
      <c r="MS211" s="33"/>
      <c r="MT211" s="33"/>
      <c r="MU211" s="33"/>
      <c r="MV211" s="33"/>
      <c r="MW211" s="33"/>
      <c r="MX211" s="33"/>
      <c r="MY211" s="33"/>
      <c r="MZ211" s="33"/>
      <c r="NA211" s="33"/>
      <c r="NB211" s="33"/>
      <c r="NC211" s="33"/>
      <c r="ND211" s="33"/>
      <c r="NE211" s="33"/>
      <c r="NF211" s="33"/>
      <c r="NG211" s="33"/>
      <c r="NH211" s="33"/>
      <c r="NI211" s="33"/>
      <c r="NJ211" s="33"/>
      <c r="NK211" s="33"/>
      <c r="NL211" s="33"/>
      <c r="NM211" s="33"/>
      <c r="NN211" s="33"/>
      <c r="NO211" s="33"/>
      <c r="NP211" s="33"/>
      <c r="NQ211" s="33"/>
      <c r="NR211" s="33"/>
      <c r="NS211" s="33"/>
      <c r="NT211" s="33"/>
      <c r="NU211" s="33"/>
      <c r="NV211" s="33"/>
      <c r="NW211" s="33"/>
      <c r="NX211" s="33"/>
      <c r="NY211" s="33"/>
      <c r="NZ211" s="33"/>
      <c r="OA211" s="33"/>
      <c r="OB211" s="33"/>
      <c r="OC211" s="33"/>
      <c r="OD211" s="33"/>
      <c r="OE211" s="33"/>
      <c r="OF211" s="33"/>
      <c r="OG211" s="33"/>
      <c r="OH211" s="33"/>
      <c r="OI211" s="33"/>
      <c r="OJ211" s="33"/>
      <c r="OK211" s="33"/>
      <c r="OL211" s="33"/>
      <c r="OM211" s="33"/>
      <c r="ON211" s="33"/>
      <c r="OO211" s="33"/>
      <c r="OP211" s="33"/>
      <c r="OQ211" s="33"/>
      <c r="OR211" s="33"/>
      <c r="OS211" s="33"/>
      <c r="OT211" s="33"/>
      <c r="OU211" s="33"/>
      <c r="OV211" s="33"/>
      <c r="OW211" s="33"/>
      <c r="OX211" s="33"/>
      <c r="OY211" s="33"/>
      <c r="OZ211" s="33"/>
      <c r="PA211" s="33"/>
      <c r="PB211" s="33"/>
      <c r="PC211" s="33"/>
      <c r="PD211" s="33"/>
      <c r="PE211" s="33"/>
      <c r="PF211" s="33"/>
      <c r="PG211" s="33"/>
      <c r="PH211" s="33"/>
      <c r="PI211" s="33"/>
      <c r="PJ211" s="33"/>
      <c r="PK211" s="33"/>
      <c r="PL211" s="33"/>
      <c r="PM211" s="33"/>
      <c r="PN211" s="33"/>
      <c r="PO211" s="33"/>
      <c r="PP211" s="33"/>
      <c r="PQ211" s="33"/>
      <c r="PR211" s="33"/>
      <c r="PS211" s="33"/>
      <c r="PT211" s="33"/>
      <c r="PU211" s="33"/>
      <c r="PV211" s="33"/>
      <c r="PW211" s="33"/>
      <c r="PX211" s="33"/>
      <c r="PY211" s="33"/>
      <c r="PZ211" s="33"/>
      <c r="QA211" s="33"/>
      <c r="QB211" s="33"/>
      <c r="QC211" s="33"/>
      <c r="QD211" s="33"/>
      <c r="QE211" s="33"/>
      <c r="QF211" s="33"/>
      <c r="QG211" s="33"/>
      <c r="QH211" s="33"/>
      <c r="QI211" s="33"/>
      <c r="QJ211" s="33"/>
      <c r="QK211" s="33"/>
      <c r="QL211" s="33"/>
      <c r="QM211" s="33"/>
      <c r="QN211" s="33"/>
      <c r="QO211" s="33"/>
      <c r="QP211" s="33"/>
      <c r="QQ211" s="33"/>
      <c r="QR211" s="33"/>
      <c r="QS211" s="33"/>
      <c r="QT211" s="33"/>
      <c r="QU211" s="33"/>
      <c r="QV211" s="33"/>
      <c r="QW211" s="33"/>
      <c r="QX211" s="33"/>
      <c r="QY211" s="33"/>
      <c r="QZ211" s="33"/>
      <c r="RA211" s="33"/>
      <c r="RB211" s="33"/>
      <c r="RC211" s="33"/>
      <c r="RD211" s="33"/>
      <c r="RE211" s="33"/>
      <c r="RF211" s="33"/>
      <c r="RG211" s="33"/>
      <c r="RH211" s="33"/>
      <c r="RI211" s="33"/>
      <c r="RJ211" s="33"/>
      <c r="RK211" s="33"/>
      <c r="RL211" s="33"/>
      <c r="RM211" s="33"/>
      <c r="RN211" s="33"/>
      <c r="RO211" s="33"/>
      <c r="RP211" s="33"/>
      <c r="RQ211" s="33"/>
      <c r="RR211" s="33"/>
      <c r="RS211" s="33"/>
      <c r="RT211" s="33"/>
      <c r="RU211" s="33"/>
      <c r="RV211" s="33"/>
      <c r="RW211" s="33"/>
      <c r="RX211" s="33"/>
      <c r="RY211" s="33"/>
      <c r="RZ211" s="33"/>
      <c r="SA211" s="33"/>
      <c r="SB211" s="33"/>
      <c r="SC211" s="33"/>
      <c r="SD211" s="33"/>
      <c r="SE211" s="33"/>
      <c r="SF211" s="33"/>
      <c r="SG211" s="33"/>
      <c r="SH211" s="33"/>
      <c r="SI211" s="33"/>
      <c r="SJ211" s="33"/>
      <c r="SK211" s="33"/>
      <c r="SL211" s="33"/>
      <c r="SM211" s="33"/>
      <c r="SN211" s="33"/>
      <c r="SO211" s="33"/>
      <c r="SP211" s="33"/>
      <c r="SQ211" s="33"/>
      <c r="SR211" s="33"/>
      <c r="SS211" s="33"/>
      <c r="ST211" s="33"/>
      <c r="SU211" s="33"/>
      <c r="SV211" s="33"/>
      <c r="SW211" s="33"/>
      <c r="SX211" s="33"/>
      <c r="SY211" s="33"/>
      <c r="SZ211" s="33"/>
      <c r="TA211" s="33"/>
      <c r="TB211" s="33"/>
      <c r="TC211" s="33"/>
      <c r="TD211" s="33"/>
      <c r="TE211" s="33"/>
    </row>
    <row r="212" spans="1:525" s="34" customFormat="1" ht="141.75" hidden="1" customHeight="1" x14ac:dyDescent="0.25">
      <c r="A212" s="94"/>
      <c r="B212" s="68"/>
      <c r="C212" s="68"/>
      <c r="D212" s="122" t="s">
        <v>572</v>
      </c>
      <c r="E212" s="134">
        <f>E218</f>
        <v>0</v>
      </c>
      <c r="F212" s="134">
        <f t="shared" ref="F212:P212" si="84">F218</f>
        <v>0</v>
      </c>
      <c r="G212" s="134">
        <f t="shared" si="84"/>
        <v>0</v>
      </c>
      <c r="H212" s="134">
        <f t="shared" si="84"/>
        <v>0</v>
      </c>
      <c r="I212" s="134">
        <f t="shared" si="84"/>
        <v>0</v>
      </c>
      <c r="J212" s="134">
        <f t="shared" si="84"/>
        <v>0</v>
      </c>
      <c r="K212" s="134">
        <f t="shared" si="84"/>
        <v>0</v>
      </c>
      <c r="L212" s="134">
        <f t="shared" si="84"/>
        <v>0</v>
      </c>
      <c r="M212" s="134">
        <f t="shared" si="84"/>
        <v>0</v>
      </c>
      <c r="N212" s="134">
        <f t="shared" si="84"/>
        <v>0</v>
      </c>
      <c r="O212" s="134">
        <f t="shared" si="84"/>
        <v>0</v>
      </c>
      <c r="P212" s="134">
        <f t="shared" si="84"/>
        <v>0</v>
      </c>
      <c r="Q212" s="178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  <c r="GE212" s="33"/>
      <c r="GF212" s="33"/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33"/>
      <c r="GZ212" s="33"/>
      <c r="HA212" s="33"/>
      <c r="HB212" s="33"/>
      <c r="HC212" s="33"/>
      <c r="HD212" s="33"/>
      <c r="HE212" s="33"/>
      <c r="HF212" s="33"/>
      <c r="HG212" s="33"/>
      <c r="HH212" s="33"/>
      <c r="HI212" s="33"/>
      <c r="HJ212" s="33"/>
      <c r="HK212" s="33"/>
      <c r="HL212" s="33"/>
      <c r="HM212" s="33"/>
      <c r="HN212" s="33"/>
      <c r="HO212" s="33"/>
      <c r="HP212" s="33"/>
      <c r="HQ212" s="33"/>
      <c r="HR212" s="33"/>
      <c r="HS212" s="33"/>
      <c r="HT212" s="33"/>
      <c r="HU212" s="33"/>
      <c r="HV212" s="33"/>
      <c r="HW212" s="33"/>
      <c r="HX212" s="33"/>
      <c r="HY212" s="33"/>
      <c r="HZ212" s="33"/>
      <c r="IA212" s="33"/>
      <c r="IB212" s="33"/>
      <c r="IC212" s="33"/>
      <c r="ID212" s="33"/>
      <c r="IE212" s="33"/>
      <c r="IF212" s="33"/>
      <c r="IG212" s="33"/>
      <c r="IH212" s="33"/>
      <c r="II212" s="33"/>
      <c r="IJ212" s="33"/>
      <c r="IK212" s="33"/>
      <c r="IL212" s="33"/>
      <c r="IM212" s="33"/>
      <c r="IN212" s="33"/>
      <c r="IO212" s="33"/>
      <c r="IP212" s="33"/>
      <c r="IQ212" s="33"/>
      <c r="IR212" s="33"/>
      <c r="IS212" s="33"/>
      <c r="IT212" s="33"/>
      <c r="IU212" s="33"/>
      <c r="IV212" s="33"/>
      <c r="IW212" s="33"/>
      <c r="IX212" s="33"/>
      <c r="IY212" s="33"/>
      <c r="IZ212" s="33"/>
      <c r="JA212" s="33"/>
      <c r="JB212" s="33"/>
      <c r="JC212" s="33"/>
      <c r="JD212" s="33"/>
      <c r="JE212" s="33"/>
      <c r="JF212" s="33"/>
      <c r="JG212" s="33"/>
      <c r="JH212" s="33"/>
      <c r="JI212" s="33"/>
      <c r="JJ212" s="33"/>
      <c r="JK212" s="33"/>
      <c r="JL212" s="33"/>
      <c r="JM212" s="33"/>
      <c r="JN212" s="33"/>
      <c r="JO212" s="33"/>
      <c r="JP212" s="33"/>
      <c r="JQ212" s="33"/>
      <c r="JR212" s="33"/>
      <c r="JS212" s="33"/>
      <c r="JT212" s="33"/>
      <c r="JU212" s="33"/>
      <c r="JV212" s="33"/>
      <c r="JW212" s="33"/>
      <c r="JX212" s="33"/>
      <c r="JY212" s="33"/>
      <c r="JZ212" s="33"/>
      <c r="KA212" s="33"/>
      <c r="KB212" s="33"/>
      <c r="KC212" s="33"/>
      <c r="KD212" s="33"/>
      <c r="KE212" s="33"/>
      <c r="KF212" s="33"/>
      <c r="KG212" s="33"/>
      <c r="KH212" s="33"/>
      <c r="KI212" s="33"/>
      <c r="KJ212" s="33"/>
      <c r="KK212" s="33"/>
      <c r="KL212" s="33"/>
      <c r="KM212" s="33"/>
      <c r="KN212" s="33"/>
      <c r="KO212" s="33"/>
      <c r="KP212" s="33"/>
      <c r="KQ212" s="33"/>
      <c r="KR212" s="33"/>
      <c r="KS212" s="33"/>
      <c r="KT212" s="33"/>
      <c r="KU212" s="33"/>
      <c r="KV212" s="33"/>
      <c r="KW212" s="33"/>
      <c r="KX212" s="33"/>
      <c r="KY212" s="33"/>
      <c r="KZ212" s="33"/>
      <c r="LA212" s="33"/>
      <c r="LB212" s="33"/>
      <c r="LC212" s="33"/>
      <c r="LD212" s="33"/>
      <c r="LE212" s="33"/>
      <c r="LF212" s="33"/>
      <c r="LG212" s="33"/>
      <c r="LH212" s="33"/>
      <c r="LI212" s="33"/>
      <c r="LJ212" s="33"/>
      <c r="LK212" s="33"/>
      <c r="LL212" s="33"/>
      <c r="LM212" s="33"/>
      <c r="LN212" s="33"/>
      <c r="LO212" s="33"/>
      <c r="LP212" s="33"/>
      <c r="LQ212" s="33"/>
      <c r="LR212" s="33"/>
      <c r="LS212" s="33"/>
      <c r="LT212" s="33"/>
      <c r="LU212" s="33"/>
      <c r="LV212" s="33"/>
      <c r="LW212" s="33"/>
      <c r="LX212" s="33"/>
      <c r="LY212" s="33"/>
      <c r="LZ212" s="33"/>
      <c r="MA212" s="33"/>
      <c r="MB212" s="33"/>
      <c r="MC212" s="33"/>
      <c r="MD212" s="33"/>
      <c r="ME212" s="33"/>
      <c r="MF212" s="33"/>
      <c r="MG212" s="33"/>
      <c r="MH212" s="33"/>
      <c r="MI212" s="33"/>
      <c r="MJ212" s="33"/>
      <c r="MK212" s="33"/>
      <c r="ML212" s="33"/>
      <c r="MM212" s="33"/>
      <c r="MN212" s="33"/>
      <c r="MO212" s="33"/>
      <c r="MP212" s="33"/>
      <c r="MQ212" s="33"/>
      <c r="MR212" s="33"/>
      <c r="MS212" s="33"/>
      <c r="MT212" s="33"/>
      <c r="MU212" s="33"/>
      <c r="MV212" s="33"/>
      <c r="MW212" s="33"/>
      <c r="MX212" s="33"/>
      <c r="MY212" s="33"/>
      <c r="MZ212" s="33"/>
      <c r="NA212" s="33"/>
      <c r="NB212" s="33"/>
      <c r="NC212" s="33"/>
      <c r="ND212" s="33"/>
      <c r="NE212" s="33"/>
      <c r="NF212" s="33"/>
      <c r="NG212" s="33"/>
      <c r="NH212" s="33"/>
      <c r="NI212" s="33"/>
      <c r="NJ212" s="33"/>
      <c r="NK212" s="33"/>
      <c r="NL212" s="33"/>
      <c r="NM212" s="33"/>
      <c r="NN212" s="33"/>
      <c r="NO212" s="33"/>
      <c r="NP212" s="33"/>
      <c r="NQ212" s="33"/>
      <c r="NR212" s="33"/>
      <c r="NS212" s="33"/>
      <c r="NT212" s="33"/>
      <c r="NU212" s="33"/>
      <c r="NV212" s="33"/>
      <c r="NW212" s="33"/>
      <c r="NX212" s="33"/>
      <c r="NY212" s="33"/>
      <c r="NZ212" s="33"/>
      <c r="OA212" s="33"/>
      <c r="OB212" s="33"/>
      <c r="OC212" s="33"/>
      <c r="OD212" s="33"/>
      <c r="OE212" s="33"/>
      <c r="OF212" s="33"/>
      <c r="OG212" s="33"/>
      <c r="OH212" s="33"/>
      <c r="OI212" s="33"/>
      <c r="OJ212" s="33"/>
      <c r="OK212" s="33"/>
      <c r="OL212" s="33"/>
      <c r="OM212" s="33"/>
      <c r="ON212" s="33"/>
      <c r="OO212" s="33"/>
      <c r="OP212" s="33"/>
      <c r="OQ212" s="33"/>
      <c r="OR212" s="33"/>
      <c r="OS212" s="33"/>
      <c r="OT212" s="33"/>
      <c r="OU212" s="33"/>
      <c r="OV212" s="33"/>
      <c r="OW212" s="33"/>
      <c r="OX212" s="33"/>
      <c r="OY212" s="33"/>
      <c r="OZ212" s="33"/>
      <c r="PA212" s="33"/>
      <c r="PB212" s="33"/>
      <c r="PC212" s="33"/>
      <c r="PD212" s="33"/>
      <c r="PE212" s="33"/>
      <c r="PF212" s="33"/>
      <c r="PG212" s="33"/>
      <c r="PH212" s="33"/>
      <c r="PI212" s="33"/>
      <c r="PJ212" s="33"/>
      <c r="PK212" s="33"/>
      <c r="PL212" s="33"/>
      <c r="PM212" s="33"/>
      <c r="PN212" s="33"/>
      <c r="PO212" s="33"/>
      <c r="PP212" s="33"/>
      <c r="PQ212" s="33"/>
      <c r="PR212" s="33"/>
      <c r="PS212" s="33"/>
      <c r="PT212" s="33"/>
      <c r="PU212" s="33"/>
      <c r="PV212" s="33"/>
      <c r="PW212" s="33"/>
      <c r="PX212" s="33"/>
      <c r="PY212" s="33"/>
      <c r="PZ212" s="33"/>
      <c r="QA212" s="33"/>
      <c r="QB212" s="33"/>
      <c r="QC212" s="33"/>
      <c r="QD212" s="33"/>
      <c r="QE212" s="33"/>
      <c r="QF212" s="33"/>
      <c r="QG212" s="33"/>
      <c r="QH212" s="33"/>
      <c r="QI212" s="33"/>
      <c r="QJ212" s="33"/>
      <c r="QK212" s="33"/>
      <c r="QL212" s="33"/>
      <c r="QM212" s="33"/>
      <c r="QN212" s="33"/>
      <c r="QO212" s="33"/>
      <c r="QP212" s="33"/>
      <c r="QQ212" s="33"/>
      <c r="QR212" s="33"/>
      <c r="QS212" s="33"/>
      <c r="QT212" s="33"/>
      <c r="QU212" s="33"/>
      <c r="QV212" s="33"/>
      <c r="QW212" s="33"/>
      <c r="QX212" s="33"/>
      <c r="QY212" s="33"/>
      <c r="QZ212" s="33"/>
      <c r="RA212" s="33"/>
      <c r="RB212" s="33"/>
      <c r="RC212" s="33"/>
      <c r="RD212" s="33"/>
      <c r="RE212" s="33"/>
      <c r="RF212" s="33"/>
      <c r="RG212" s="33"/>
      <c r="RH212" s="33"/>
      <c r="RI212" s="33"/>
      <c r="RJ212" s="33"/>
      <c r="RK212" s="33"/>
      <c r="RL212" s="33"/>
      <c r="RM212" s="33"/>
      <c r="RN212" s="33"/>
      <c r="RO212" s="33"/>
      <c r="RP212" s="33"/>
      <c r="RQ212" s="33"/>
      <c r="RR212" s="33"/>
      <c r="RS212" s="33"/>
      <c r="RT212" s="33"/>
      <c r="RU212" s="33"/>
      <c r="RV212" s="33"/>
      <c r="RW212" s="33"/>
      <c r="RX212" s="33"/>
      <c r="RY212" s="33"/>
      <c r="RZ212" s="33"/>
      <c r="SA212" s="33"/>
      <c r="SB212" s="33"/>
      <c r="SC212" s="33"/>
      <c r="SD212" s="33"/>
      <c r="SE212" s="33"/>
      <c r="SF212" s="33"/>
      <c r="SG212" s="33"/>
      <c r="SH212" s="33"/>
      <c r="SI212" s="33"/>
      <c r="SJ212" s="33"/>
      <c r="SK212" s="33"/>
      <c r="SL212" s="33"/>
      <c r="SM212" s="33"/>
      <c r="SN212" s="33"/>
      <c r="SO212" s="33"/>
      <c r="SP212" s="33"/>
      <c r="SQ212" s="33"/>
      <c r="SR212" s="33"/>
      <c r="SS212" s="33"/>
      <c r="ST212" s="33"/>
      <c r="SU212" s="33"/>
      <c r="SV212" s="33"/>
      <c r="SW212" s="33"/>
      <c r="SX212" s="33"/>
      <c r="SY212" s="33"/>
      <c r="SZ212" s="33"/>
      <c r="TA212" s="33"/>
      <c r="TB212" s="33"/>
      <c r="TC212" s="33"/>
      <c r="TD212" s="33"/>
      <c r="TE212" s="33"/>
    </row>
    <row r="213" spans="1:525" s="22" customFormat="1" ht="47.25" x14ac:dyDescent="0.25">
      <c r="A213" s="56" t="s">
        <v>187</v>
      </c>
      <c r="B213" s="84" t="str">
        <f>'дод 7'!A14</f>
        <v>0160</v>
      </c>
      <c r="C213" s="84" t="str">
        <f>'дод 7'!B14</f>
        <v>0111</v>
      </c>
      <c r="D213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213" s="135">
        <f t="shared" ref="E213:E218" si="85">F213+I213</f>
        <v>5613200</v>
      </c>
      <c r="F213" s="135">
        <f>6088900-475700</f>
        <v>5613200</v>
      </c>
      <c r="G213" s="135">
        <f>4758800-389900</f>
        <v>4368900</v>
      </c>
      <c r="H213" s="135">
        <v>93500</v>
      </c>
      <c r="I213" s="135"/>
      <c r="J213" s="135">
        <f>L213+O213</f>
        <v>0</v>
      </c>
      <c r="K213" s="135">
        <f>12000-12000</f>
        <v>0</v>
      </c>
      <c r="L213" s="135"/>
      <c r="M213" s="135"/>
      <c r="N213" s="135"/>
      <c r="O213" s="135">
        <f>12000-12000</f>
        <v>0</v>
      </c>
      <c r="P213" s="135">
        <f t="shared" ref="P213:P218" si="86">E213+J213</f>
        <v>5613200</v>
      </c>
      <c r="Q213" s="178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</row>
    <row r="214" spans="1:525" s="22" customFormat="1" ht="78" customHeight="1" x14ac:dyDescent="0.25">
      <c r="A214" s="56" t="s">
        <v>329</v>
      </c>
      <c r="B214" s="84">
        <v>3111</v>
      </c>
      <c r="C214" s="84">
        <v>1040</v>
      </c>
      <c r="D214" s="36" t="str">
        <f>'дод 7'!C116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14" s="135">
        <f t="shared" si="85"/>
        <v>227280</v>
      </c>
      <c r="F214" s="135">
        <v>227280</v>
      </c>
      <c r="G214" s="135"/>
      <c r="H214" s="135"/>
      <c r="I214" s="135"/>
      <c r="J214" s="135">
        <f t="shared" ref="J214:J218" si="87">L214+O214</f>
        <v>0</v>
      </c>
      <c r="K214" s="135">
        <f>21140-21140</f>
        <v>0</v>
      </c>
      <c r="L214" s="135"/>
      <c r="M214" s="135"/>
      <c r="N214" s="135"/>
      <c r="O214" s="135">
        <f>21140-21140</f>
        <v>0</v>
      </c>
      <c r="P214" s="135">
        <f t="shared" si="86"/>
        <v>227280</v>
      </c>
      <c r="Q214" s="178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</row>
    <row r="215" spans="1:525" s="22" customFormat="1" ht="31.5" customHeight="1" x14ac:dyDescent="0.25">
      <c r="A215" s="56" t="s">
        <v>188</v>
      </c>
      <c r="B215" s="84" t="str">
        <f>'дод 7'!A117</f>
        <v>3112</v>
      </c>
      <c r="C215" s="84" t="str">
        <f>'дод 7'!B117</f>
        <v>1040</v>
      </c>
      <c r="D215" s="57" t="str">
        <f>'дод 7'!C117</f>
        <v>Заходи державної політики з питань дітей та їх соціального захисту</v>
      </c>
      <c r="E215" s="135">
        <f t="shared" si="85"/>
        <v>195460</v>
      </c>
      <c r="F215" s="135">
        <f>101100+94360</f>
        <v>195460</v>
      </c>
      <c r="G215" s="135"/>
      <c r="H215" s="135"/>
      <c r="I215" s="135"/>
      <c r="J215" s="135">
        <f t="shared" si="87"/>
        <v>0</v>
      </c>
      <c r="K215" s="135"/>
      <c r="L215" s="135"/>
      <c r="M215" s="135"/>
      <c r="N215" s="135"/>
      <c r="O215" s="135"/>
      <c r="P215" s="135">
        <f t="shared" si="86"/>
        <v>195460</v>
      </c>
      <c r="Q215" s="178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</row>
    <row r="216" spans="1:525" s="22" customFormat="1" ht="31.5" hidden="1" customHeight="1" x14ac:dyDescent="0.25">
      <c r="A216" s="56" t="s">
        <v>584</v>
      </c>
      <c r="B216" s="84">
        <v>3242</v>
      </c>
      <c r="C216" s="37" t="s">
        <v>55</v>
      </c>
      <c r="D216" s="3" t="s">
        <v>406</v>
      </c>
      <c r="E216" s="135">
        <f t="shared" si="85"/>
        <v>0</v>
      </c>
      <c r="F216" s="135"/>
      <c r="G216" s="135"/>
      <c r="H216" s="135"/>
      <c r="I216" s="135"/>
      <c r="J216" s="135">
        <f t="shared" si="87"/>
        <v>0</v>
      </c>
      <c r="K216" s="135"/>
      <c r="L216" s="135"/>
      <c r="M216" s="135"/>
      <c r="N216" s="135"/>
      <c r="O216" s="135"/>
      <c r="P216" s="135">
        <f t="shared" si="86"/>
        <v>0</v>
      </c>
      <c r="Q216" s="178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</row>
    <row r="217" spans="1:525" s="22" customFormat="1" ht="94.5" hidden="1" customHeight="1" x14ac:dyDescent="0.25">
      <c r="A217" s="56" t="s">
        <v>427</v>
      </c>
      <c r="B217" s="84">
        <v>6083</v>
      </c>
      <c r="C217" s="56" t="s">
        <v>67</v>
      </c>
      <c r="D217" s="11" t="s">
        <v>428</v>
      </c>
      <c r="E217" s="135">
        <f t="shared" si="85"/>
        <v>0</v>
      </c>
      <c r="F217" s="135"/>
      <c r="G217" s="135"/>
      <c r="H217" s="135"/>
      <c r="I217" s="135"/>
      <c r="J217" s="135">
        <f t="shared" si="87"/>
        <v>0</v>
      </c>
      <c r="K217" s="135"/>
      <c r="L217" s="135"/>
      <c r="M217" s="135"/>
      <c r="N217" s="135"/>
      <c r="O217" s="135"/>
      <c r="P217" s="135">
        <f t="shared" si="86"/>
        <v>0</v>
      </c>
      <c r="Q217" s="178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</row>
    <row r="218" spans="1:525" s="24" customFormat="1" ht="138.75" hidden="1" customHeight="1" x14ac:dyDescent="0.25">
      <c r="A218" s="76"/>
      <c r="B218" s="97"/>
      <c r="C218" s="76"/>
      <c r="D218" s="82" t="s">
        <v>572</v>
      </c>
      <c r="E218" s="135">
        <f t="shared" si="85"/>
        <v>0</v>
      </c>
      <c r="F218" s="136"/>
      <c r="G218" s="136"/>
      <c r="H218" s="136"/>
      <c r="I218" s="136"/>
      <c r="J218" s="135">
        <f t="shared" si="87"/>
        <v>0</v>
      </c>
      <c r="K218" s="136"/>
      <c r="L218" s="136"/>
      <c r="M218" s="136"/>
      <c r="N218" s="136"/>
      <c r="O218" s="136"/>
      <c r="P218" s="135">
        <f t="shared" si="86"/>
        <v>0</v>
      </c>
      <c r="Q218" s="178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  <c r="IW218" s="30"/>
      <c r="IX218" s="30"/>
      <c r="IY218" s="30"/>
      <c r="IZ218" s="30"/>
      <c r="JA218" s="30"/>
      <c r="JB218" s="30"/>
      <c r="JC218" s="30"/>
      <c r="JD218" s="30"/>
      <c r="JE218" s="30"/>
      <c r="JF218" s="30"/>
      <c r="JG218" s="30"/>
      <c r="JH218" s="30"/>
      <c r="JI218" s="30"/>
      <c r="JJ218" s="30"/>
      <c r="JK218" s="30"/>
      <c r="JL218" s="30"/>
      <c r="JM218" s="30"/>
      <c r="JN218" s="30"/>
      <c r="JO218" s="30"/>
      <c r="JP218" s="30"/>
      <c r="JQ218" s="30"/>
      <c r="JR218" s="30"/>
      <c r="JS218" s="30"/>
      <c r="JT218" s="30"/>
      <c r="JU218" s="30"/>
      <c r="JV218" s="30"/>
      <c r="JW218" s="30"/>
      <c r="JX218" s="30"/>
      <c r="JY218" s="30"/>
      <c r="JZ218" s="30"/>
      <c r="KA218" s="30"/>
      <c r="KB218" s="30"/>
      <c r="KC218" s="30"/>
      <c r="KD218" s="30"/>
      <c r="KE218" s="30"/>
      <c r="KF218" s="30"/>
      <c r="KG218" s="30"/>
      <c r="KH218" s="30"/>
      <c r="KI218" s="30"/>
      <c r="KJ218" s="30"/>
      <c r="KK218" s="30"/>
      <c r="KL218" s="30"/>
      <c r="KM218" s="30"/>
      <c r="KN218" s="30"/>
      <c r="KO218" s="30"/>
      <c r="KP218" s="30"/>
      <c r="KQ218" s="30"/>
      <c r="KR218" s="30"/>
      <c r="KS218" s="30"/>
      <c r="KT218" s="30"/>
      <c r="KU218" s="30"/>
      <c r="KV218" s="30"/>
      <c r="KW218" s="30"/>
      <c r="KX218" s="30"/>
      <c r="KY218" s="30"/>
      <c r="KZ218" s="30"/>
      <c r="LA218" s="30"/>
      <c r="LB218" s="30"/>
      <c r="LC218" s="30"/>
      <c r="LD218" s="30"/>
      <c r="LE218" s="30"/>
      <c r="LF218" s="30"/>
      <c r="LG218" s="30"/>
      <c r="LH218" s="30"/>
      <c r="LI218" s="30"/>
      <c r="LJ218" s="30"/>
      <c r="LK218" s="30"/>
      <c r="LL218" s="30"/>
      <c r="LM218" s="30"/>
      <c r="LN218" s="30"/>
      <c r="LO218" s="30"/>
      <c r="LP218" s="30"/>
      <c r="LQ218" s="30"/>
      <c r="LR218" s="30"/>
      <c r="LS218" s="30"/>
      <c r="LT218" s="30"/>
      <c r="LU218" s="30"/>
      <c r="LV218" s="30"/>
      <c r="LW218" s="30"/>
      <c r="LX218" s="30"/>
      <c r="LY218" s="30"/>
      <c r="LZ218" s="30"/>
      <c r="MA218" s="30"/>
      <c r="MB218" s="30"/>
      <c r="MC218" s="30"/>
      <c r="MD218" s="30"/>
      <c r="ME218" s="30"/>
      <c r="MF218" s="30"/>
      <c r="MG218" s="30"/>
      <c r="MH218" s="30"/>
      <c r="MI218" s="30"/>
      <c r="MJ218" s="30"/>
      <c r="MK218" s="30"/>
      <c r="ML218" s="30"/>
      <c r="MM218" s="30"/>
      <c r="MN218" s="30"/>
      <c r="MO218" s="30"/>
      <c r="MP218" s="30"/>
      <c r="MQ218" s="30"/>
      <c r="MR218" s="30"/>
      <c r="MS218" s="30"/>
      <c r="MT218" s="30"/>
      <c r="MU218" s="30"/>
      <c r="MV218" s="30"/>
      <c r="MW218" s="30"/>
      <c r="MX218" s="30"/>
      <c r="MY218" s="30"/>
      <c r="MZ218" s="30"/>
      <c r="NA218" s="30"/>
      <c r="NB218" s="30"/>
      <c r="NC218" s="30"/>
      <c r="ND218" s="30"/>
      <c r="NE218" s="30"/>
      <c r="NF218" s="30"/>
      <c r="NG218" s="30"/>
      <c r="NH218" s="30"/>
      <c r="NI218" s="30"/>
      <c r="NJ218" s="30"/>
      <c r="NK218" s="30"/>
      <c r="NL218" s="30"/>
      <c r="NM218" s="30"/>
      <c r="NN218" s="30"/>
      <c r="NO218" s="30"/>
      <c r="NP218" s="30"/>
      <c r="NQ218" s="30"/>
      <c r="NR218" s="30"/>
      <c r="NS218" s="30"/>
      <c r="NT218" s="30"/>
      <c r="NU218" s="30"/>
      <c r="NV218" s="30"/>
      <c r="NW218" s="30"/>
      <c r="NX218" s="30"/>
      <c r="NY218" s="30"/>
      <c r="NZ218" s="30"/>
      <c r="OA218" s="30"/>
      <c r="OB218" s="30"/>
      <c r="OC218" s="30"/>
      <c r="OD218" s="30"/>
      <c r="OE218" s="30"/>
      <c r="OF218" s="30"/>
      <c r="OG218" s="30"/>
      <c r="OH218" s="30"/>
      <c r="OI218" s="30"/>
      <c r="OJ218" s="30"/>
      <c r="OK218" s="30"/>
      <c r="OL218" s="30"/>
      <c r="OM218" s="30"/>
      <c r="ON218" s="30"/>
      <c r="OO218" s="30"/>
      <c r="OP218" s="30"/>
      <c r="OQ218" s="30"/>
      <c r="OR218" s="30"/>
      <c r="OS218" s="30"/>
      <c r="OT218" s="30"/>
      <c r="OU218" s="30"/>
      <c r="OV218" s="30"/>
      <c r="OW218" s="30"/>
      <c r="OX218" s="30"/>
      <c r="OY218" s="30"/>
      <c r="OZ218" s="30"/>
      <c r="PA218" s="30"/>
      <c r="PB218" s="30"/>
      <c r="PC218" s="30"/>
      <c r="PD218" s="30"/>
      <c r="PE218" s="30"/>
      <c r="PF218" s="30"/>
      <c r="PG218" s="30"/>
      <c r="PH218" s="30"/>
      <c r="PI218" s="30"/>
      <c r="PJ218" s="30"/>
      <c r="PK218" s="30"/>
      <c r="PL218" s="30"/>
      <c r="PM218" s="30"/>
      <c r="PN218" s="30"/>
      <c r="PO218" s="30"/>
      <c r="PP218" s="30"/>
      <c r="PQ218" s="30"/>
      <c r="PR218" s="30"/>
      <c r="PS218" s="30"/>
      <c r="PT218" s="30"/>
      <c r="PU218" s="30"/>
      <c r="PV218" s="30"/>
      <c r="PW218" s="30"/>
      <c r="PX218" s="30"/>
      <c r="PY218" s="30"/>
      <c r="PZ218" s="30"/>
      <c r="QA218" s="30"/>
      <c r="QB218" s="30"/>
      <c r="QC218" s="30"/>
      <c r="QD218" s="30"/>
      <c r="QE218" s="30"/>
      <c r="QF218" s="30"/>
      <c r="QG218" s="30"/>
      <c r="QH218" s="30"/>
      <c r="QI218" s="30"/>
      <c r="QJ218" s="30"/>
      <c r="QK218" s="30"/>
      <c r="QL218" s="30"/>
      <c r="QM218" s="30"/>
      <c r="QN218" s="30"/>
      <c r="QO218" s="30"/>
      <c r="QP218" s="30"/>
      <c r="QQ218" s="30"/>
      <c r="QR218" s="30"/>
      <c r="QS218" s="30"/>
      <c r="QT218" s="30"/>
      <c r="QU218" s="30"/>
      <c r="QV218" s="30"/>
      <c r="QW218" s="30"/>
      <c r="QX218" s="30"/>
      <c r="QY218" s="30"/>
      <c r="QZ218" s="30"/>
      <c r="RA218" s="30"/>
      <c r="RB218" s="30"/>
      <c r="RC218" s="30"/>
      <c r="RD218" s="30"/>
      <c r="RE218" s="30"/>
      <c r="RF218" s="30"/>
      <c r="RG218" s="30"/>
      <c r="RH218" s="30"/>
      <c r="RI218" s="30"/>
      <c r="RJ218" s="30"/>
      <c r="RK218" s="30"/>
      <c r="RL218" s="30"/>
      <c r="RM218" s="30"/>
      <c r="RN218" s="30"/>
      <c r="RO218" s="30"/>
      <c r="RP218" s="30"/>
      <c r="RQ218" s="30"/>
      <c r="RR218" s="30"/>
      <c r="RS218" s="30"/>
      <c r="RT218" s="30"/>
      <c r="RU218" s="30"/>
      <c r="RV218" s="30"/>
      <c r="RW218" s="30"/>
      <c r="RX218" s="30"/>
      <c r="RY218" s="30"/>
      <c r="RZ218" s="30"/>
      <c r="SA218" s="30"/>
      <c r="SB218" s="30"/>
      <c r="SC218" s="30"/>
      <c r="SD218" s="30"/>
      <c r="SE218" s="30"/>
      <c r="SF218" s="30"/>
      <c r="SG218" s="30"/>
      <c r="SH218" s="30"/>
      <c r="SI218" s="30"/>
      <c r="SJ218" s="30"/>
      <c r="SK218" s="30"/>
      <c r="SL218" s="30"/>
      <c r="SM218" s="30"/>
      <c r="SN218" s="30"/>
      <c r="SO218" s="30"/>
      <c r="SP218" s="30"/>
      <c r="SQ218" s="30"/>
      <c r="SR218" s="30"/>
      <c r="SS218" s="30"/>
      <c r="ST218" s="30"/>
      <c r="SU218" s="30"/>
      <c r="SV218" s="30"/>
      <c r="SW218" s="30"/>
      <c r="SX218" s="30"/>
      <c r="SY218" s="30"/>
      <c r="SZ218" s="30"/>
      <c r="TA218" s="30"/>
      <c r="TB218" s="30"/>
      <c r="TC218" s="30"/>
      <c r="TD218" s="30"/>
      <c r="TE218" s="30"/>
    </row>
    <row r="219" spans="1:525" s="27" customFormat="1" ht="22.5" customHeight="1" x14ac:dyDescent="0.25">
      <c r="A219" s="96" t="s">
        <v>25</v>
      </c>
      <c r="B219" s="98"/>
      <c r="C219" s="98"/>
      <c r="D219" s="93" t="s">
        <v>330</v>
      </c>
      <c r="E219" s="133">
        <f>E220</f>
        <v>92036100</v>
      </c>
      <c r="F219" s="133">
        <f t="shared" ref="F219:J219" si="88">F220</f>
        <v>92036100</v>
      </c>
      <c r="G219" s="133">
        <f t="shared" si="88"/>
        <v>67371900</v>
      </c>
      <c r="H219" s="133">
        <f t="shared" si="88"/>
        <v>4516350</v>
      </c>
      <c r="I219" s="133">
        <f t="shared" si="88"/>
        <v>0</v>
      </c>
      <c r="J219" s="133">
        <f t="shared" si="88"/>
        <v>3663070</v>
      </c>
      <c r="K219" s="133">
        <f t="shared" ref="K219" si="89">K220</f>
        <v>750000</v>
      </c>
      <c r="L219" s="133">
        <f t="shared" ref="L219" si="90">L220</f>
        <v>2909940</v>
      </c>
      <c r="M219" s="133">
        <f t="shared" ref="M219" si="91">M220</f>
        <v>2360710</v>
      </c>
      <c r="N219" s="133">
        <f t="shared" ref="N219" si="92">N220</f>
        <v>3300</v>
      </c>
      <c r="O219" s="133">
        <f t="shared" ref="O219:P219" si="93">O220</f>
        <v>753130</v>
      </c>
      <c r="P219" s="133">
        <f t="shared" si="93"/>
        <v>95699170</v>
      </c>
      <c r="Q219" s="178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/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  <c r="GH219" s="32"/>
      <c r="GI219" s="32"/>
      <c r="GJ219" s="32"/>
      <c r="GK219" s="32"/>
      <c r="GL219" s="32"/>
      <c r="GM219" s="32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  <c r="HH219" s="32"/>
      <c r="HI219" s="32"/>
      <c r="HJ219" s="32"/>
      <c r="HK219" s="32"/>
      <c r="HL219" s="32"/>
      <c r="HM219" s="32"/>
      <c r="HN219" s="32"/>
      <c r="HO219" s="32"/>
      <c r="HP219" s="32"/>
      <c r="HQ219" s="32"/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32"/>
      <c r="IE219" s="32"/>
      <c r="IF219" s="32"/>
      <c r="IG219" s="32"/>
      <c r="IH219" s="32"/>
      <c r="II219" s="32"/>
      <c r="IJ219" s="32"/>
      <c r="IK219" s="32"/>
      <c r="IL219" s="32"/>
      <c r="IM219" s="32"/>
      <c r="IN219" s="32"/>
      <c r="IO219" s="32"/>
      <c r="IP219" s="32"/>
      <c r="IQ219" s="32"/>
      <c r="IR219" s="32"/>
      <c r="IS219" s="32"/>
      <c r="IT219" s="32"/>
      <c r="IU219" s="32"/>
      <c r="IV219" s="32"/>
      <c r="IW219" s="32"/>
      <c r="IX219" s="32"/>
      <c r="IY219" s="32"/>
      <c r="IZ219" s="32"/>
      <c r="JA219" s="32"/>
      <c r="JB219" s="32"/>
      <c r="JC219" s="32"/>
      <c r="JD219" s="32"/>
      <c r="JE219" s="32"/>
      <c r="JF219" s="32"/>
      <c r="JG219" s="32"/>
      <c r="JH219" s="32"/>
      <c r="JI219" s="32"/>
      <c r="JJ219" s="32"/>
      <c r="JK219" s="32"/>
      <c r="JL219" s="32"/>
      <c r="JM219" s="32"/>
      <c r="JN219" s="32"/>
      <c r="JO219" s="32"/>
      <c r="JP219" s="32"/>
      <c r="JQ219" s="32"/>
      <c r="JR219" s="32"/>
      <c r="JS219" s="32"/>
      <c r="JT219" s="32"/>
      <c r="JU219" s="32"/>
      <c r="JV219" s="32"/>
      <c r="JW219" s="32"/>
      <c r="JX219" s="32"/>
      <c r="JY219" s="32"/>
      <c r="JZ219" s="32"/>
      <c r="KA219" s="32"/>
      <c r="KB219" s="32"/>
      <c r="KC219" s="32"/>
      <c r="KD219" s="32"/>
      <c r="KE219" s="32"/>
      <c r="KF219" s="32"/>
      <c r="KG219" s="32"/>
      <c r="KH219" s="32"/>
      <c r="KI219" s="32"/>
      <c r="KJ219" s="32"/>
      <c r="KK219" s="32"/>
      <c r="KL219" s="32"/>
      <c r="KM219" s="32"/>
      <c r="KN219" s="32"/>
      <c r="KO219" s="32"/>
      <c r="KP219" s="32"/>
      <c r="KQ219" s="32"/>
      <c r="KR219" s="32"/>
      <c r="KS219" s="32"/>
      <c r="KT219" s="32"/>
      <c r="KU219" s="32"/>
      <c r="KV219" s="32"/>
      <c r="KW219" s="32"/>
      <c r="KX219" s="32"/>
      <c r="KY219" s="32"/>
      <c r="KZ219" s="32"/>
      <c r="LA219" s="32"/>
      <c r="LB219" s="32"/>
      <c r="LC219" s="32"/>
      <c r="LD219" s="32"/>
      <c r="LE219" s="32"/>
      <c r="LF219" s="32"/>
      <c r="LG219" s="32"/>
      <c r="LH219" s="32"/>
      <c r="LI219" s="32"/>
      <c r="LJ219" s="32"/>
      <c r="LK219" s="32"/>
      <c r="LL219" s="32"/>
      <c r="LM219" s="32"/>
      <c r="LN219" s="32"/>
      <c r="LO219" s="32"/>
      <c r="LP219" s="32"/>
      <c r="LQ219" s="32"/>
      <c r="LR219" s="32"/>
      <c r="LS219" s="32"/>
      <c r="LT219" s="32"/>
      <c r="LU219" s="32"/>
      <c r="LV219" s="32"/>
      <c r="LW219" s="32"/>
      <c r="LX219" s="32"/>
      <c r="LY219" s="32"/>
      <c r="LZ219" s="32"/>
      <c r="MA219" s="32"/>
      <c r="MB219" s="32"/>
      <c r="MC219" s="32"/>
      <c r="MD219" s="32"/>
      <c r="ME219" s="32"/>
      <c r="MF219" s="32"/>
      <c r="MG219" s="32"/>
      <c r="MH219" s="32"/>
      <c r="MI219" s="32"/>
      <c r="MJ219" s="32"/>
      <c r="MK219" s="32"/>
      <c r="ML219" s="32"/>
      <c r="MM219" s="32"/>
      <c r="MN219" s="32"/>
      <c r="MO219" s="32"/>
      <c r="MP219" s="32"/>
      <c r="MQ219" s="32"/>
      <c r="MR219" s="32"/>
      <c r="MS219" s="32"/>
      <c r="MT219" s="32"/>
      <c r="MU219" s="32"/>
      <c r="MV219" s="32"/>
      <c r="MW219" s="32"/>
      <c r="MX219" s="32"/>
      <c r="MY219" s="32"/>
      <c r="MZ219" s="32"/>
      <c r="NA219" s="32"/>
      <c r="NB219" s="32"/>
      <c r="NC219" s="32"/>
      <c r="ND219" s="32"/>
      <c r="NE219" s="32"/>
      <c r="NF219" s="32"/>
      <c r="NG219" s="32"/>
      <c r="NH219" s="32"/>
      <c r="NI219" s="32"/>
      <c r="NJ219" s="32"/>
      <c r="NK219" s="32"/>
      <c r="NL219" s="32"/>
      <c r="NM219" s="32"/>
      <c r="NN219" s="32"/>
      <c r="NO219" s="32"/>
      <c r="NP219" s="32"/>
      <c r="NQ219" s="32"/>
      <c r="NR219" s="32"/>
      <c r="NS219" s="32"/>
      <c r="NT219" s="32"/>
      <c r="NU219" s="32"/>
      <c r="NV219" s="32"/>
      <c r="NW219" s="32"/>
      <c r="NX219" s="32"/>
      <c r="NY219" s="32"/>
      <c r="NZ219" s="32"/>
      <c r="OA219" s="32"/>
      <c r="OB219" s="32"/>
      <c r="OC219" s="32"/>
      <c r="OD219" s="32"/>
      <c r="OE219" s="32"/>
      <c r="OF219" s="32"/>
      <c r="OG219" s="32"/>
      <c r="OH219" s="32"/>
      <c r="OI219" s="32"/>
      <c r="OJ219" s="32"/>
      <c r="OK219" s="32"/>
      <c r="OL219" s="32"/>
      <c r="OM219" s="32"/>
      <c r="ON219" s="32"/>
      <c r="OO219" s="32"/>
      <c r="OP219" s="32"/>
      <c r="OQ219" s="32"/>
      <c r="OR219" s="32"/>
      <c r="OS219" s="32"/>
      <c r="OT219" s="32"/>
      <c r="OU219" s="32"/>
      <c r="OV219" s="32"/>
      <c r="OW219" s="32"/>
      <c r="OX219" s="32"/>
      <c r="OY219" s="32"/>
      <c r="OZ219" s="32"/>
      <c r="PA219" s="32"/>
      <c r="PB219" s="32"/>
      <c r="PC219" s="32"/>
      <c r="PD219" s="32"/>
      <c r="PE219" s="32"/>
      <c r="PF219" s="32"/>
      <c r="PG219" s="32"/>
      <c r="PH219" s="32"/>
      <c r="PI219" s="32"/>
      <c r="PJ219" s="32"/>
      <c r="PK219" s="32"/>
      <c r="PL219" s="32"/>
      <c r="PM219" s="32"/>
      <c r="PN219" s="32"/>
      <c r="PO219" s="32"/>
      <c r="PP219" s="32"/>
      <c r="PQ219" s="32"/>
      <c r="PR219" s="32"/>
      <c r="PS219" s="32"/>
      <c r="PT219" s="32"/>
      <c r="PU219" s="32"/>
      <c r="PV219" s="32"/>
      <c r="PW219" s="32"/>
      <c r="PX219" s="32"/>
      <c r="PY219" s="32"/>
      <c r="PZ219" s="32"/>
      <c r="QA219" s="32"/>
      <c r="QB219" s="32"/>
      <c r="QC219" s="32"/>
      <c r="QD219" s="32"/>
      <c r="QE219" s="32"/>
      <c r="QF219" s="32"/>
      <c r="QG219" s="32"/>
      <c r="QH219" s="32"/>
      <c r="QI219" s="32"/>
      <c r="QJ219" s="32"/>
      <c r="QK219" s="32"/>
      <c r="QL219" s="32"/>
      <c r="QM219" s="32"/>
      <c r="QN219" s="32"/>
      <c r="QO219" s="32"/>
      <c r="QP219" s="32"/>
      <c r="QQ219" s="32"/>
      <c r="QR219" s="32"/>
      <c r="QS219" s="32"/>
      <c r="QT219" s="32"/>
      <c r="QU219" s="32"/>
      <c r="QV219" s="32"/>
      <c r="QW219" s="32"/>
      <c r="QX219" s="32"/>
      <c r="QY219" s="32"/>
      <c r="QZ219" s="32"/>
      <c r="RA219" s="32"/>
      <c r="RB219" s="32"/>
      <c r="RC219" s="32"/>
      <c r="RD219" s="32"/>
      <c r="RE219" s="32"/>
      <c r="RF219" s="32"/>
      <c r="RG219" s="32"/>
      <c r="RH219" s="32"/>
      <c r="RI219" s="32"/>
      <c r="RJ219" s="32"/>
      <c r="RK219" s="32"/>
      <c r="RL219" s="32"/>
      <c r="RM219" s="32"/>
      <c r="RN219" s="32"/>
      <c r="RO219" s="32"/>
      <c r="RP219" s="32"/>
      <c r="RQ219" s="32"/>
      <c r="RR219" s="32"/>
      <c r="RS219" s="32"/>
      <c r="RT219" s="32"/>
      <c r="RU219" s="32"/>
      <c r="RV219" s="32"/>
      <c r="RW219" s="32"/>
      <c r="RX219" s="32"/>
      <c r="RY219" s="32"/>
      <c r="RZ219" s="32"/>
      <c r="SA219" s="32"/>
      <c r="SB219" s="32"/>
      <c r="SC219" s="32"/>
      <c r="SD219" s="32"/>
      <c r="SE219" s="32"/>
      <c r="SF219" s="32"/>
      <c r="SG219" s="32"/>
      <c r="SH219" s="32"/>
      <c r="SI219" s="32"/>
      <c r="SJ219" s="32"/>
      <c r="SK219" s="32"/>
      <c r="SL219" s="32"/>
      <c r="SM219" s="32"/>
      <c r="SN219" s="32"/>
      <c r="SO219" s="32"/>
      <c r="SP219" s="32"/>
      <c r="SQ219" s="32"/>
      <c r="SR219" s="32"/>
      <c r="SS219" s="32"/>
      <c r="ST219" s="32"/>
      <c r="SU219" s="32"/>
      <c r="SV219" s="32"/>
      <c r="SW219" s="32"/>
      <c r="SX219" s="32"/>
      <c r="SY219" s="32"/>
      <c r="SZ219" s="32"/>
      <c r="TA219" s="32"/>
      <c r="TB219" s="32"/>
      <c r="TC219" s="32"/>
      <c r="TD219" s="32"/>
      <c r="TE219" s="32"/>
    </row>
    <row r="220" spans="1:525" s="34" customFormat="1" ht="21.75" customHeight="1" x14ac:dyDescent="0.25">
      <c r="A220" s="86" t="s">
        <v>189</v>
      </c>
      <c r="B220" s="95"/>
      <c r="C220" s="95"/>
      <c r="D220" s="70" t="s">
        <v>330</v>
      </c>
      <c r="E220" s="134">
        <f>E221+E222+E223+E225+E226++E228+E224+E227+E229</f>
        <v>92036100</v>
      </c>
      <c r="F220" s="134">
        <f t="shared" ref="F220:P220" si="94">F221+F222+F223+F225+F226++F228+F224+F227+F229</f>
        <v>92036100</v>
      </c>
      <c r="G220" s="134">
        <f t="shared" si="94"/>
        <v>67371900</v>
      </c>
      <c r="H220" s="134">
        <f t="shared" si="94"/>
        <v>4516350</v>
      </c>
      <c r="I220" s="134">
        <f t="shared" si="94"/>
        <v>0</v>
      </c>
      <c r="J220" s="134">
        <f t="shared" si="94"/>
        <v>3663070</v>
      </c>
      <c r="K220" s="134">
        <f t="shared" si="94"/>
        <v>750000</v>
      </c>
      <c r="L220" s="134">
        <f t="shared" si="94"/>
        <v>2909940</v>
      </c>
      <c r="M220" s="134">
        <f t="shared" si="94"/>
        <v>2360710</v>
      </c>
      <c r="N220" s="134">
        <f t="shared" si="94"/>
        <v>3300</v>
      </c>
      <c r="O220" s="134">
        <f t="shared" si="94"/>
        <v>753130</v>
      </c>
      <c r="P220" s="134">
        <f t="shared" si="94"/>
        <v>95699170</v>
      </c>
      <c r="Q220" s="178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  <c r="IU220" s="33"/>
      <c r="IV220" s="33"/>
      <c r="IW220" s="33"/>
      <c r="IX220" s="33"/>
      <c r="IY220" s="33"/>
      <c r="IZ220" s="33"/>
      <c r="JA220" s="33"/>
      <c r="JB220" s="33"/>
      <c r="JC220" s="33"/>
      <c r="JD220" s="33"/>
      <c r="JE220" s="33"/>
      <c r="JF220" s="33"/>
      <c r="JG220" s="33"/>
      <c r="JH220" s="33"/>
      <c r="JI220" s="33"/>
      <c r="JJ220" s="33"/>
      <c r="JK220" s="33"/>
      <c r="JL220" s="33"/>
      <c r="JM220" s="33"/>
      <c r="JN220" s="33"/>
      <c r="JO220" s="33"/>
      <c r="JP220" s="33"/>
      <c r="JQ220" s="33"/>
      <c r="JR220" s="33"/>
      <c r="JS220" s="33"/>
      <c r="JT220" s="33"/>
      <c r="JU220" s="33"/>
      <c r="JV220" s="33"/>
      <c r="JW220" s="33"/>
      <c r="JX220" s="33"/>
      <c r="JY220" s="33"/>
      <c r="JZ220" s="33"/>
      <c r="KA220" s="33"/>
      <c r="KB220" s="33"/>
      <c r="KC220" s="33"/>
      <c r="KD220" s="33"/>
      <c r="KE220" s="33"/>
      <c r="KF220" s="33"/>
      <c r="KG220" s="33"/>
      <c r="KH220" s="33"/>
      <c r="KI220" s="33"/>
      <c r="KJ220" s="33"/>
      <c r="KK220" s="33"/>
      <c r="KL220" s="33"/>
      <c r="KM220" s="33"/>
      <c r="KN220" s="33"/>
      <c r="KO220" s="33"/>
      <c r="KP220" s="33"/>
      <c r="KQ220" s="33"/>
      <c r="KR220" s="33"/>
      <c r="KS220" s="33"/>
      <c r="KT220" s="33"/>
      <c r="KU220" s="33"/>
      <c r="KV220" s="33"/>
      <c r="KW220" s="33"/>
      <c r="KX220" s="33"/>
      <c r="KY220" s="33"/>
      <c r="KZ220" s="33"/>
      <c r="LA220" s="33"/>
      <c r="LB220" s="33"/>
      <c r="LC220" s="33"/>
      <c r="LD220" s="33"/>
      <c r="LE220" s="33"/>
      <c r="LF220" s="33"/>
      <c r="LG220" s="33"/>
      <c r="LH220" s="33"/>
      <c r="LI220" s="33"/>
      <c r="LJ220" s="33"/>
      <c r="LK220" s="33"/>
      <c r="LL220" s="33"/>
      <c r="LM220" s="33"/>
      <c r="LN220" s="33"/>
      <c r="LO220" s="33"/>
      <c r="LP220" s="33"/>
      <c r="LQ220" s="33"/>
      <c r="LR220" s="33"/>
      <c r="LS220" s="33"/>
      <c r="LT220" s="33"/>
      <c r="LU220" s="33"/>
      <c r="LV220" s="33"/>
      <c r="LW220" s="33"/>
      <c r="LX220" s="33"/>
      <c r="LY220" s="33"/>
      <c r="LZ220" s="33"/>
      <c r="MA220" s="33"/>
      <c r="MB220" s="33"/>
      <c r="MC220" s="33"/>
      <c r="MD220" s="33"/>
      <c r="ME220" s="33"/>
      <c r="MF220" s="33"/>
      <c r="MG220" s="33"/>
      <c r="MH220" s="33"/>
      <c r="MI220" s="33"/>
      <c r="MJ220" s="33"/>
      <c r="MK220" s="33"/>
      <c r="ML220" s="33"/>
      <c r="MM220" s="33"/>
      <c r="MN220" s="33"/>
      <c r="MO220" s="33"/>
      <c r="MP220" s="33"/>
      <c r="MQ220" s="33"/>
      <c r="MR220" s="33"/>
      <c r="MS220" s="33"/>
      <c r="MT220" s="33"/>
      <c r="MU220" s="33"/>
      <c r="MV220" s="33"/>
      <c r="MW220" s="33"/>
      <c r="MX220" s="33"/>
      <c r="MY220" s="33"/>
      <c r="MZ220" s="33"/>
      <c r="NA220" s="33"/>
      <c r="NB220" s="33"/>
      <c r="NC220" s="33"/>
      <c r="ND220" s="33"/>
      <c r="NE220" s="33"/>
      <c r="NF220" s="33"/>
      <c r="NG220" s="33"/>
      <c r="NH220" s="33"/>
      <c r="NI220" s="33"/>
      <c r="NJ220" s="33"/>
      <c r="NK220" s="33"/>
      <c r="NL220" s="33"/>
      <c r="NM220" s="33"/>
      <c r="NN220" s="33"/>
      <c r="NO220" s="33"/>
      <c r="NP220" s="33"/>
      <c r="NQ220" s="33"/>
      <c r="NR220" s="33"/>
      <c r="NS220" s="33"/>
      <c r="NT220" s="33"/>
      <c r="NU220" s="33"/>
      <c r="NV220" s="33"/>
      <c r="NW220" s="33"/>
      <c r="NX220" s="33"/>
      <c r="NY220" s="33"/>
      <c r="NZ220" s="33"/>
      <c r="OA220" s="33"/>
      <c r="OB220" s="33"/>
      <c r="OC220" s="33"/>
      <c r="OD220" s="33"/>
      <c r="OE220" s="33"/>
      <c r="OF220" s="33"/>
      <c r="OG220" s="33"/>
      <c r="OH220" s="33"/>
      <c r="OI220" s="33"/>
      <c r="OJ220" s="33"/>
      <c r="OK220" s="33"/>
      <c r="OL220" s="33"/>
      <c r="OM220" s="33"/>
      <c r="ON220" s="33"/>
      <c r="OO220" s="33"/>
      <c r="OP220" s="33"/>
      <c r="OQ220" s="33"/>
      <c r="OR220" s="33"/>
      <c r="OS220" s="33"/>
      <c r="OT220" s="33"/>
      <c r="OU220" s="33"/>
      <c r="OV220" s="33"/>
      <c r="OW220" s="33"/>
      <c r="OX220" s="33"/>
      <c r="OY220" s="33"/>
      <c r="OZ220" s="33"/>
      <c r="PA220" s="33"/>
      <c r="PB220" s="33"/>
      <c r="PC220" s="33"/>
      <c r="PD220" s="33"/>
      <c r="PE220" s="33"/>
      <c r="PF220" s="33"/>
      <c r="PG220" s="33"/>
      <c r="PH220" s="33"/>
      <c r="PI220" s="33"/>
      <c r="PJ220" s="33"/>
      <c r="PK220" s="33"/>
      <c r="PL220" s="33"/>
      <c r="PM220" s="33"/>
      <c r="PN220" s="33"/>
      <c r="PO220" s="33"/>
      <c r="PP220" s="33"/>
      <c r="PQ220" s="33"/>
      <c r="PR220" s="33"/>
      <c r="PS220" s="33"/>
      <c r="PT220" s="33"/>
      <c r="PU220" s="33"/>
      <c r="PV220" s="33"/>
      <c r="PW220" s="33"/>
      <c r="PX220" s="33"/>
      <c r="PY220" s="33"/>
      <c r="PZ220" s="33"/>
      <c r="QA220" s="33"/>
      <c r="QB220" s="33"/>
      <c r="QC220" s="33"/>
      <c r="QD220" s="33"/>
      <c r="QE220" s="33"/>
      <c r="QF220" s="33"/>
      <c r="QG220" s="33"/>
      <c r="QH220" s="33"/>
      <c r="QI220" s="33"/>
      <c r="QJ220" s="33"/>
      <c r="QK220" s="33"/>
      <c r="QL220" s="33"/>
      <c r="QM220" s="33"/>
      <c r="QN220" s="33"/>
      <c r="QO220" s="33"/>
      <c r="QP220" s="33"/>
      <c r="QQ220" s="33"/>
      <c r="QR220" s="33"/>
      <c r="QS220" s="33"/>
      <c r="QT220" s="33"/>
      <c r="QU220" s="33"/>
      <c r="QV220" s="33"/>
      <c r="QW220" s="33"/>
      <c r="QX220" s="33"/>
      <c r="QY220" s="33"/>
      <c r="QZ220" s="33"/>
      <c r="RA220" s="33"/>
      <c r="RB220" s="33"/>
      <c r="RC220" s="33"/>
      <c r="RD220" s="33"/>
      <c r="RE220" s="33"/>
      <c r="RF220" s="33"/>
      <c r="RG220" s="33"/>
      <c r="RH220" s="33"/>
      <c r="RI220" s="33"/>
      <c r="RJ220" s="33"/>
      <c r="RK220" s="33"/>
      <c r="RL220" s="33"/>
      <c r="RM220" s="33"/>
      <c r="RN220" s="33"/>
      <c r="RO220" s="33"/>
      <c r="RP220" s="33"/>
      <c r="RQ220" s="33"/>
      <c r="RR220" s="33"/>
      <c r="RS220" s="33"/>
      <c r="RT220" s="33"/>
      <c r="RU220" s="33"/>
      <c r="RV220" s="33"/>
      <c r="RW220" s="33"/>
      <c r="RX220" s="33"/>
      <c r="RY220" s="33"/>
      <c r="RZ220" s="33"/>
      <c r="SA220" s="33"/>
      <c r="SB220" s="33"/>
      <c r="SC220" s="33"/>
      <c r="SD220" s="33"/>
      <c r="SE220" s="33"/>
      <c r="SF220" s="33"/>
      <c r="SG220" s="33"/>
      <c r="SH220" s="33"/>
      <c r="SI220" s="33"/>
      <c r="SJ220" s="33"/>
      <c r="SK220" s="33"/>
      <c r="SL220" s="33"/>
      <c r="SM220" s="33"/>
      <c r="SN220" s="33"/>
      <c r="SO220" s="33"/>
      <c r="SP220" s="33"/>
      <c r="SQ220" s="33"/>
      <c r="SR220" s="33"/>
      <c r="SS220" s="33"/>
      <c r="ST220" s="33"/>
      <c r="SU220" s="33"/>
      <c r="SV220" s="33"/>
      <c r="SW220" s="33"/>
      <c r="SX220" s="33"/>
      <c r="SY220" s="33"/>
      <c r="SZ220" s="33"/>
      <c r="TA220" s="33"/>
      <c r="TB220" s="33"/>
      <c r="TC220" s="33"/>
      <c r="TD220" s="33"/>
      <c r="TE220" s="33"/>
    </row>
    <row r="221" spans="1:525" s="22" customFormat="1" ht="47.25" x14ac:dyDescent="0.25">
      <c r="A221" s="56" t="s">
        <v>136</v>
      </c>
      <c r="B221" s="84" t="str">
        <f>'дод 7'!A14</f>
        <v>0160</v>
      </c>
      <c r="C221" s="84" t="str">
        <f>'дод 7'!B14</f>
        <v>0111</v>
      </c>
      <c r="D221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221" s="135">
        <f t="shared" ref="E221:E229" si="95">F221+I221</f>
        <v>2106700</v>
      </c>
      <c r="F221" s="135">
        <f>2254900-148200</f>
        <v>2106700</v>
      </c>
      <c r="G221" s="135">
        <f>1735600-121500</f>
        <v>1614100</v>
      </c>
      <c r="H221" s="135">
        <v>43400</v>
      </c>
      <c r="I221" s="135"/>
      <c r="J221" s="135">
        <f>L221+O221</f>
        <v>0</v>
      </c>
      <c r="K221" s="135"/>
      <c r="L221" s="135"/>
      <c r="M221" s="135"/>
      <c r="N221" s="135"/>
      <c r="O221" s="135"/>
      <c r="P221" s="135">
        <f t="shared" ref="P221:P229" si="96">E221+J221</f>
        <v>2106700</v>
      </c>
      <c r="Q221" s="178">
        <v>19</v>
      </c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</row>
    <row r="222" spans="1:525" s="22" customFormat="1" ht="33" customHeight="1" x14ac:dyDescent="0.25">
      <c r="A222" s="56" t="s">
        <v>491</v>
      </c>
      <c r="B222" s="84">
        <v>1080</v>
      </c>
      <c r="C222" s="56" t="s">
        <v>56</v>
      </c>
      <c r="D222" s="57" t="str">
        <f>'дод 7'!C56</f>
        <v>Надання спеціалізованої освіти мистецькими школами</v>
      </c>
      <c r="E222" s="135">
        <f t="shared" si="95"/>
        <v>55584500</v>
      </c>
      <c r="F222" s="135">
        <f>55504500+80000</f>
        <v>55584500</v>
      </c>
      <c r="G222" s="135">
        <v>43494200</v>
      </c>
      <c r="H222" s="135">
        <v>1592300</v>
      </c>
      <c r="I222" s="135"/>
      <c r="J222" s="135">
        <f t="shared" ref="J222:J229" si="97">L222+O222</f>
        <v>3174570</v>
      </c>
      <c r="K222" s="135">
        <v>300000</v>
      </c>
      <c r="L222" s="135">
        <v>2871440</v>
      </c>
      <c r="M222" s="135">
        <v>2346150</v>
      </c>
      <c r="N222" s="135"/>
      <c r="O222" s="135">
        <f>300000+3130</f>
        <v>303130</v>
      </c>
      <c r="P222" s="135">
        <f t="shared" si="96"/>
        <v>58759070</v>
      </c>
      <c r="Q222" s="178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</row>
    <row r="223" spans="1:525" s="22" customFormat="1" ht="21" customHeight="1" x14ac:dyDescent="0.25">
      <c r="A223" s="56" t="s">
        <v>190</v>
      </c>
      <c r="B223" s="84" t="str">
        <f>'дод 7'!A142</f>
        <v>4030</v>
      </c>
      <c r="C223" s="84" t="str">
        <f>'дод 7'!B142</f>
        <v>0824</v>
      </c>
      <c r="D223" s="57" t="str">
        <f>'дод 7'!C142</f>
        <v>Забезпечення діяльності бібліотек</v>
      </c>
      <c r="E223" s="135">
        <f t="shared" si="95"/>
        <v>25433800</v>
      </c>
      <c r="F223" s="135">
        <v>25433800</v>
      </c>
      <c r="G223" s="135">
        <v>17662700</v>
      </c>
      <c r="H223" s="135">
        <v>2568100</v>
      </c>
      <c r="I223" s="135"/>
      <c r="J223" s="135">
        <f t="shared" si="97"/>
        <v>28000</v>
      </c>
      <c r="K223" s="135">
        <f>400000-400000</f>
        <v>0</v>
      </c>
      <c r="L223" s="135">
        <v>28000</v>
      </c>
      <c r="M223" s="135">
        <v>14560</v>
      </c>
      <c r="N223" s="135"/>
      <c r="O223" s="135">
        <f>400000-400000</f>
        <v>0</v>
      </c>
      <c r="P223" s="135">
        <f t="shared" si="96"/>
        <v>25461800</v>
      </c>
      <c r="Q223" s="178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</row>
    <row r="224" spans="1:525" s="22" customFormat="1" ht="48.75" customHeight="1" x14ac:dyDescent="0.25">
      <c r="A224" s="56">
        <v>1014060</v>
      </c>
      <c r="B224" s="84" t="str">
        <f>'дод 7'!A143</f>
        <v>4060</v>
      </c>
      <c r="C224" s="84" t="str">
        <f>'дод 7'!B143</f>
        <v>0828</v>
      </c>
      <c r="D224" s="57" t="str">
        <f>'дод 7'!C143</f>
        <v>Забезпечення діяльності палаців i будинків культури, клубів, центрів дозвілля та iнших клубних закладів</v>
      </c>
      <c r="E224" s="135">
        <f t="shared" si="95"/>
        <v>3820600</v>
      </c>
      <c r="F224" s="135">
        <v>3820600</v>
      </c>
      <c r="G224" s="135">
        <v>2669200</v>
      </c>
      <c r="H224" s="135">
        <v>247850</v>
      </c>
      <c r="I224" s="135"/>
      <c r="J224" s="135">
        <f t="shared" si="97"/>
        <v>456000</v>
      </c>
      <c r="K224" s="135">
        <f>1650000+50000-1250000</f>
        <v>450000</v>
      </c>
      <c r="L224" s="135">
        <v>6000</v>
      </c>
      <c r="M224" s="135"/>
      <c r="N224" s="135">
        <v>3300</v>
      </c>
      <c r="O224" s="135">
        <f>1650000+50000-1250000</f>
        <v>450000</v>
      </c>
      <c r="P224" s="135">
        <f t="shared" si="96"/>
        <v>4276600</v>
      </c>
      <c r="Q224" s="178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</row>
    <row r="225" spans="1:525" s="24" customFormat="1" ht="33.75" customHeight="1" x14ac:dyDescent="0.25">
      <c r="A225" s="56">
        <v>1014081</v>
      </c>
      <c r="B225" s="84" t="str">
        <f>'дод 7'!A144</f>
        <v>4081</v>
      </c>
      <c r="C225" s="84" t="str">
        <f>'дод 7'!B144</f>
        <v>0829</v>
      </c>
      <c r="D225" s="57" t="str">
        <f>'дод 7'!C144</f>
        <v>Забезпечення діяльності інших закладів в галузі культури і мистецтва</v>
      </c>
      <c r="E225" s="135">
        <f t="shared" si="95"/>
        <v>2570500</v>
      </c>
      <c r="F225" s="135">
        <v>2570500</v>
      </c>
      <c r="G225" s="135">
        <v>1931700</v>
      </c>
      <c r="H225" s="135">
        <v>64700</v>
      </c>
      <c r="I225" s="135"/>
      <c r="J225" s="135">
        <f t="shared" si="97"/>
        <v>0</v>
      </c>
      <c r="K225" s="135"/>
      <c r="L225" s="135"/>
      <c r="M225" s="135"/>
      <c r="N225" s="135"/>
      <c r="O225" s="135"/>
      <c r="P225" s="135">
        <f t="shared" si="96"/>
        <v>2570500</v>
      </c>
      <c r="Q225" s="178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/>
      <c r="MA225" s="30"/>
      <c r="MB225" s="30"/>
      <c r="MC225" s="30"/>
      <c r="MD225" s="30"/>
      <c r="ME225" s="30"/>
      <c r="MF225" s="30"/>
      <c r="MG225" s="30"/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30"/>
      <c r="MW225" s="30"/>
      <c r="MX225" s="30"/>
      <c r="MY225" s="30"/>
      <c r="MZ225" s="30"/>
      <c r="NA225" s="30"/>
      <c r="NB225" s="30"/>
      <c r="NC225" s="30"/>
      <c r="ND225" s="30"/>
      <c r="NE225" s="30"/>
      <c r="NF225" s="30"/>
      <c r="NG225" s="30"/>
      <c r="NH225" s="30"/>
      <c r="NI225" s="30"/>
      <c r="NJ225" s="30"/>
      <c r="NK225" s="30"/>
      <c r="NL225" s="30"/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30"/>
      <c r="NY225" s="30"/>
      <c r="NZ225" s="30"/>
      <c r="OA225" s="30"/>
      <c r="OB225" s="30"/>
      <c r="OC225" s="30"/>
      <c r="OD225" s="30"/>
      <c r="OE225" s="30"/>
      <c r="OF225" s="30"/>
      <c r="OG225" s="30"/>
      <c r="OH225" s="30"/>
      <c r="OI225" s="30"/>
      <c r="OJ225" s="30"/>
      <c r="OK225" s="30"/>
      <c r="OL225" s="30"/>
      <c r="OM225" s="30"/>
      <c r="ON225" s="30"/>
      <c r="OO225" s="30"/>
      <c r="OP225" s="30"/>
      <c r="OQ225" s="30"/>
      <c r="OR225" s="30"/>
      <c r="OS225" s="30"/>
      <c r="OT225" s="30"/>
      <c r="OU225" s="30"/>
      <c r="OV225" s="30"/>
      <c r="OW225" s="30"/>
      <c r="OX225" s="30"/>
      <c r="OY225" s="30"/>
      <c r="OZ225" s="30"/>
      <c r="PA225" s="30"/>
      <c r="PB225" s="30"/>
      <c r="PC225" s="30"/>
      <c r="PD225" s="30"/>
      <c r="PE225" s="30"/>
      <c r="PF225" s="30"/>
      <c r="PG225" s="30"/>
      <c r="PH225" s="30"/>
      <c r="PI225" s="30"/>
      <c r="PJ225" s="30"/>
      <c r="PK225" s="30"/>
      <c r="PL225" s="30"/>
      <c r="PM225" s="30"/>
      <c r="PN225" s="30"/>
      <c r="PO225" s="30"/>
      <c r="PP225" s="30"/>
      <c r="PQ225" s="30"/>
      <c r="PR225" s="30"/>
      <c r="PS225" s="30"/>
      <c r="PT225" s="30"/>
      <c r="PU225" s="30"/>
      <c r="PV225" s="30"/>
      <c r="PW225" s="30"/>
      <c r="PX225" s="30"/>
      <c r="PY225" s="30"/>
      <c r="PZ225" s="30"/>
      <c r="QA225" s="30"/>
      <c r="QB225" s="30"/>
      <c r="QC225" s="30"/>
      <c r="QD225" s="30"/>
      <c r="QE225" s="30"/>
      <c r="QF225" s="30"/>
      <c r="QG225" s="30"/>
      <c r="QH225" s="30"/>
      <c r="QI225" s="30"/>
      <c r="QJ225" s="30"/>
      <c r="QK225" s="30"/>
      <c r="QL225" s="30"/>
      <c r="QM225" s="30"/>
      <c r="QN225" s="30"/>
      <c r="QO225" s="30"/>
      <c r="QP225" s="30"/>
      <c r="QQ225" s="30"/>
      <c r="QR225" s="30"/>
      <c r="QS225" s="30"/>
      <c r="QT225" s="30"/>
      <c r="QU225" s="30"/>
      <c r="QV225" s="30"/>
      <c r="QW225" s="30"/>
      <c r="QX225" s="30"/>
      <c r="QY225" s="30"/>
      <c r="QZ225" s="30"/>
      <c r="RA225" s="30"/>
      <c r="RB225" s="30"/>
      <c r="RC225" s="30"/>
      <c r="RD225" s="30"/>
      <c r="RE225" s="30"/>
      <c r="RF225" s="30"/>
      <c r="RG225" s="30"/>
      <c r="RH225" s="30"/>
      <c r="RI225" s="30"/>
      <c r="RJ225" s="30"/>
      <c r="RK225" s="30"/>
      <c r="RL225" s="30"/>
      <c r="RM225" s="30"/>
      <c r="RN225" s="30"/>
      <c r="RO225" s="30"/>
      <c r="RP225" s="30"/>
      <c r="RQ225" s="30"/>
      <c r="RR225" s="30"/>
      <c r="RS225" s="30"/>
      <c r="RT225" s="30"/>
      <c r="RU225" s="30"/>
      <c r="RV225" s="30"/>
      <c r="RW225" s="30"/>
      <c r="RX225" s="30"/>
      <c r="RY225" s="30"/>
      <c r="RZ225" s="30"/>
      <c r="SA225" s="30"/>
      <c r="SB225" s="30"/>
      <c r="SC225" s="30"/>
      <c r="SD225" s="30"/>
      <c r="SE225" s="30"/>
      <c r="SF225" s="30"/>
      <c r="SG225" s="30"/>
      <c r="SH225" s="30"/>
      <c r="SI225" s="30"/>
      <c r="SJ225" s="30"/>
      <c r="SK225" s="30"/>
      <c r="SL225" s="30"/>
      <c r="SM225" s="30"/>
      <c r="SN225" s="30"/>
      <c r="SO225" s="30"/>
      <c r="SP225" s="30"/>
      <c r="SQ225" s="30"/>
      <c r="SR225" s="30"/>
      <c r="SS225" s="30"/>
      <c r="ST225" s="30"/>
      <c r="SU225" s="30"/>
      <c r="SV225" s="30"/>
      <c r="SW225" s="30"/>
      <c r="SX225" s="30"/>
      <c r="SY225" s="30"/>
      <c r="SZ225" s="30"/>
      <c r="TA225" s="30"/>
      <c r="TB225" s="30"/>
      <c r="TC225" s="30"/>
      <c r="TD225" s="30"/>
      <c r="TE225" s="30"/>
    </row>
    <row r="226" spans="1:525" s="24" customFormat="1" ht="25.5" customHeight="1" x14ac:dyDescent="0.25">
      <c r="A226" s="56">
        <v>1014082</v>
      </c>
      <c r="B226" s="84" t="str">
        <f>'дод 7'!A145</f>
        <v>4082</v>
      </c>
      <c r="C226" s="84" t="str">
        <f>'дод 7'!B145</f>
        <v>0829</v>
      </c>
      <c r="D226" s="57" t="str">
        <f>'дод 7'!C145</f>
        <v>Інші заходи в галузі культури і мистецтва</v>
      </c>
      <c r="E226" s="135">
        <f t="shared" si="95"/>
        <v>2520000</v>
      </c>
      <c r="F226" s="135">
        <f>2450000+70000</f>
        <v>2520000</v>
      </c>
      <c r="G226" s="135"/>
      <c r="H226" s="135"/>
      <c r="I226" s="135"/>
      <c r="J226" s="135">
        <f t="shared" si="97"/>
        <v>0</v>
      </c>
      <c r="K226" s="135"/>
      <c r="L226" s="135"/>
      <c r="M226" s="135"/>
      <c r="N226" s="135"/>
      <c r="O226" s="135"/>
      <c r="P226" s="135">
        <f t="shared" si="96"/>
        <v>2520000</v>
      </c>
      <c r="Q226" s="178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  <c r="LU226" s="30"/>
      <c r="LV226" s="30"/>
      <c r="LW226" s="30"/>
      <c r="LX226" s="30"/>
      <c r="LY226" s="30"/>
      <c r="LZ226" s="30"/>
      <c r="MA226" s="30"/>
      <c r="MB226" s="30"/>
      <c r="MC226" s="30"/>
      <c r="MD226" s="30"/>
      <c r="ME226" s="30"/>
      <c r="MF226" s="30"/>
      <c r="MG226" s="30"/>
      <c r="MH226" s="30"/>
      <c r="MI226" s="30"/>
      <c r="MJ226" s="30"/>
      <c r="MK226" s="30"/>
      <c r="ML226" s="30"/>
      <c r="MM226" s="30"/>
      <c r="MN226" s="30"/>
      <c r="MO226" s="30"/>
      <c r="MP226" s="30"/>
      <c r="MQ226" s="30"/>
      <c r="MR226" s="30"/>
      <c r="MS226" s="30"/>
      <c r="MT226" s="30"/>
      <c r="MU226" s="30"/>
      <c r="MV226" s="30"/>
      <c r="MW226" s="30"/>
      <c r="MX226" s="30"/>
      <c r="MY226" s="30"/>
      <c r="MZ226" s="30"/>
      <c r="NA226" s="30"/>
      <c r="NB226" s="30"/>
      <c r="NC226" s="30"/>
      <c r="ND226" s="30"/>
      <c r="NE226" s="30"/>
      <c r="NF226" s="30"/>
      <c r="NG226" s="30"/>
      <c r="NH226" s="30"/>
      <c r="NI226" s="30"/>
      <c r="NJ226" s="30"/>
      <c r="NK226" s="30"/>
      <c r="NL226" s="30"/>
      <c r="NM226" s="30"/>
      <c r="NN226" s="30"/>
      <c r="NO226" s="30"/>
      <c r="NP226" s="30"/>
      <c r="NQ226" s="30"/>
      <c r="NR226" s="30"/>
      <c r="NS226" s="30"/>
      <c r="NT226" s="30"/>
      <c r="NU226" s="30"/>
      <c r="NV226" s="30"/>
      <c r="NW226" s="30"/>
      <c r="NX226" s="30"/>
      <c r="NY226" s="30"/>
      <c r="NZ226" s="30"/>
      <c r="OA226" s="30"/>
      <c r="OB226" s="30"/>
      <c r="OC226" s="30"/>
      <c r="OD226" s="30"/>
      <c r="OE226" s="30"/>
      <c r="OF226" s="30"/>
      <c r="OG226" s="30"/>
      <c r="OH226" s="30"/>
      <c r="OI226" s="30"/>
      <c r="OJ226" s="30"/>
      <c r="OK226" s="30"/>
      <c r="OL226" s="30"/>
      <c r="OM226" s="30"/>
      <c r="ON226" s="30"/>
      <c r="OO226" s="30"/>
      <c r="OP226" s="30"/>
      <c r="OQ226" s="30"/>
      <c r="OR226" s="30"/>
      <c r="OS226" s="30"/>
      <c r="OT226" s="30"/>
      <c r="OU226" s="30"/>
      <c r="OV226" s="30"/>
      <c r="OW226" s="30"/>
      <c r="OX226" s="30"/>
      <c r="OY226" s="30"/>
      <c r="OZ226" s="30"/>
      <c r="PA226" s="30"/>
      <c r="PB226" s="30"/>
      <c r="PC226" s="30"/>
      <c r="PD226" s="30"/>
      <c r="PE226" s="30"/>
      <c r="PF226" s="30"/>
      <c r="PG226" s="30"/>
      <c r="PH226" s="30"/>
      <c r="PI226" s="30"/>
      <c r="PJ226" s="30"/>
      <c r="PK226" s="30"/>
      <c r="PL226" s="30"/>
      <c r="PM226" s="30"/>
      <c r="PN226" s="30"/>
      <c r="PO226" s="30"/>
      <c r="PP226" s="30"/>
      <c r="PQ226" s="30"/>
      <c r="PR226" s="30"/>
      <c r="PS226" s="30"/>
      <c r="PT226" s="30"/>
      <c r="PU226" s="30"/>
      <c r="PV226" s="30"/>
      <c r="PW226" s="30"/>
      <c r="PX226" s="30"/>
      <c r="PY226" s="30"/>
      <c r="PZ226" s="30"/>
      <c r="QA226" s="30"/>
      <c r="QB226" s="30"/>
      <c r="QC226" s="30"/>
      <c r="QD226" s="30"/>
      <c r="QE226" s="30"/>
      <c r="QF226" s="30"/>
      <c r="QG226" s="30"/>
      <c r="QH226" s="30"/>
      <c r="QI226" s="30"/>
      <c r="QJ226" s="30"/>
      <c r="QK226" s="30"/>
      <c r="QL226" s="30"/>
      <c r="QM226" s="30"/>
      <c r="QN226" s="30"/>
      <c r="QO226" s="30"/>
      <c r="QP226" s="30"/>
      <c r="QQ226" s="30"/>
      <c r="QR226" s="30"/>
      <c r="QS226" s="30"/>
      <c r="QT226" s="30"/>
      <c r="QU226" s="30"/>
      <c r="QV226" s="30"/>
      <c r="QW226" s="30"/>
      <c r="QX226" s="30"/>
      <c r="QY226" s="30"/>
      <c r="QZ226" s="30"/>
      <c r="RA226" s="30"/>
      <c r="RB226" s="30"/>
      <c r="RC226" s="30"/>
      <c r="RD226" s="30"/>
      <c r="RE226" s="30"/>
      <c r="RF226" s="30"/>
      <c r="RG226" s="30"/>
      <c r="RH226" s="30"/>
      <c r="RI226" s="30"/>
      <c r="RJ226" s="30"/>
      <c r="RK226" s="30"/>
      <c r="RL226" s="30"/>
      <c r="RM226" s="30"/>
      <c r="RN226" s="30"/>
      <c r="RO226" s="30"/>
      <c r="RP226" s="30"/>
      <c r="RQ226" s="30"/>
      <c r="RR226" s="30"/>
      <c r="RS226" s="30"/>
      <c r="RT226" s="30"/>
      <c r="RU226" s="30"/>
      <c r="RV226" s="30"/>
      <c r="RW226" s="30"/>
      <c r="RX226" s="30"/>
      <c r="RY226" s="30"/>
      <c r="RZ226" s="30"/>
      <c r="SA226" s="30"/>
      <c r="SB226" s="30"/>
      <c r="SC226" s="30"/>
      <c r="SD226" s="30"/>
      <c r="SE226" s="30"/>
      <c r="SF226" s="30"/>
      <c r="SG226" s="30"/>
      <c r="SH226" s="30"/>
      <c r="SI226" s="30"/>
      <c r="SJ226" s="30"/>
      <c r="SK226" s="30"/>
      <c r="SL226" s="30"/>
      <c r="SM226" s="30"/>
      <c r="SN226" s="30"/>
      <c r="SO226" s="30"/>
      <c r="SP226" s="30"/>
      <c r="SQ226" s="30"/>
      <c r="SR226" s="30"/>
      <c r="SS226" s="30"/>
      <c r="ST226" s="30"/>
      <c r="SU226" s="30"/>
      <c r="SV226" s="30"/>
      <c r="SW226" s="30"/>
      <c r="SX226" s="30"/>
      <c r="SY226" s="30"/>
      <c r="SZ226" s="30"/>
      <c r="TA226" s="30"/>
      <c r="TB226" s="30"/>
      <c r="TC226" s="30"/>
      <c r="TD226" s="30"/>
      <c r="TE226" s="30"/>
    </row>
    <row r="227" spans="1:525" s="24" customFormat="1" ht="21.75" hidden="1" customHeight="1" x14ac:dyDescent="0.25">
      <c r="A227" s="56" t="s">
        <v>443</v>
      </c>
      <c r="B227" s="56" t="s">
        <v>444</v>
      </c>
      <c r="C227" s="56" t="s">
        <v>110</v>
      </c>
      <c r="D227" s="6" t="str">
        <f>'дод 7'!C184</f>
        <v>Будівництво1 установ та закладів культури</v>
      </c>
      <c r="E227" s="135">
        <f t="shared" si="95"/>
        <v>0</v>
      </c>
      <c r="F227" s="135"/>
      <c r="G227" s="135"/>
      <c r="H227" s="135"/>
      <c r="I227" s="135"/>
      <c r="J227" s="135">
        <f t="shared" si="97"/>
        <v>0</v>
      </c>
      <c r="K227" s="135"/>
      <c r="L227" s="135"/>
      <c r="M227" s="135"/>
      <c r="N227" s="135"/>
      <c r="O227" s="135"/>
      <c r="P227" s="135">
        <f t="shared" si="96"/>
        <v>0</v>
      </c>
      <c r="Q227" s="178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/>
      <c r="MA227" s="30"/>
      <c r="MB227" s="30"/>
      <c r="MC227" s="30"/>
      <c r="MD227" s="30"/>
      <c r="ME227" s="30"/>
      <c r="MF227" s="30"/>
      <c r="MG227" s="30"/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30"/>
      <c r="MW227" s="30"/>
      <c r="MX227" s="30"/>
      <c r="MY227" s="30"/>
      <c r="MZ227" s="30"/>
      <c r="NA227" s="30"/>
      <c r="NB227" s="30"/>
      <c r="NC227" s="30"/>
      <c r="ND227" s="30"/>
      <c r="NE227" s="30"/>
      <c r="NF227" s="30"/>
      <c r="NG227" s="30"/>
      <c r="NH227" s="30"/>
      <c r="NI227" s="30"/>
      <c r="NJ227" s="30"/>
      <c r="NK227" s="30"/>
      <c r="NL227" s="30"/>
      <c r="NM227" s="30"/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30"/>
      <c r="NY227" s="30"/>
      <c r="NZ227" s="30"/>
      <c r="OA227" s="30"/>
      <c r="OB227" s="30"/>
      <c r="OC227" s="30"/>
      <c r="OD227" s="30"/>
      <c r="OE227" s="30"/>
      <c r="OF227" s="30"/>
      <c r="OG227" s="30"/>
      <c r="OH227" s="30"/>
      <c r="OI227" s="30"/>
      <c r="OJ227" s="30"/>
      <c r="OK227" s="30"/>
      <c r="OL227" s="30"/>
      <c r="OM227" s="30"/>
      <c r="ON227" s="30"/>
      <c r="OO227" s="30"/>
      <c r="OP227" s="30"/>
      <c r="OQ227" s="30"/>
      <c r="OR227" s="30"/>
      <c r="OS227" s="30"/>
      <c r="OT227" s="30"/>
      <c r="OU227" s="30"/>
      <c r="OV227" s="30"/>
      <c r="OW227" s="30"/>
      <c r="OX227" s="30"/>
      <c r="OY227" s="30"/>
      <c r="OZ227" s="30"/>
      <c r="PA227" s="30"/>
      <c r="PB227" s="30"/>
      <c r="PC227" s="30"/>
      <c r="PD227" s="30"/>
      <c r="PE227" s="30"/>
      <c r="PF227" s="30"/>
      <c r="PG227" s="30"/>
      <c r="PH227" s="30"/>
      <c r="PI227" s="30"/>
      <c r="PJ227" s="30"/>
      <c r="PK227" s="30"/>
      <c r="PL227" s="30"/>
      <c r="PM227" s="30"/>
      <c r="PN227" s="30"/>
      <c r="PO227" s="30"/>
      <c r="PP227" s="30"/>
      <c r="PQ227" s="30"/>
      <c r="PR227" s="30"/>
      <c r="PS227" s="30"/>
      <c r="PT227" s="30"/>
      <c r="PU227" s="30"/>
      <c r="PV227" s="30"/>
      <c r="PW227" s="30"/>
      <c r="PX227" s="30"/>
      <c r="PY227" s="30"/>
      <c r="PZ227" s="30"/>
      <c r="QA227" s="30"/>
      <c r="QB227" s="30"/>
      <c r="QC227" s="30"/>
      <c r="QD227" s="30"/>
      <c r="QE227" s="30"/>
      <c r="QF227" s="30"/>
      <c r="QG227" s="30"/>
      <c r="QH227" s="30"/>
      <c r="QI227" s="30"/>
      <c r="QJ227" s="30"/>
      <c r="QK227" s="30"/>
      <c r="QL227" s="30"/>
      <c r="QM227" s="30"/>
      <c r="QN227" s="30"/>
      <c r="QO227" s="30"/>
      <c r="QP227" s="30"/>
      <c r="QQ227" s="30"/>
      <c r="QR227" s="30"/>
      <c r="QS227" s="30"/>
      <c r="QT227" s="30"/>
      <c r="QU227" s="30"/>
      <c r="QV227" s="30"/>
      <c r="QW227" s="30"/>
      <c r="QX227" s="30"/>
      <c r="QY227" s="30"/>
      <c r="QZ227" s="30"/>
      <c r="RA227" s="30"/>
      <c r="RB227" s="30"/>
      <c r="RC227" s="30"/>
      <c r="RD227" s="30"/>
      <c r="RE227" s="30"/>
      <c r="RF227" s="30"/>
      <c r="RG227" s="30"/>
      <c r="RH227" s="30"/>
      <c r="RI227" s="30"/>
      <c r="RJ227" s="30"/>
      <c r="RK227" s="30"/>
      <c r="RL227" s="30"/>
      <c r="RM227" s="30"/>
      <c r="RN227" s="30"/>
      <c r="RO227" s="30"/>
      <c r="RP227" s="30"/>
      <c r="RQ227" s="30"/>
      <c r="RR227" s="30"/>
      <c r="RS227" s="30"/>
      <c r="RT227" s="30"/>
      <c r="RU227" s="30"/>
      <c r="RV227" s="30"/>
      <c r="RW227" s="30"/>
      <c r="RX227" s="30"/>
      <c r="RY227" s="30"/>
      <c r="RZ227" s="30"/>
      <c r="SA227" s="30"/>
      <c r="SB227" s="30"/>
      <c r="SC227" s="30"/>
      <c r="SD227" s="30"/>
      <c r="SE227" s="30"/>
      <c r="SF227" s="30"/>
      <c r="SG227" s="30"/>
      <c r="SH227" s="30"/>
      <c r="SI227" s="30"/>
      <c r="SJ227" s="30"/>
      <c r="SK227" s="30"/>
      <c r="SL227" s="30"/>
      <c r="SM227" s="30"/>
      <c r="SN227" s="30"/>
      <c r="SO227" s="30"/>
      <c r="SP227" s="30"/>
      <c r="SQ227" s="30"/>
      <c r="SR227" s="30"/>
      <c r="SS227" s="30"/>
      <c r="ST227" s="30"/>
      <c r="SU227" s="30"/>
      <c r="SV227" s="30"/>
      <c r="SW227" s="30"/>
      <c r="SX227" s="30"/>
      <c r="SY227" s="30"/>
      <c r="SZ227" s="30"/>
      <c r="TA227" s="30"/>
      <c r="TB227" s="30"/>
      <c r="TC227" s="30"/>
      <c r="TD227" s="30"/>
      <c r="TE227" s="30"/>
    </row>
    <row r="228" spans="1:525" s="22" customFormat="1" ht="22.5" hidden="1" customHeight="1" x14ac:dyDescent="0.25">
      <c r="A228" s="56" t="s">
        <v>142</v>
      </c>
      <c r="B228" s="84" t="str">
        <f>'дод 7'!A217</f>
        <v>7640</v>
      </c>
      <c r="C228" s="84" t="str">
        <f>'дод 7'!B217</f>
        <v>0470</v>
      </c>
      <c r="D228" s="57" t="s">
        <v>416</v>
      </c>
      <c r="E228" s="135">
        <f t="shared" si="95"/>
        <v>0</v>
      </c>
      <c r="F228" s="135"/>
      <c r="G228" s="135"/>
      <c r="H228" s="135"/>
      <c r="I228" s="135"/>
      <c r="J228" s="135">
        <f t="shared" si="97"/>
        <v>0</v>
      </c>
      <c r="K228" s="135">
        <f>850000-500000-350000</f>
        <v>0</v>
      </c>
      <c r="L228" s="135"/>
      <c r="M228" s="135"/>
      <c r="N228" s="135"/>
      <c r="O228" s="135">
        <f>850000-500000-350000</f>
        <v>0</v>
      </c>
      <c r="P228" s="135">
        <f t="shared" si="96"/>
        <v>0</v>
      </c>
      <c r="Q228" s="178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</row>
    <row r="229" spans="1:525" s="22" customFormat="1" ht="35.25" customHeight="1" x14ac:dyDescent="0.25">
      <c r="A229" s="56">
        <v>1018340</v>
      </c>
      <c r="B229" s="84" t="str">
        <f>'дод 7'!A240</f>
        <v>8340</v>
      </c>
      <c r="C229" s="84" t="str">
        <f>'дод 7'!B240</f>
        <v>0540</v>
      </c>
      <c r="D229" s="99" t="str">
        <f>'дод 7'!C240</f>
        <v>Природоохоронні заходи за рахунок цільових фондів</v>
      </c>
      <c r="E229" s="135">
        <f t="shared" si="95"/>
        <v>0</v>
      </c>
      <c r="F229" s="135"/>
      <c r="G229" s="135"/>
      <c r="H229" s="135"/>
      <c r="I229" s="135"/>
      <c r="J229" s="135">
        <f t="shared" si="97"/>
        <v>4500</v>
      </c>
      <c r="K229" s="135"/>
      <c r="L229" s="135">
        <v>4500</v>
      </c>
      <c r="M229" s="135"/>
      <c r="N229" s="135"/>
      <c r="O229" s="135"/>
      <c r="P229" s="135">
        <f t="shared" si="96"/>
        <v>4500</v>
      </c>
      <c r="Q229" s="178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</row>
    <row r="230" spans="1:525" s="27" customFormat="1" ht="34.5" customHeight="1" x14ac:dyDescent="0.25">
      <c r="A230" s="96" t="s">
        <v>191</v>
      </c>
      <c r="B230" s="98"/>
      <c r="C230" s="98"/>
      <c r="D230" s="93" t="s">
        <v>31</v>
      </c>
      <c r="E230" s="133">
        <f>E231</f>
        <v>456580974</v>
      </c>
      <c r="F230" s="133">
        <f t="shared" ref="F230:J230" si="98">F231</f>
        <v>271379400</v>
      </c>
      <c r="G230" s="133">
        <f t="shared" si="98"/>
        <v>10792000</v>
      </c>
      <c r="H230" s="133">
        <f t="shared" si="98"/>
        <v>44870800</v>
      </c>
      <c r="I230" s="133">
        <f t="shared" si="98"/>
        <v>185201574</v>
      </c>
      <c r="J230" s="133">
        <f t="shared" si="98"/>
        <v>270929407</v>
      </c>
      <c r="K230" s="133">
        <f t="shared" ref="K230" si="99">K231</f>
        <v>263257972</v>
      </c>
      <c r="L230" s="133">
        <f t="shared" ref="L230" si="100">L231</f>
        <v>5361561</v>
      </c>
      <c r="M230" s="133">
        <f t="shared" ref="M230" si="101">M231</f>
        <v>0</v>
      </c>
      <c r="N230" s="133">
        <f t="shared" ref="N230" si="102">N231</f>
        <v>0</v>
      </c>
      <c r="O230" s="133">
        <f t="shared" ref="O230:P230" si="103">O231</f>
        <v>265567846</v>
      </c>
      <c r="P230" s="133">
        <f t="shared" si="103"/>
        <v>727510381</v>
      </c>
      <c r="Q230" s="178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/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  <c r="GH230" s="32"/>
      <c r="GI230" s="32"/>
      <c r="GJ230" s="32"/>
      <c r="GK230" s="32"/>
      <c r="GL230" s="32"/>
      <c r="GM230" s="32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  <c r="IC230" s="32"/>
      <c r="ID230" s="32"/>
      <c r="IE230" s="32"/>
      <c r="IF230" s="32"/>
      <c r="IG230" s="32"/>
      <c r="IH230" s="32"/>
      <c r="II230" s="32"/>
      <c r="IJ230" s="32"/>
      <c r="IK230" s="32"/>
      <c r="IL230" s="32"/>
      <c r="IM230" s="32"/>
      <c r="IN230" s="32"/>
      <c r="IO230" s="32"/>
      <c r="IP230" s="32"/>
      <c r="IQ230" s="32"/>
      <c r="IR230" s="32"/>
      <c r="IS230" s="32"/>
      <c r="IT230" s="32"/>
      <c r="IU230" s="32"/>
      <c r="IV230" s="32"/>
      <c r="IW230" s="32"/>
      <c r="IX230" s="32"/>
      <c r="IY230" s="32"/>
      <c r="IZ230" s="32"/>
      <c r="JA230" s="32"/>
      <c r="JB230" s="32"/>
      <c r="JC230" s="32"/>
      <c r="JD230" s="32"/>
      <c r="JE230" s="32"/>
      <c r="JF230" s="32"/>
      <c r="JG230" s="32"/>
      <c r="JH230" s="32"/>
      <c r="JI230" s="32"/>
      <c r="JJ230" s="32"/>
      <c r="JK230" s="32"/>
      <c r="JL230" s="32"/>
      <c r="JM230" s="32"/>
      <c r="JN230" s="32"/>
      <c r="JO230" s="32"/>
      <c r="JP230" s="32"/>
      <c r="JQ230" s="32"/>
      <c r="JR230" s="32"/>
      <c r="JS230" s="32"/>
      <c r="JT230" s="32"/>
      <c r="JU230" s="32"/>
      <c r="JV230" s="32"/>
      <c r="JW230" s="32"/>
      <c r="JX230" s="32"/>
      <c r="JY230" s="32"/>
      <c r="JZ230" s="32"/>
      <c r="KA230" s="32"/>
      <c r="KB230" s="32"/>
      <c r="KC230" s="32"/>
      <c r="KD230" s="32"/>
      <c r="KE230" s="32"/>
      <c r="KF230" s="32"/>
      <c r="KG230" s="32"/>
      <c r="KH230" s="32"/>
      <c r="KI230" s="32"/>
      <c r="KJ230" s="32"/>
      <c r="KK230" s="32"/>
      <c r="KL230" s="32"/>
      <c r="KM230" s="32"/>
      <c r="KN230" s="32"/>
      <c r="KO230" s="32"/>
      <c r="KP230" s="32"/>
      <c r="KQ230" s="32"/>
      <c r="KR230" s="32"/>
      <c r="KS230" s="32"/>
      <c r="KT230" s="32"/>
      <c r="KU230" s="32"/>
      <c r="KV230" s="32"/>
      <c r="KW230" s="32"/>
      <c r="KX230" s="32"/>
      <c r="KY230" s="32"/>
      <c r="KZ230" s="32"/>
      <c r="LA230" s="32"/>
      <c r="LB230" s="32"/>
      <c r="LC230" s="32"/>
      <c r="LD230" s="32"/>
      <c r="LE230" s="32"/>
      <c r="LF230" s="32"/>
      <c r="LG230" s="32"/>
      <c r="LH230" s="32"/>
      <c r="LI230" s="32"/>
      <c r="LJ230" s="32"/>
      <c r="LK230" s="32"/>
      <c r="LL230" s="32"/>
      <c r="LM230" s="32"/>
      <c r="LN230" s="32"/>
      <c r="LO230" s="32"/>
      <c r="LP230" s="32"/>
      <c r="LQ230" s="32"/>
      <c r="LR230" s="32"/>
      <c r="LS230" s="32"/>
      <c r="LT230" s="32"/>
      <c r="LU230" s="32"/>
      <c r="LV230" s="32"/>
      <c r="LW230" s="32"/>
      <c r="LX230" s="32"/>
      <c r="LY230" s="32"/>
      <c r="LZ230" s="32"/>
      <c r="MA230" s="32"/>
      <c r="MB230" s="32"/>
      <c r="MC230" s="32"/>
      <c r="MD230" s="32"/>
      <c r="ME230" s="32"/>
      <c r="MF230" s="32"/>
      <c r="MG230" s="32"/>
      <c r="MH230" s="32"/>
      <c r="MI230" s="32"/>
      <c r="MJ230" s="32"/>
      <c r="MK230" s="32"/>
      <c r="ML230" s="32"/>
      <c r="MM230" s="32"/>
      <c r="MN230" s="32"/>
      <c r="MO230" s="32"/>
      <c r="MP230" s="32"/>
      <c r="MQ230" s="32"/>
      <c r="MR230" s="32"/>
      <c r="MS230" s="32"/>
      <c r="MT230" s="32"/>
      <c r="MU230" s="32"/>
      <c r="MV230" s="32"/>
      <c r="MW230" s="32"/>
      <c r="MX230" s="32"/>
      <c r="MY230" s="32"/>
      <c r="MZ230" s="32"/>
      <c r="NA230" s="32"/>
      <c r="NB230" s="32"/>
      <c r="NC230" s="32"/>
      <c r="ND230" s="32"/>
      <c r="NE230" s="32"/>
      <c r="NF230" s="32"/>
      <c r="NG230" s="32"/>
      <c r="NH230" s="32"/>
      <c r="NI230" s="32"/>
      <c r="NJ230" s="32"/>
      <c r="NK230" s="32"/>
      <c r="NL230" s="32"/>
      <c r="NM230" s="32"/>
      <c r="NN230" s="32"/>
      <c r="NO230" s="32"/>
      <c r="NP230" s="32"/>
      <c r="NQ230" s="32"/>
      <c r="NR230" s="32"/>
      <c r="NS230" s="32"/>
      <c r="NT230" s="32"/>
      <c r="NU230" s="32"/>
      <c r="NV230" s="32"/>
      <c r="NW230" s="32"/>
      <c r="NX230" s="32"/>
      <c r="NY230" s="32"/>
      <c r="NZ230" s="32"/>
      <c r="OA230" s="32"/>
      <c r="OB230" s="32"/>
      <c r="OC230" s="32"/>
      <c r="OD230" s="32"/>
      <c r="OE230" s="32"/>
      <c r="OF230" s="32"/>
      <c r="OG230" s="32"/>
      <c r="OH230" s="32"/>
      <c r="OI230" s="32"/>
      <c r="OJ230" s="32"/>
      <c r="OK230" s="32"/>
      <c r="OL230" s="32"/>
      <c r="OM230" s="32"/>
      <c r="ON230" s="32"/>
      <c r="OO230" s="32"/>
      <c r="OP230" s="32"/>
      <c r="OQ230" s="32"/>
      <c r="OR230" s="32"/>
      <c r="OS230" s="32"/>
      <c r="OT230" s="32"/>
      <c r="OU230" s="32"/>
      <c r="OV230" s="32"/>
      <c r="OW230" s="32"/>
      <c r="OX230" s="32"/>
      <c r="OY230" s="32"/>
      <c r="OZ230" s="32"/>
      <c r="PA230" s="32"/>
      <c r="PB230" s="32"/>
      <c r="PC230" s="32"/>
      <c r="PD230" s="32"/>
      <c r="PE230" s="32"/>
      <c r="PF230" s="32"/>
      <c r="PG230" s="32"/>
      <c r="PH230" s="32"/>
      <c r="PI230" s="32"/>
      <c r="PJ230" s="32"/>
      <c r="PK230" s="32"/>
      <c r="PL230" s="32"/>
      <c r="PM230" s="32"/>
      <c r="PN230" s="32"/>
      <c r="PO230" s="32"/>
      <c r="PP230" s="32"/>
      <c r="PQ230" s="32"/>
      <c r="PR230" s="32"/>
      <c r="PS230" s="32"/>
      <c r="PT230" s="32"/>
      <c r="PU230" s="32"/>
      <c r="PV230" s="32"/>
      <c r="PW230" s="32"/>
      <c r="PX230" s="32"/>
      <c r="PY230" s="32"/>
      <c r="PZ230" s="32"/>
      <c r="QA230" s="32"/>
      <c r="QB230" s="32"/>
      <c r="QC230" s="32"/>
      <c r="QD230" s="32"/>
      <c r="QE230" s="32"/>
      <c r="QF230" s="32"/>
      <c r="QG230" s="32"/>
      <c r="QH230" s="32"/>
      <c r="QI230" s="32"/>
      <c r="QJ230" s="32"/>
      <c r="QK230" s="32"/>
      <c r="QL230" s="32"/>
      <c r="QM230" s="32"/>
      <c r="QN230" s="32"/>
      <c r="QO230" s="32"/>
      <c r="QP230" s="32"/>
      <c r="QQ230" s="32"/>
      <c r="QR230" s="32"/>
      <c r="QS230" s="32"/>
      <c r="QT230" s="32"/>
      <c r="QU230" s="32"/>
      <c r="QV230" s="32"/>
      <c r="QW230" s="32"/>
      <c r="QX230" s="32"/>
      <c r="QY230" s="32"/>
      <c r="QZ230" s="32"/>
      <c r="RA230" s="32"/>
      <c r="RB230" s="32"/>
      <c r="RC230" s="32"/>
      <c r="RD230" s="32"/>
      <c r="RE230" s="32"/>
      <c r="RF230" s="32"/>
      <c r="RG230" s="32"/>
      <c r="RH230" s="32"/>
      <c r="RI230" s="32"/>
      <c r="RJ230" s="32"/>
      <c r="RK230" s="32"/>
      <c r="RL230" s="32"/>
      <c r="RM230" s="32"/>
      <c r="RN230" s="32"/>
      <c r="RO230" s="32"/>
      <c r="RP230" s="32"/>
      <c r="RQ230" s="32"/>
      <c r="RR230" s="32"/>
      <c r="RS230" s="32"/>
      <c r="RT230" s="32"/>
      <c r="RU230" s="32"/>
      <c r="RV230" s="32"/>
      <c r="RW230" s="32"/>
      <c r="RX230" s="32"/>
      <c r="RY230" s="32"/>
      <c r="RZ230" s="32"/>
      <c r="SA230" s="32"/>
      <c r="SB230" s="32"/>
      <c r="SC230" s="32"/>
      <c r="SD230" s="32"/>
      <c r="SE230" s="32"/>
      <c r="SF230" s="32"/>
      <c r="SG230" s="32"/>
      <c r="SH230" s="32"/>
      <c r="SI230" s="32"/>
      <c r="SJ230" s="32"/>
      <c r="SK230" s="32"/>
      <c r="SL230" s="32"/>
      <c r="SM230" s="32"/>
      <c r="SN230" s="32"/>
      <c r="SO230" s="32"/>
      <c r="SP230" s="32"/>
      <c r="SQ230" s="32"/>
      <c r="SR230" s="32"/>
      <c r="SS230" s="32"/>
      <c r="ST230" s="32"/>
      <c r="SU230" s="32"/>
      <c r="SV230" s="32"/>
      <c r="SW230" s="32"/>
      <c r="SX230" s="32"/>
      <c r="SY230" s="32"/>
      <c r="SZ230" s="32"/>
      <c r="TA230" s="32"/>
      <c r="TB230" s="32"/>
      <c r="TC230" s="32"/>
      <c r="TD230" s="32"/>
      <c r="TE230" s="32"/>
    </row>
    <row r="231" spans="1:525" s="34" customFormat="1" ht="31.5" x14ac:dyDescent="0.25">
      <c r="A231" s="86" t="s">
        <v>192</v>
      </c>
      <c r="B231" s="95"/>
      <c r="C231" s="95"/>
      <c r="D231" s="70" t="s">
        <v>31</v>
      </c>
      <c r="E231" s="134">
        <f>E238+E239+E240+E241+E242+E244+E245+E246+E247+E251+E252+E253+E255+E254+E257+E259+E264+E266+E267+E268+E270+E273+E276+E278+E256+E261+E272+E271+E248+E250+E277+E275+E243+E274+E279</f>
        <v>456580974</v>
      </c>
      <c r="F231" s="134">
        <f t="shared" ref="F231:P231" si="104">F238+F239+F240+F241+F242+F244+F245+F246+F247+F251+F252+F253+F255+F254+F257+F259+F264+F266+F267+F268+F270+F273+F276+F278+F256+F261+F272+F271+F248+F250+F277+F275+F243+F274+F279</f>
        <v>271379400</v>
      </c>
      <c r="G231" s="134">
        <f t="shared" si="104"/>
        <v>10792000</v>
      </c>
      <c r="H231" s="134">
        <f t="shared" si="104"/>
        <v>44870800</v>
      </c>
      <c r="I231" s="134">
        <f t="shared" si="104"/>
        <v>185201574</v>
      </c>
      <c r="J231" s="134">
        <f t="shared" si="104"/>
        <v>270929407</v>
      </c>
      <c r="K231" s="134">
        <f t="shared" si="104"/>
        <v>263257972</v>
      </c>
      <c r="L231" s="134">
        <f t="shared" si="104"/>
        <v>5361561</v>
      </c>
      <c r="M231" s="134">
        <f t="shared" si="104"/>
        <v>0</v>
      </c>
      <c r="N231" s="134">
        <f t="shared" si="104"/>
        <v>0</v>
      </c>
      <c r="O231" s="134">
        <f t="shared" si="104"/>
        <v>265567846</v>
      </c>
      <c r="P231" s="134">
        <f t="shared" si="104"/>
        <v>727510381</v>
      </c>
      <c r="Q231" s="178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</row>
    <row r="232" spans="1:525" s="34" customFormat="1" ht="117.75" hidden="1" customHeight="1" x14ac:dyDescent="0.25">
      <c r="A232" s="86"/>
      <c r="B232" s="95"/>
      <c r="C232" s="95"/>
      <c r="D232" s="70" t="s">
        <v>391</v>
      </c>
      <c r="E232" s="134">
        <f>E262</f>
        <v>0</v>
      </c>
      <c r="F232" s="134">
        <f t="shared" ref="F232:P232" si="105">F262</f>
        <v>0</v>
      </c>
      <c r="G232" s="134">
        <f t="shared" si="105"/>
        <v>0</v>
      </c>
      <c r="H232" s="134">
        <f t="shared" si="105"/>
        <v>0</v>
      </c>
      <c r="I232" s="134">
        <f t="shared" si="105"/>
        <v>0</v>
      </c>
      <c r="J232" s="134">
        <f t="shared" si="105"/>
        <v>0</v>
      </c>
      <c r="K232" s="134">
        <f t="shared" si="105"/>
        <v>0</v>
      </c>
      <c r="L232" s="134">
        <f t="shared" si="105"/>
        <v>0</v>
      </c>
      <c r="M232" s="134">
        <f t="shared" si="105"/>
        <v>0</v>
      </c>
      <c r="N232" s="134">
        <f t="shared" si="105"/>
        <v>0</v>
      </c>
      <c r="O232" s="134">
        <f t="shared" si="105"/>
        <v>0</v>
      </c>
      <c r="P232" s="134">
        <f t="shared" si="105"/>
        <v>0</v>
      </c>
      <c r="Q232" s="178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</row>
    <row r="233" spans="1:525" s="34" customFormat="1" ht="84" hidden="1" customHeight="1" x14ac:dyDescent="0.25">
      <c r="A233" s="86"/>
      <c r="B233" s="95"/>
      <c r="C233" s="95"/>
      <c r="D233" s="70" t="s">
        <v>517</v>
      </c>
      <c r="E233" s="134">
        <f>E263</f>
        <v>0</v>
      </c>
      <c r="F233" s="134">
        <f t="shared" ref="F233:P233" si="106">F263</f>
        <v>0</v>
      </c>
      <c r="G233" s="134">
        <f t="shared" si="106"/>
        <v>0</v>
      </c>
      <c r="H233" s="134">
        <f t="shared" si="106"/>
        <v>0</v>
      </c>
      <c r="I233" s="134">
        <f t="shared" si="106"/>
        <v>0</v>
      </c>
      <c r="J233" s="134">
        <f t="shared" si="106"/>
        <v>0</v>
      </c>
      <c r="K233" s="134">
        <f t="shared" si="106"/>
        <v>0</v>
      </c>
      <c r="L233" s="134">
        <f t="shared" si="106"/>
        <v>0</v>
      </c>
      <c r="M233" s="134">
        <f t="shared" si="106"/>
        <v>0</v>
      </c>
      <c r="N233" s="134">
        <f t="shared" si="106"/>
        <v>0</v>
      </c>
      <c r="O233" s="134">
        <f t="shared" si="106"/>
        <v>0</v>
      </c>
      <c r="P233" s="134">
        <f t="shared" si="106"/>
        <v>0</v>
      </c>
      <c r="Q233" s="178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  <c r="SQ233" s="33"/>
      <c r="SR233" s="33"/>
      <c r="SS233" s="33"/>
      <c r="ST233" s="33"/>
      <c r="SU233" s="33"/>
      <c r="SV233" s="33"/>
      <c r="SW233" s="33"/>
      <c r="SX233" s="33"/>
      <c r="SY233" s="33"/>
      <c r="SZ233" s="33"/>
      <c r="TA233" s="33"/>
      <c r="TB233" s="33"/>
      <c r="TC233" s="33"/>
      <c r="TD233" s="33"/>
      <c r="TE233" s="33"/>
    </row>
    <row r="234" spans="1:525" s="34" customFormat="1" ht="61.5" hidden="1" customHeight="1" x14ac:dyDescent="0.25">
      <c r="A234" s="86"/>
      <c r="B234" s="95"/>
      <c r="C234" s="95"/>
      <c r="D234" s="70" t="s">
        <v>383</v>
      </c>
      <c r="E234" s="134">
        <f>E258</f>
        <v>0</v>
      </c>
      <c r="F234" s="134">
        <f t="shared" ref="F234:P234" si="107">F258</f>
        <v>0</v>
      </c>
      <c r="G234" s="134">
        <f t="shared" si="107"/>
        <v>0</v>
      </c>
      <c r="H234" s="134">
        <f t="shared" si="107"/>
        <v>0</v>
      </c>
      <c r="I234" s="134">
        <f t="shared" si="107"/>
        <v>0</v>
      </c>
      <c r="J234" s="134">
        <f t="shared" si="107"/>
        <v>0</v>
      </c>
      <c r="K234" s="134">
        <f t="shared" si="107"/>
        <v>0</v>
      </c>
      <c r="L234" s="134">
        <f t="shared" si="107"/>
        <v>0</v>
      </c>
      <c r="M234" s="134">
        <f t="shared" si="107"/>
        <v>0</v>
      </c>
      <c r="N234" s="134">
        <f t="shared" si="107"/>
        <v>0</v>
      </c>
      <c r="O234" s="134">
        <f t="shared" si="107"/>
        <v>0</v>
      </c>
      <c r="P234" s="134">
        <f t="shared" si="107"/>
        <v>0</v>
      </c>
      <c r="Q234" s="178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</row>
    <row r="235" spans="1:525" s="34" customFormat="1" ht="141.75" hidden="1" customHeight="1" x14ac:dyDescent="0.25">
      <c r="A235" s="86"/>
      <c r="B235" s="95"/>
      <c r="C235" s="95"/>
      <c r="D235" s="122" t="s">
        <v>572</v>
      </c>
      <c r="E235" s="134">
        <f>E248</f>
        <v>0</v>
      </c>
      <c r="F235" s="134">
        <f t="shared" ref="F235:P235" si="108">F248</f>
        <v>0</v>
      </c>
      <c r="G235" s="134">
        <f t="shared" si="108"/>
        <v>0</v>
      </c>
      <c r="H235" s="134">
        <f t="shared" si="108"/>
        <v>0</v>
      </c>
      <c r="I235" s="134">
        <f t="shared" si="108"/>
        <v>0</v>
      </c>
      <c r="J235" s="134">
        <f t="shared" si="108"/>
        <v>0</v>
      </c>
      <c r="K235" s="134">
        <f t="shared" si="108"/>
        <v>0</v>
      </c>
      <c r="L235" s="134">
        <f t="shared" si="108"/>
        <v>0</v>
      </c>
      <c r="M235" s="134">
        <f t="shared" si="108"/>
        <v>0</v>
      </c>
      <c r="N235" s="134">
        <f t="shared" si="108"/>
        <v>0</v>
      </c>
      <c r="O235" s="134">
        <f t="shared" si="108"/>
        <v>0</v>
      </c>
      <c r="P235" s="134">
        <f t="shared" si="108"/>
        <v>0</v>
      </c>
      <c r="Q235" s="178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3"/>
      <c r="HG235" s="33"/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  <c r="IU235" s="33"/>
      <c r="IV235" s="33"/>
      <c r="IW235" s="33"/>
      <c r="IX235" s="33"/>
      <c r="IY235" s="33"/>
      <c r="IZ235" s="33"/>
      <c r="JA235" s="33"/>
      <c r="JB235" s="33"/>
      <c r="JC235" s="33"/>
      <c r="JD235" s="33"/>
      <c r="JE235" s="33"/>
      <c r="JF235" s="33"/>
      <c r="JG235" s="33"/>
      <c r="JH235" s="33"/>
      <c r="JI235" s="33"/>
      <c r="JJ235" s="33"/>
      <c r="JK235" s="33"/>
      <c r="JL235" s="33"/>
      <c r="JM235" s="33"/>
      <c r="JN235" s="33"/>
      <c r="JO235" s="33"/>
      <c r="JP235" s="33"/>
      <c r="JQ235" s="33"/>
      <c r="JR235" s="33"/>
      <c r="JS235" s="33"/>
      <c r="JT235" s="33"/>
      <c r="JU235" s="33"/>
      <c r="JV235" s="33"/>
      <c r="JW235" s="33"/>
      <c r="JX235" s="33"/>
      <c r="JY235" s="33"/>
      <c r="JZ235" s="33"/>
      <c r="KA235" s="33"/>
      <c r="KB235" s="33"/>
      <c r="KC235" s="33"/>
      <c r="KD235" s="33"/>
      <c r="KE235" s="33"/>
      <c r="KF235" s="33"/>
      <c r="KG235" s="33"/>
      <c r="KH235" s="33"/>
      <c r="KI235" s="33"/>
      <c r="KJ235" s="33"/>
      <c r="KK235" s="33"/>
      <c r="KL235" s="33"/>
      <c r="KM235" s="33"/>
      <c r="KN235" s="33"/>
      <c r="KO235" s="33"/>
      <c r="KP235" s="33"/>
      <c r="KQ235" s="33"/>
      <c r="KR235" s="33"/>
      <c r="KS235" s="33"/>
      <c r="KT235" s="33"/>
      <c r="KU235" s="33"/>
      <c r="KV235" s="33"/>
      <c r="KW235" s="33"/>
      <c r="KX235" s="33"/>
      <c r="KY235" s="33"/>
      <c r="KZ235" s="33"/>
      <c r="LA235" s="33"/>
      <c r="LB235" s="33"/>
      <c r="LC235" s="33"/>
      <c r="LD235" s="33"/>
      <c r="LE235" s="33"/>
      <c r="LF235" s="33"/>
      <c r="LG235" s="33"/>
      <c r="LH235" s="33"/>
      <c r="LI235" s="33"/>
      <c r="LJ235" s="33"/>
      <c r="LK235" s="33"/>
      <c r="LL235" s="33"/>
      <c r="LM235" s="33"/>
      <c r="LN235" s="33"/>
      <c r="LO235" s="33"/>
      <c r="LP235" s="33"/>
      <c r="LQ235" s="33"/>
      <c r="LR235" s="33"/>
      <c r="LS235" s="33"/>
      <c r="LT235" s="33"/>
      <c r="LU235" s="33"/>
      <c r="LV235" s="33"/>
      <c r="LW235" s="33"/>
      <c r="LX235" s="33"/>
      <c r="LY235" s="33"/>
      <c r="LZ235" s="33"/>
      <c r="MA235" s="33"/>
      <c r="MB235" s="33"/>
      <c r="MC235" s="33"/>
      <c r="MD235" s="33"/>
      <c r="ME235" s="33"/>
      <c r="MF235" s="33"/>
      <c r="MG235" s="33"/>
      <c r="MH235" s="33"/>
      <c r="MI235" s="33"/>
      <c r="MJ235" s="33"/>
      <c r="MK235" s="33"/>
      <c r="ML235" s="33"/>
      <c r="MM235" s="33"/>
      <c r="MN235" s="33"/>
      <c r="MO235" s="33"/>
      <c r="MP235" s="33"/>
      <c r="MQ235" s="33"/>
      <c r="MR235" s="33"/>
      <c r="MS235" s="33"/>
      <c r="MT235" s="33"/>
      <c r="MU235" s="33"/>
      <c r="MV235" s="33"/>
      <c r="MW235" s="33"/>
      <c r="MX235" s="33"/>
      <c r="MY235" s="33"/>
      <c r="MZ235" s="33"/>
      <c r="NA235" s="33"/>
      <c r="NB235" s="33"/>
      <c r="NC235" s="33"/>
      <c r="ND235" s="33"/>
      <c r="NE235" s="33"/>
      <c r="NF235" s="33"/>
      <c r="NG235" s="33"/>
      <c r="NH235" s="33"/>
      <c r="NI235" s="33"/>
      <c r="NJ235" s="33"/>
      <c r="NK235" s="33"/>
      <c r="NL235" s="33"/>
      <c r="NM235" s="33"/>
      <c r="NN235" s="33"/>
      <c r="NO235" s="33"/>
      <c r="NP235" s="33"/>
      <c r="NQ235" s="33"/>
      <c r="NR235" s="33"/>
      <c r="NS235" s="33"/>
      <c r="NT235" s="33"/>
      <c r="NU235" s="33"/>
      <c r="NV235" s="33"/>
      <c r="NW235" s="33"/>
      <c r="NX235" s="33"/>
      <c r="NY235" s="33"/>
      <c r="NZ235" s="33"/>
      <c r="OA235" s="33"/>
      <c r="OB235" s="33"/>
      <c r="OC235" s="33"/>
      <c r="OD235" s="33"/>
      <c r="OE235" s="33"/>
      <c r="OF235" s="33"/>
      <c r="OG235" s="33"/>
      <c r="OH235" s="33"/>
      <c r="OI235" s="33"/>
      <c r="OJ235" s="33"/>
      <c r="OK235" s="33"/>
      <c r="OL235" s="33"/>
      <c r="OM235" s="33"/>
      <c r="ON235" s="33"/>
      <c r="OO235" s="33"/>
      <c r="OP235" s="33"/>
      <c r="OQ235" s="33"/>
      <c r="OR235" s="33"/>
      <c r="OS235" s="33"/>
      <c r="OT235" s="33"/>
      <c r="OU235" s="33"/>
      <c r="OV235" s="33"/>
      <c r="OW235" s="33"/>
      <c r="OX235" s="33"/>
      <c r="OY235" s="33"/>
      <c r="OZ235" s="33"/>
      <c r="PA235" s="33"/>
      <c r="PB235" s="33"/>
      <c r="PC235" s="33"/>
      <c r="PD235" s="33"/>
      <c r="PE235" s="33"/>
      <c r="PF235" s="33"/>
      <c r="PG235" s="33"/>
      <c r="PH235" s="33"/>
      <c r="PI235" s="33"/>
      <c r="PJ235" s="33"/>
      <c r="PK235" s="33"/>
      <c r="PL235" s="33"/>
      <c r="PM235" s="33"/>
      <c r="PN235" s="33"/>
      <c r="PO235" s="33"/>
      <c r="PP235" s="33"/>
      <c r="PQ235" s="33"/>
      <c r="PR235" s="33"/>
      <c r="PS235" s="33"/>
      <c r="PT235" s="33"/>
      <c r="PU235" s="33"/>
      <c r="PV235" s="33"/>
      <c r="PW235" s="33"/>
      <c r="PX235" s="33"/>
      <c r="PY235" s="33"/>
      <c r="PZ235" s="33"/>
      <c r="QA235" s="33"/>
      <c r="QB235" s="33"/>
      <c r="QC235" s="33"/>
      <c r="QD235" s="33"/>
      <c r="QE235" s="33"/>
      <c r="QF235" s="33"/>
      <c r="QG235" s="33"/>
      <c r="QH235" s="33"/>
      <c r="QI235" s="33"/>
      <c r="QJ235" s="33"/>
      <c r="QK235" s="33"/>
      <c r="QL235" s="33"/>
      <c r="QM235" s="33"/>
      <c r="QN235" s="33"/>
      <c r="QO235" s="33"/>
      <c r="QP235" s="33"/>
      <c r="QQ235" s="33"/>
      <c r="QR235" s="33"/>
      <c r="QS235" s="33"/>
      <c r="QT235" s="33"/>
      <c r="QU235" s="33"/>
      <c r="QV235" s="33"/>
      <c r="QW235" s="33"/>
      <c r="QX235" s="33"/>
      <c r="QY235" s="33"/>
      <c r="QZ235" s="33"/>
      <c r="RA235" s="33"/>
      <c r="RB235" s="33"/>
      <c r="RC235" s="33"/>
      <c r="RD235" s="33"/>
      <c r="RE235" s="33"/>
      <c r="RF235" s="33"/>
      <c r="RG235" s="33"/>
      <c r="RH235" s="33"/>
      <c r="RI235" s="33"/>
      <c r="RJ235" s="33"/>
      <c r="RK235" s="33"/>
      <c r="RL235" s="33"/>
      <c r="RM235" s="33"/>
      <c r="RN235" s="33"/>
      <c r="RO235" s="33"/>
      <c r="RP235" s="33"/>
      <c r="RQ235" s="33"/>
      <c r="RR235" s="33"/>
      <c r="RS235" s="33"/>
      <c r="RT235" s="33"/>
      <c r="RU235" s="33"/>
      <c r="RV235" s="33"/>
      <c r="RW235" s="33"/>
      <c r="RX235" s="33"/>
      <c r="RY235" s="33"/>
      <c r="RZ235" s="33"/>
      <c r="SA235" s="33"/>
      <c r="SB235" s="33"/>
      <c r="SC235" s="33"/>
      <c r="SD235" s="33"/>
      <c r="SE235" s="33"/>
      <c r="SF235" s="33"/>
      <c r="SG235" s="33"/>
      <c r="SH235" s="33"/>
      <c r="SI235" s="33"/>
      <c r="SJ235" s="33"/>
      <c r="SK235" s="33"/>
      <c r="SL235" s="33"/>
      <c r="SM235" s="33"/>
      <c r="SN235" s="33"/>
      <c r="SO235" s="33"/>
      <c r="SP235" s="33"/>
      <c r="SQ235" s="33"/>
      <c r="SR235" s="33"/>
      <c r="SS235" s="33"/>
      <c r="ST235" s="33"/>
      <c r="SU235" s="33"/>
      <c r="SV235" s="33"/>
      <c r="SW235" s="33"/>
      <c r="SX235" s="33"/>
      <c r="SY235" s="33"/>
      <c r="SZ235" s="33"/>
      <c r="TA235" s="33"/>
      <c r="TB235" s="33"/>
      <c r="TC235" s="33"/>
      <c r="TD235" s="33"/>
      <c r="TE235" s="33"/>
    </row>
    <row r="236" spans="1:525" s="34" customFormat="1" ht="15.75" hidden="1" customHeight="1" x14ac:dyDescent="0.25">
      <c r="A236" s="86"/>
      <c r="B236" s="95"/>
      <c r="C236" s="95"/>
      <c r="D236" s="75" t="s">
        <v>388</v>
      </c>
      <c r="E236" s="134">
        <f>E260+E265</f>
        <v>0</v>
      </c>
      <c r="F236" s="134">
        <f t="shared" ref="F236:P236" si="109">F260+F265</f>
        <v>0</v>
      </c>
      <c r="G236" s="134">
        <f t="shared" si="109"/>
        <v>0</v>
      </c>
      <c r="H236" s="134">
        <f t="shared" si="109"/>
        <v>0</v>
      </c>
      <c r="I236" s="134">
        <f t="shared" si="109"/>
        <v>0</v>
      </c>
      <c r="J236" s="134">
        <f t="shared" si="109"/>
        <v>0</v>
      </c>
      <c r="K236" s="134">
        <f t="shared" si="109"/>
        <v>0</v>
      </c>
      <c r="L236" s="134">
        <f t="shared" si="109"/>
        <v>0</v>
      </c>
      <c r="M236" s="134">
        <f t="shared" si="109"/>
        <v>0</v>
      </c>
      <c r="N236" s="134">
        <f t="shared" si="109"/>
        <v>0</v>
      </c>
      <c r="O236" s="134">
        <f t="shared" si="109"/>
        <v>0</v>
      </c>
      <c r="P236" s="134">
        <f t="shared" si="109"/>
        <v>0</v>
      </c>
      <c r="Q236" s="178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  <c r="IM236" s="33"/>
      <c r="IN236" s="33"/>
      <c r="IO236" s="33"/>
      <c r="IP236" s="33"/>
      <c r="IQ236" s="33"/>
      <c r="IR236" s="33"/>
      <c r="IS236" s="33"/>
      <c r="IT236" s="33"/>
      <c r="IU236" s="33"/>
      <c r="IV236" s="33"/>
      <c r="IW236" s="33"/>
      <c r="IX236" s="33"/>
      <c r="IY236" s="33"/>
      <c r="IZ236" s="33"/>
      <c r="JA236" s="33"/>
      <c r="JB236" s="33"/>
      <c r="JC236" s="33"/>
      <c r="JD236" s="33"/>
      <c r="JE236" s="33"/>
      <c r="JF236" s="33"/>
      <c r="JG236" s="33"/>
      <c r="JH236" s="33"/>
      <c r="JI236" s="33"/>
      <c r="JJ236" s="33"/>
      <c r="JK236" s="33"/>
      <c r="JL236" s="33"/>
      <c r="JM236" s="33"/>
      <c r="JN236" s="33"/>
      <c r="JO236" s="33"/>
      <c r="JP236" s="33"/>
      <c r="JQ236" s="33"/>
      <c r="JR236" s="33"/>
      <c r="JS236" s="33"/>
      <c r="JT236" s="33"/>
      <c r="JU236" s="33"/>
      <c r="JV236" s="33"/>
      <c r="JW236" s="33"/>
      <c r="JX236" s="33"/>
      <c r="JY236" s="33"/>
      <c r="JZ236" s="33"/>
      <c r="KA236" s="33"/>
      <c r="KB236" s="33"/>
      <c r="KC236" s="33"/>
      <c r="KD236" s="33"/>
      <c r="KE236" s="33"/>
      <c r="KF236" s="33"/>
      <c r="KG236" s="33"/>
      <c r="KH236" s="33"/>
      <c r="KI236" s="33"/>
      <c r="KJ236" s="33"/>
      <c r="KK236" s="33"/>
      <c r="KL236" s="33"/>
      <c r="KM236" s="33"/>
      <c r="KN236" s="33"/>
      <c r="KO236" s="33"/>
      <c r="KP236" s="33"/>
      <c r="KQ236" s="33"/>
      <c r="KR236" s="33"/>
      <c r="KS236" s="33"/>
      <c r="KT236" s="33"/>
      <c r="KU236" s="33"/>
      <c r="KV236" s="33"/>
      <c r="KW236" s="33"/>
      <c r="KX236" s="33"/>
      <c r="KY236" s="33"/>
      <c r="KZ236" s="33"/>
      <c r="LA236" s="33"/>
      <c r="LB236" s="33"/>
      <c r="LC236" s="33"/>
      <c r="LD236" s="33"/>
      <c r="LE236" s="33"/>
      <c r="LF236" s="33"/>
      <c r="LG236" s="33"/>
      <c r="LH236" s="33"/>
      <c r="LI236" s="33"/>
      <c r="LJ236" s="33"/>
      <c r="LK236" s="33"/>
      <c r="LL236" s="33"/>
      <c r="LM236" s="33"/>
      <c r="LN236" s="33"/>
      <c r="LO236" s="33"/>
      <c r="LP236" s="33"/>
      <c r="LQ236" s="33"/>
      <c r="LR236" s="33"/>
      <c r="LS236" s="33"/>
      <c r="LT236" s="33"/>
      <c r="LU236" s="33"/>
      <c r="LV236" s="33"/>
      <c r="LW236" s="33"/>
      <c r="LX236" s="33"/>
      <c r="LY236" s="33"/>
      <c r="LZ236" s="33"/>
      <c r="MA236" s="33"/>
      <c r="MB236" s="33"/>
      <c r="MC236" s="33"/>
      <c r="MD236" s="33"/>
      <c r="ME236" s="33"/>
      <c r="MF236" s="33"/>
      <c r="MG236" s="33"/>
      <c r="MH236" s="33"/>
      <c r="MI236" s="33"/>
      <c r="MJ236" s="33"/>
      <c r="MK236" s="33"/>
      <c r="ML236" s="33"/>
      <c r="MM236" s="33"/>
      <c r="MN236" s="33"/>
      <c r="MO236" s="33"/>
      <c r="MP236" s="33"/>
      <c r="MQ236" s="33"/>
      <c r="MR236" s="33"/>
      <c r="MS236" s="33"/>
      <c r="MT236" s="33"/>
      <c r="MU236" s="33"/>
      <c r="MV236" s="33"/>
      <c r="MW236" s="33"/>
      <c r="MX236" s="33"/>
      <c r="MY236" s="33"/>
      <c r="MZ236" s="33"/>
      <c r="NA236" s="33"/>
      <c r="NB236" s="33"/>
      <c r="NC236" s="33"/>
      <c r="ND236" s="33"/>
      <c r="NE236" s="33"/>
      <c r="NF236" s="33"/>
      <c r="NG236" s="33"/>
      <c r="NH236" s="33"/>
      <c r="NI236" s="33"/>
      <c r="NJ236" s="33"/>
      <c r="NK236" s="33"/>
      <c r="NL236" s="33"/>
      <c r="NM236" s="33"/>
      <c r="NN236" s="33"/>
      <c r="NO236" s="33"/>
      <c r="NP236" s="33"/>
      <c r="NQ236" s="33"/>
      <c r="NR236" s="33"/>
      <c r="NS236" s="33"/>
      <c r="NT236" s="33"/>
      <c r="NU236" s="33"/>
      <c r="NV236" s="33"/>
      <c r="NW236" s="33"/>
      <c r="NX236" s="33"/>
      <c r="NY236" s="33"/>
      <c r="NZ236" s="33"/>
      <c r="OA236" s="33"/>
      <c r="OB236" s="33"/>
      <c r="OC236" s="33"/>
      <c r="OD236" s="33"/>
      <c r="OE236" s="33"/>
      <c r="OF236" s="33"/>
      <c r="OG236" s="33"/>
      <c r="OH236" s="33"/>
      <c r="OI236" s="33"/>
      <c r="OJ236" s="33"/>
      <c r="OK236" s="33"/>
      <c r="OL236" s="33"/>
      <c r="OM236" s="33"/>
      <c r="ON236" s="33"/>
      <c r="OO236" s="33"/>
      <c r="OP236" s="33"/>
      <c r="OQ236" s="33"/>
      <c r="OR236" s="33"/>
      <c r="OS236" s="33"/>
      <c r="OT236" s="33"/>
      <c r="OU236" s="33"/>
      <c r="OV236" s="33"/>
      <c r="OW236" s="33"/>
      <c r="OX236" s="33"/>
      <c r="OY236" s="33"/>
      <c r="OZ236" s="33"/>
      <c r="PA236" s="33"/>
      <c r="PB236" s="33"/>
      <c r="PC236" s="33"/>
      <c r="PD236" s="33"/>
      <c r="PE236" s="33"/>
      <c r="PF236" s="33"/>
      <c r="PG236" s="33"/>
      <c r="PH236" s="33"/>
      <c r="PI236" s="33"/>
      <c r="PJ236" s="33"/>
      <c r="PK236" s="33"/>
      <c r="PL236" s="33"/>
      <c r="PM236" s="33"/>
      <c r="PN236" s="33"/>
      <c r="PO236" s="33"/>
      <c r="PP236" s="33"/>
      <c r="PQ236" s="33"/>
      <c r="PR236" s="33"/>
      <c r="PS236" s="33"/>
      <c r="PT236" s="33"/>
      <c r="PU236" s="33"/>
      <c r="PV236" s="33"/>
      <c r="PW236" s="33"/>
      <c r="PX236" s="33"/>
      <c r="PY236" s="33"/>
      <c r="PZ236" s="33"/>
      <c r="QA236" s="33"/>
      <c r="QB236" s="33"/>
      <c r="QC236" s="33"/>
      <c r="QD236" s="33"/>
      <c r="QE236" s="33"/>
      <c r="QF236" s="33"/>
      <c r="QG236" s="33"/>
      <c r="QH236" s="33"/>
      <c r="QI236" s="33"/>
      <c r="QJ236" s="33"/>
      <c r="QK236" s="33"/>
      <c r="QL236" s="33"/>
      <c r="QM236" s="33"/>
      <c r="QN236" s="33"/>
      <c r="QO236" s="33"/>
      <c r="QP236" s="33"/>
      <c r="QQ236" s="33"/>
      <c r="QR236" s="33"/>
      <c r="QS236" s="33"/>
      <c r="QT236" s="33"/>
      <c r="QU236" s="33"/>
      <c r="QV236" s="33"/>
      <c r="QW236" s="33"/>
      <c r="QX236" s="33"/>
      <c r="QY236" s="33"/>
      <c r="QZ236" s="33"/>
      <c r="RA236" s="33"/>
      <c r="RB236" s="33"/>
      <c r="RC236" s="33"/>
      <c r="RD236" s="33"/>
      <c r="RE236" s="33"/>
      <c r="RF236" s="33"/>
      <c r="RG236" s="33"/>
      <c r="RH236" s="33"/>
      <c r="RI236" s="33"/>
      <c r="RJ236" s="33"/>
      <c r="RK236" s="33"/>
      <c r="RL236" s="33"/>
      <c r="RM236" s="33"/>
      <c r="RN236" s="33"/>
      <c r="RO236" s="33"/>
      <c r="RP236" s="33"/>
      <c r="RQ236" s="33"/>
      <c r="RR236" s="33"/>
      <c r="RS236" s="33"/>
      <c r="RT236" s="33"/>
      <c r="RU236" s="33"/>
      <c r="RV236" s="33"/>
      <c r="RW236" s="33"/>
      <c r="RX236" s="33"/>
      <c r="RY236" s="33"/>
      <c r="RZ236" s="33"/>
      <c r="SA236" s="33"/>
      <c r="SB236" s="33"/>
      <c r="SC236" s="33"/>
      <c r="SD236" s="33"/>
      <c r="SE236" s="33"/>
      <c r="SF236" s="33"/>
      <c r="SG236" s="33"/>
      <c r="SH236" s="33"/>
      <c r="SI236" s="33"/>
      <c r="SJ236" s="33"/>
      <c r="SK236" s="33"/>
      <c r="SL236" s="33"/>
      <c r="SM236" s="33"/>
      <c r="SN236" s="33"/>
      <c r="SO236" s="33"/>
      <c r="SP236" s="33"/>
      <c r="SQ236" s="33"/>
      <c r="SR236" s="33"/>
      <c r="SS236" s="33"/>
      <c r="ST236" s="33"/>
      <c r="SU236" s="33"/>
      <c r="SV236" s="33"/>
      <c r="SW236" s="33"/>
      <c r="SX236" s="33"/>
      <c r="SY236" s="33"/>
      <c r="SZ236" s="33"/>
      <c r="TA236" s="33"/>
      <c r="TB236" s="33"/>
      <c r="TC236" s="33"/>
      <c r="TD236" s="33"/>
      <c r="TE236" s="33"/>
    </row>
    <row r="237" spans="1:525" s="34" customFormat="1" ht="15.75" x14ac:dyDescent="0.25">
      <c r="A237" s="86"/>
      <c r="B237" s="95"/>
      <c r="C237" s="95"/>
      <c r="D237" s="75" t="s">
        <v>413</v>
      </c>
      <c r="E237" s="134">
        <f>E269</f>
        <v>0</v>
      </c>
      <c r="F237" s="134">
        <f t="shared" ref="F237:P237" si="110">F269</f>
        <v>0</v>
      </c>
      <c r="G237" s="134">
        <f t="shared" si="110"/>
        <v>0</v>
      </c>
      <c r="H237" s="134">
        <f t="shared" si="110"/>
        <v>0</v>
      </c>
      <c r="I237" s="134">
        <f t="shared" si="110"/>
        <v>0</v>
      </c>
      <c r="J237" s="134">
        <f t="shared" si="110"/>
        <v>47115000</v>
      </c>
      <c r="K237" s="134">
        <f t="shared" si="110"/>
        <v>47115000</v>
      </c>
      <c r="L237" s="134">
        <f t="shared" si="110"/>
        <v>0</v>
      </c>
      <c r="M237" s="134">
        <f t="shared" si="110"/>
        <v>0</v>
      </c>
      <c r="N237" s="134">
        <f t="shared" si="110"/>
        <v>0</v>
      </c>
      <c r="O237" s="134">
        <f t="shared" si="110"/>
        <v>47115000</v>
      </c>
      <c r="P237" s="134">
        <f t="shared" si="110"/>
        <v>47115000</v>
      </c>
      <c r="Q237" s="178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3"/>
      <c r="HG237" s="33"/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  <c r="IU237" s="33"/>
      <c r="IV237" s="33"/>
      <c r="IW237" s="33"/>
      <c r="IX237" s="33"/>
      <c r="IY237" s="33"/>
      <c r="IZ237" s="33"/>
      <c r="JA237" s="33"/>
      <c r="JB237" s="33"/>
      <c r="JC237" s="33"/>
      <c r="JD237" s="33"/>
      <c r="JE237" s="33"/>
      <c r="JF237" s="33"/>
      <c r="JG237" s="33"/>
      <c r="JH237" s="33"/>
      <c r="JI237" s="33"/>
      <c r="JJ237" s="33"/>
      <c r="JK237" s="33"/>
      <c r="JL237" s="33"/>
      <c r="JM237" s="33"/>
      <c r="JN237" s="33"/>
      <c r="JO237" s="33"/>
      <c r="JP237" s="33"/>
      <c r="JQ237" s="33"/>
      <c r="JR237" s="33"/>
      <c r="JS237" s="33"/>
      <c r="JT237" s="33"/>
      <c r="JU237" s="33"/>
      <c r="JV237" s="33"/>
      <c r="JW237" s="33"/>
      <c r="JX237" s="33"/>
      <c r="JY237" s="33"/>
      <c r="JZ237" s="33"/>
      <c r="KA237" s="33"/>
      <c r="KB237" s="33"/>
      <c r="KC237" s="33"/>
      <c r="KD237" s="33"/>
      <c r="KE237" s="33"/>
      <c r="KF237" s="33"/>
      <c r="KG237" s="33"/>
      <c r="KH237" s="33"/>
      <c r="KI237" s="33"/>
      <c r="KJ237" s="33"/>
      <c r="KK237" s="33"/>
      <c r="KL237" s="33"/>
      <c r="KM237" s="33"/>
      <c r="KN237" s="33"/>
      <c r="KO237" s="33"/>
      <c r="KP237" s="33"/>
      <c r="KQ237" s="33"/>
      <c r="KR237" s="33"/>
      <c r="KS237" s="33"/>
      <c r="KT237" s="33"/>
      <c r="KU237" s="33"/>
      <c r="KV237" s="33"/>
      <c r="KW237" s="33"/>
      <c r="KX237" s="33"/>
      <c r="KY237" s="33"/>
      <c r="KZ237" s="33"/>
      <c r="LA237" s="33"/>
      <c r="LB237" s="33"/>
      <c r="LC237" s="33"/>
      <c r="LD237" s="33"/>
      <c r="LE237" s="33"/>
      <c r="LF237" s="33"/>
      <c r="LG237" s="33"/>
      <c r="LH237" s="33"/>
      <c r="LI237" s="33"/>
      <c r="LJ237" s="33"/>
      <c r="LK237" s="33"/>
      <c r="LL237" s="33"/>
      <c r="LM237" s="33"/>
      <c r="LN237" s="33"/>
      <c r="LO237" s="33"/>
      <c r="LP237" s="33"/>
      <c r="LQ237" s="33"/>
      <c r="LR237" s="33"/>
      <c r="LS237" s="33"/>
      <c r="LT237" s="33"/>
      <c r="LU237" s="33"/>
      <c r="LV237" s="33"/>
      <c r="LW237" s="33"/>
      <c r="LX237" s="33"/>
      <c r="LY237" s="33"/>
      <c r="LZ237" s="33"/>
      <c r="MA237" s="33"/>
      <c r="MB237" s="33"/>
      <c r="MC237" s="33"/>
      <c r="MD237" s="33"/>
      <c r="ME237" s="33"/>
      <c r="MF237" s="33"/>
      <c r="MG237" s="33"/>
      <c r="MH237" s="33"/>
      <c r="MI237" s="33"/>
      <c r="MJ237" s="33"/>
      <c r="MK237" s="33"/>
      <c r="ML237" s="33"/>
      <c r="MM237" s="33"/>
      <c r="MN237" s="33"/>
      <c r="MO237" s="33"/>
      <c r="MP237" s="33"/>
      <c r="MQ237" s="33"/>
      <c r="MR237" s="33"/>
      <c r="MS237" s="33"/>
      <c r="MT237" s="33"/>
      <c r="MU237" s="33"/>
      <c r="MV237" s="33"/>
      <c r="MW237" s="33"/>
      <c r="MX237" s="33"/>
      <c r="MY237" s="33"/>
      <c r="MZ237" s="33"/>
      <c r="NA237" s="33"/>
      <c r="NB237" s="33"/>
      <c r="NC237" s="33"/>
      <c r="ND237" s="33"/>
      <c r="NE237" s="33"/>
      <c r="NF237" s="33"/>
      <c r="NG237" s="33"/>
      <c r="NH237" s="33"/>
      <c r="NI237" s="33"/>
      <c r="NJ237" s="33"/>
      <c r="NK237" s="33"/>
      <c r="NL237" s="33"/>
      <c r="NM237" s="33"/>
      <c r="NN237" s="33"/>
      <c r="NO237" s="33"/>
      <c r="NP237" s="33"/>
      <c r="NQ237" s="33"/>
      <c r="NR237" s="33"/>
      <c r="NS237" s="33"/>
      <c r="NT237" s="33"/>
      <c r="NU237" s="33"/>
      <c r="NV237" s="33"/>
      <c r="NW237" s="33"/>
      <c r="NX237" s="33"/>
      <c r="NY237" s="33"/>
      <c r="NZ237" s="33"/>
      <c r="OA237" s="33"/>
      <c r="OB237" s="33"/>
      <c r="OC237" s="33"/>
      <c r="OD237" s="33"/>
      <c r="OE237" s="33"/>
      <c r="OF237" s="33"/>
      <c r="OG237" s="33"/>
      <c r="OH237" s="33"/>
      <c r="OI237" s="33"/>
      <c r="OJ237" s="33"/>
      <c r="OK237" s="33"/>
      <c r="OL237" s="33"/>
      <c r="OM237" s="33"/>
      <c r="ON237" s="33"/>
      <c r="OO237" s="33"/>
      <c r="OP237" s="33"/>
      <c r="OQ237" s="33"/>
      <c r="OR237" s="33"/>
      <c r="OS237" s="33"/>
      <c r="OT237" s="33"/>
      <c r="OU237" s="33"/>
      <c r="OV237" s="33"/>
      <c r="OW237" s="33"/>
      <c r="OX237" s="33"/>
      <c r="OY237" s="33"/>
      <c r="OZ237" s="33"/>
      <c r="PA237" s="33"/>
      <c r="PB237" s="33"/>
      <c r="PC237" s="33"/>
      <c r="PD237" s="33"/>
      <c r="PE237" s="33"/>
      <c r="PF237" s="33"/>
      <c r="PG237" s="33"/>
      <c r="PH237" s="33"/>
      <c r="PI237" s="33"/>
      <c r="PJ237" s="33"/>
      <c r="PK237" s="33"/>
      <c r="PL237" s="33"/>
      <c r="PM237" s="33"/>
      <c r="PN237" s="33"/>
      <c r="PO237" s="33"/>
      <c r="PP237" s="33"/>
      <c r="PQ237" s="33"/>
      <c r="PR237" s="33"/>
      <c r="PS237" s="33"/>
      <c r="PT237" s="33"/>
      <c r="PU237" s="33"/>
      <c r="PV237" s="33"/>
      <c r="PW237" s="33"/>
      <c r="PX237" s="33"/>
      <c r="PY237" s="33"/>
      <c r="PZ237" s="33"/>
      <c r="QA237" s="33"/>
      <c r="QB237" s="33"/>
      <c r="QC237" s="33"/>
      <c r="QD237" s="33"/>
      <c r="QE237" s="33"/>
      <c r="QF237" s="33"/>
      <c r="QG237" s="33"/>
      <c r="QH237" s="33"/>
      <c r="QI237" s="33"/>
      <c r="QJ237" s="33"/>
      <c r="QK237" s="33"/>
      <c r="QL237" s="33"/>
      <c r="QM237" s="33"/>
      <c r="QN237" s="33"/>
      <c r="QO237" s="33"/>
      <c r="QP237" s="33"/>
      <c r="QQ237" s="33"/>
      <c r="QR237" s="33"/>
      <c r="QS237" s="33"/>
      <c r="QT237" s="33"/>
      <c r="QU237" s="33"/>
      <c r="QV237" s="33"/>
      <c r="QW237" s="33"/>
      <c r="QX237" s="33"/>
      <c r="QY237" s="33"/>
      <c r="QZ237" s="33"/>
      <c r="RA237" s="33"/>
      <c r="RB237" s="33"/>
      <c r="RC237" s="33"/>
      <c r="RD237" s="33"/>
      <c r="RE237" s="33"/>
      <c r="RF237" s="33"/>
      <c r="RG237" s="33"/>
      <c r="RH237" s="33"/>
      <c r="RI237" s="33"/>
      <c r="RJ237" s="33"/>
      <c r="RK237" s="33"/>
      <c r="RL237" s="33"/>
      <c r="RM237" s="33"/>
      <c r="RN237" s="33"/>
      <c r="RO237" s="33"/>
      <c r="RP237" s="33"/>
      <c r="RQ237" s="33"/>
      <c r="RR237" s="33"/>
      <c r="RS237" s="33"/>
      <c r="RT237" s="33"/>
      <c r="RU237" s="33"/>
      <c r="RV237" s="33"/>
      <c r="RW237" s="33"/>
      <c r="RX237" s="33"/>
      <c r="RY237" s="33"/>
      <c r="RZ237" s="33"/>
      <c r="SA237" s="33"/>
      <c r="SB237" s="33"/>
      <c r="SC237" s="33"/>
      <c r="SD237" s="33"/>
      <c r="SE237" s="33"/>
      <c r="SF237" s="33"/>
      <c r="SG237" s="33"/>
      <c r="SH237" s="33"/>
      <c r="SI237" s="33"/>
      <c r="SJ237" s="33"/>
      <c r="SK237" s="33"/>
      <c r="SL237" s="33"/>
      <c r="SM237" s="33"/>
      <c r="SN237" s="33"/>
      <c r="SO237" s="33"/>
      <c r="SP237" s="33"/>
      <c r="SQ237" s="33"/>
      <c r="SR237" s="33"/>
      <c r="SS237" s="33"/>
      <c r="ST237" s="33"/>
      <c r="SU237" s="33"/>
      <c r="SV237" s="33"/>
      <c r="SW237" s="33"/>
      <c r="SX237" s="33"/>
      <c r="SY237" s="33"/>
      <c r="SZ237" s="33"/>
      <c r="TA237" s="33"/>
      <c r="TB237" s="33"/>
      <c r="TC237" s="33"/>
      <c r="TD237" s="33"/>
      <c r="TE237" s="33"/>
    </row>
    <row r="238" spans="1:525" s="22" customFormat="1" ht="47.25" x14ac:dyDescent="0.25">
      <c r="A238" s="56" t="s">
        <v>193</v>
      </c>
      <c r="B238" s="56" t="str">
        <f>'дод 7'!A14</f>
        <v>0160</v>
      </c>
      <c r="C238" s="56" t="str">
        <f>'дод 7'!B14</f>
        <v>0111</v>
      </c>
      <c r="D238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238" s="135">
        <f t="shared" ref="E238:E278" si="111">F238+I238</f>
        <v>14094400</v>
      </c>
      <c r="F238" s="135">
        <f>15256000-1161600</f>
        <v>14094400</v>
      </c>
      <c r="G238" s="135">
        <f>11744100-952100</f>
        <v>10792000</v>
      </c>
      <c r="H238" s="135">
        <v>400800</v>
      </c>
      <c r="I238" s="135"/>
      <c r="J238" s="135">
        <f>L238+O238</f>
        <v>200000</v>
      </c>
      <c r="K238" s="135">
        <v>200000</v>
      </c>
      <c r="L238" s="135"/>
      <c r="M238" s="135"/>
      <c r="N238" s="135"/>
      <c r="O238" s="135">
        <v>200000</v>
      </c>
      <c r="P238" s="135">
        <f t="shared" ref="P238:P279" si="112">E238+J238</f>
        <v>14294400</v>
      </c>
      <c r="Q238" s="178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</row>
    <row r="239" spans="1:525" s="22" customFormat="1" ht="23.25" hidden="1" customHeight="1" x14ac:dyDescent="0.25">
      <c r="A239" s="56" t="s">
        <v>520</v>
      </c>
      <c r="B239" s="56" t="s">
        <v>44</v>
      </c>
      <c r="C239" s="56" t="s">
        <v>92</v>
      </c>
      <c r="D239" s="85" t="s">
        <v>239</v>
      </c>
      <c r="E239" s="135">
        <f t="shared" si="111"/>
        <v>0</v>
      </c>
      <c r="F239" s="135"/>
      <c r="G239" s="135"/>
      <c r="H239" s="135"/>
      <c r="I239" s="135"/>
      <c r="J239" s="135">
        <f>L239+O239</f>
        <v>0</v>
      </c>
      <c r="K239" s="135"/>
      <c r="L239" s="135"/>
      <c r="M239" s="135"/>
      <c r="N239" s="135"/>
      <c r="O239" s="135"/>
      <c r="P239" s="135">
        <f t="shared" si="112"/>
        <v>0</v>
      </c>
      <c r="Q239" s="178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</row>
    <row r="240" spans="1:525" s="22" customFormat="1" ht="19.5" customHeight="1" x14ac:dyDescent="0.25">
      <c r="A240" s="89" t="s">
        <v>297</v>
      </c>
      <c r="B240" s="42" t="str">
        <f>'дод 7'!A131</f>
        <v>3210</v>
      </c>
      <c r="C240" s="42" t="str">
        <f>'дод 7'!B131</f>
        <v>1050</v>
      </c>
      <c r="D240" s="36" t="str">
        <f>'дод 7'!C131</f>
        <v>Організація та проведення громадських робіт</v>
      </c>
      <c r="E240" s="135">
        <f t="shared" si="111"/>
        <v>200000</v>
      </c>
      <c r="F240" s="135">
        <v>200000</v>
      </c>
      <c r="G240" s="135"/>
      <c r="H240" s="135"/>
      <c r="I240" s="135"/>
      <c r="J240" s="135">
        <f t="shared" ref="J240:J279" si="113">L240+O240</f>
        <v>0</v>
      </c>
      <c r="K240" s="135"/>
      <c r="L240" s="135"/>
      <c r="M240" s="135"/>
      <c r="N240" s="135"/>
      <c r="O240" s="135"/>
      <c r="P240" s="135">
        <f t="shared" si="112"/>
        <v>200000</v>
      </c>
      <c r="Q240" s="178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</row>
    <row r="241" spans="1:525" s="22" customFormat="1" ht="33.75" customHeight="1" x14ac:dyDescent="0.25">
      <c r="A241" s="56" t="s">
        <v>194</v>
      </c>
      <c r="B241" s="84" t="str">
        <f>'дод 7'!A157</f>
        <v>6011</v>
      </c>
      <c r="C241" s="84" t="str">
        <f>'дод 7'!B157</f>
        <v>0610</v>
      </c>
      <c r="D241" s="57" t="str">
        <f>'дод 7'!C157</f>
        <v>Експлуатація та технічне обслуговування житлового фонду</v>
      </c>
      <c r="E241" s="135">
        <f t="shared" si="111"/>
        <v>0</v>
      </c>
      <c r="F241" s="135"/>
      <c r="G241" s="135"/>
      <c r="H241" s="135"/>
      <c r="I241" s="135"/>
      <c r="J241" s="135">
        <f t="shared" si="113"/>
        <v>5560000</v>
      </c>
      <c r="K241" s="135">
        <f>6000000+3000000-5000000+700000+860000</f>
        <v>5560000</v>
      </c>
      <c r="L241" s="135"/>
      <c r="M241" s="135"/>
      <c r="N241" s="135"/>
      <c r="O241" s="135">
        <f>6000000+3000000-5000000+700000+860000</f>
        <v>5560000</v>
      </c>
      <c r="P241" s="135">
        <f t="shared" si="112"/>
        <v>5560000</v>
      </c>
      <c r="Q241" s="178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</row>
    <row r="242" spans="1:525" s="22" customFormat="1" ht="31.5" x14ac:dyDescent="0.25">
      <c r="A242" s="56" t="s">
        <v>195</v>
      </c>
      <c r="B242" s="84" t="str">
        <f>'дод 7'!A158</f>
        <v>6013</v>
      </c>
      <c r="C242" s="84" t="str">
        <f>'дод 7'!B158</f>
        <v>0620</v>
      </c>
      <c r="D242" s="57" t="str">
        <f>'дод 7'!C158</f>
        <v>Забезпечення діяльності водопровідно-каналізаційного господарства</v>
      </c>
      <c r="E242" s="135">
        <f t="shared" si="111"/>
        <v>5620000</v>
      </c>
      <c r="F242" s="135">
        <f>376000+44000</f>
        <v>420000</v>
      </c>
      <c r="G242" s="135"/>
      <c r="H242" s="135"/>
      <c r="I242" s="135">
        <f>200000+5000000</f>
        <v>5200000</v>
      </c>
      <c r="J242" s="135">
        <f t="shared" si="113"/>
        <v>0</v>
      </c>
      <c r="K242" s="135"/>
      <c r="L242" s="135"/>
      <c r="M242" s="135"/>
      <c r="N242" s="135"/>
      <c r="O242" s="135"/>
      <c r="P242" s="135">
        <f t="shared" si="112"/>
        <v>5620000</v>
      </c>
      <c r="Q242" s="178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</row>
    <row r="243" spans="1:525" s="22" customFormat="1" ht="22.5" customHeight="1" x14ac:dyDescent="0.25">
      <c r="A243" s="56" t="s">
        <v>621</v>
      </c>
      <c r="B243" s="84">
        <f>'дод 7'!A159</f>
        <v>6014</v>
      </c>
      <c r="C243" s="84" t="str">
        <f>'дод 7'!B159</f>
        <v>0620</v>
      </c>
      <c r="D243" s="84" t="str">
        <f>'дод 7'!C159</f>
        <v>Забезпечення збору та вивезення сміття і відходів</v>
      </c>
      <c r="E243" s="135">
        <f t="shared" ref="E243" si="114">F243+I243</f>
        <v>300000</v>
      </c>
      <c r="F243" s="135">
        <v>300000</v>
      </c>
      <c r="G243" s="135"/>
      <c r="H243" s="135"/>
      <c r="I243" s="135"/>
      <c r="J243" s="135">
        <f t="shared" ref="J243" si="115">L243+O243</f>
        <v>0</v>
      </c>
      <c r="K243" s="135"/>
      <c r="L243" s="135"/>
      <c r="M243" s="135"/>
      <c r="N243" s="135"/>
      <c r="O243" s="135"/>
      <c r="P243" s="135">
        <f t="shared" ref="P243" si="116">E243+J243</f>
        <v>300000</v>
      </c>
      <c r="Q243" s="178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</row>
    <row r="244" spans="1:525" s="22" customFormat="1" ht="33" customHeight="1" x14ac:dyDescent="0.25">
      <c r="A244" s="56" t="s">
        <v>256</v>
      </c>
      <c r="B244" s="84" t="str">
        <f>'дод 7'!A160</f>
        <v>6015</v>
      </c>
      <c r="C244" s="84" t="str">
        <f>'дод 7'!B160</f>
        <v>0620</v>
      </c>
      <c r="D244" s="57" t="str">
        <f>'дод 7'!C160</f>
        <v>Забезпечення надійної та безперебійної експлуатації ліфтів</v>
      </c>
      <c r="E244" s="135">
        <f t="shared" si="111"/>
        <v>100000</v>
      </c>
      <c r="F244" s="135">
        <v>100000</v>
      </c>
      <c r="G244" s="135"/>
      <c r="H244" s="135"/>
      <c r="I244" s="135"/>
      <c r="J244" s="135">
        <f t="shared" si="113"/>
        <v>14472274</v>
      </c>
      <c r="K244" s="135">
        <f>7000000+5000000+300000+2080000</f>
        <v>14380000</v>
      </c>
      <c r="L244" s="135"/>
      <c r="M244" s="135"/>
      <c r="N244" s="135"/>
      <c r="O244" s="135">
        <f>7000000+92274+5000000+300000+2080000</f>
        <v>14472274</v>
      </c>
      <c r="P244" s="135">
        <f t="shared" si="112"/>
        <v>14572274</v>
      </c>
      <c r="Q244" s="178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</row>
    <row r="245" spans="1:525" s="22" customFormat="1" ht="32.25" customHeight="1" x14ac:dyDescent="0.25">
      <c r="A245" s="56" t="s">
        <v>259</v>
      </c>
      <c r="B245" s="84" t="str">
        <f>'дод 7'!A161</f>
        <v>6017</v>
      </c>
      <c r="C245" s="84" t="str">
        <f>'дод 7'!B161</f>
        <v>0620</v>
      </c>
      <c r="D245" s="57" t="str">
        <f>'дод 7'!C161</f>
        <v>Інша діяльність, пов’язана з експлуатацією об’єктів житлово-комунального господарства</v>
      </c>
      <c r="E245" s="135">
        <f t="shared" si="111"/>
        <v>110000</v>
      </c>
      <c r="F245" s="135">
        <v>110000</v>
      </c>
      <c r="G245" s="135"/>
      <c r="H245" s="135"/>
      <c r="I245" s="135"/>
      <c r="J245" s="135">
        <f t="shared" si="113"/>
        <v>0</v>
      </c>
      <c r="K245" s="135"/>
      <c r="L245" s="135"/>
      <c r="M245" s="135"/>
      <c r="N245" s="135"/>
      <c r="O245" s="135"/>
      <c r="P245" s="135">
        <f t="shared" si="112"/>
        <v>110000</v>
      </c>
      <c r="Q245" s="178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</row>
    <row r="246" spans="1:525" s="22" customFormat="1" ht="47.25" x14ac:dyDescent="0.25">
      <c r="A246" s="56" t="s">
        <v>196</v>
      </c>
      <c r="B246" s="84" t="str">
        <f>'дод 7'!A162</f>
        <v>6020</v>
      </c>
      <c r="C246" s="84" t="str">
        <f>'дод 7'!B162</f>
        <v>0620</v>
      </c>
      <c r="D246" s="57" t="str">
        <f>'дод 7'!C162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6" s="135">
        <f t="shared" si="111"/>
        <v>350000</v>
      </c>
      <c r="F246" s="135"/>
      <c r="G246" s="135"/>
      <c r="H246" s="135"/>
      <c r="I246" s="135">
        <v>350000</v>
      </c>
      <c r="J246" s="135">
        <f t="shared" si="113"/>
        <v>0</v>
      </c>
      <c r="K246" s="135"/>
      <c r="L246" s="135"/>
      <c r="M246" s="135"/>
      <c r="N246" s="135"/>
      <c r="O246" s="135"/>
      <c r="P246" s="135">
        <f t="shared" si="112"/>
        <v>350000</v>
      </c>
      <c r="Q246" s="178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</row>
    <row r="247" spans="1:525" s="22" customFormat="1" ht="24.75" customHeight="1" x14ac:dyDescent="0.25">
      <c r="A247" s="56" t="s">
        <v>197</v>
      </c>
      <c r="B247" s="84" t="str">
        <f>'дод 7'!A163</f>
        <v>6030</v>
      </c>
      <c r="C247" s="84" t="str">
        <f>'дод 7'!B163</f>
        <v>0620</v>
      </c>
      <c r="D247" s="57" t="str">
        <f>'дод 7'!C163</f>
        <v>Організація благоустрою населених пунктів</v>
      </c>
      <c r="E247" s="135">
        <f t="shared" si="111"/>
        <v>203981000</v>
      </c>
      <c r="F247" s="135">
        <f>265050000-214000+250000+10400000-2690000+2600000-3885000+50000+400000+200000-81500000+150000+5000000+6000000+2000000-44000</f>
        <v>203767000</v>
      </c>
      <c r="G247" s="135"/>
      <c r="H247" s="135">
        <f>43800000+610000</f>
        <v>44410000</v>
      </c>
      <c r="I247" s="135">
        <v>214000</v>
      </c>
      <c r="J247" s="135">
        <f t="shared" si="113"/>
        <v>52950000</v>
      </c>
      <c r="K247" s="135">
        <f>37633000-9250000-5283000+500000+850000+9000000+19800000+750000+9000000+1500000+5000000+650000+10000000-1950000-24350000+1100000-2000000</f>
        <v>52950000</v>
      </c>
      <c r="L247" s="137"/>
      <c r="M247" s="135"/>
      <c r="N247" s="135"/>
      <c r="O247" s="135">
        <f>37633000-9250000-5283000+500000+850000+9000000+19800000+750000+9000000+1500000+5000000+650000+10000000-1950000-24350000+1100000-2000000</f>
        <v>52950000</v>
      </c>
      <c r="P247" s="135">
        <f t="shared" si="112"/>
        <v>256931000</v>
      </c>
      <c r="Q247" s="178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</row>
    <row r="248" spans="1:525" s="22" customFormat="1" ht="99.75" hidden="1" customHeight="1" x14ac:dyDescent="0.25">
      <c r="A248" s="56" t="s">
        <v>568</v>
      </c>
      <c r="B248" s="84">
        <v>6083</v>
      </c>
      <c r="C248" s="56" t="s">
        <v>67</v>
      </c>
      <c r="D248" s="11" t="s">
        <v>428</v>
      </c>
      <c r="E248" s="135">
        <f>F248+I248</f>
        <v>0</v>
      </c>
      <c r="F248" s="135"/>
      <c r="G248" s="135"/>
      <c r="H248" s="135"/>
      <c r="I248" s="135"/>
      <c r="J248" s="135">
        <f t="shared" si="113"/>
        <v>0</v>
      </c>
      <c r="K248" s="135"/>
      <c r="L248" s="135"/>
      <c r="M248" s="135"/>
      <c r="N248" s="135"/>
      <c r="O248" s="135"/>
      <c r="P248" s="135">
        <f>E248+J248</f>
        <v>0</v>
      </c>
      <c r="Q248" s="178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</row>
    <row r="249" spans="1:525" s="22" customFormat="1" ht="141.75" hidden="1" customHeight="1" x14ac:dyDescent="0.25">
      <c r="A249" s="76"/>
      <c r="B249" s="97"/>
      <c r="C249" s="76"/>
      <c r="D249" s="82" t="s">
        <v>572</v>
      </c>
      <c r="E249" s="135">
        <f>F249+I249</f>
        <v>0</v>
      </c>
      <c r="F249" s="136"/>
      <c r="G249" s="136"/>
      <c r="H249" s="136"/>
      <c r="I249" s="136"/>
      <c r="J249" s="135">
        <f t="shared" si="113"/>
        <v>0</v>
      </c>
      <c r="K249" s="136"/>
      <c r="L249" s="136"/>
      <c r="M249" s="136"/>
      <c r="N249" s="136"/>
      <c r="O249" s="136"/>
      <c r="P249" s="135">
        <f>E249+J249</f>
        <v>0</v>
      </c>
      <c r="Q249" s="178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</row>
    <row r="250" spans="1:525" s="22" customFormat="1" ht="109.5" customHeight="1" x14ac:dyDescent="0.25">
      <c r="A250" s="56" t="s">
        <v>581</v>
      </c>
      <c r="B250" s="84">
        <v>6071</v>
      </c>
      <c r="C250" s="56" t="s">
        <v>307</v>
      </c>
      <c r="D250" s="57" t="str">
        <f>'дод 7'!C164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50" s="135">
        <f t="shared" ref="E250" si="117">F250+I250</f>
        <v>176937574</v>
      </c>
      <c r="F250" s="135"/>
      <c r="G250" s="135"/>
      <c r="H250" s="135"/>
      <c r="I250" s="135">
        <f>180117574-3180000</f>
        <v>176937574</v>
      </c>
      <c r="J250" s="135">
        <f t="shared" ref="J250" si="118">L250+O250</f>
        <v>0</v>
      </c>
      <c r="K250" s="135"/>
      <c r="L250" s="137"/>
      <c r="M250" s="135"/>
      <c r="N250" s="135"/>
      <c r="O250" s="135"/>
      <c r="P250" s="135">
        <f t="shared" ref="P250" si="119">E250+J250</f>
        <v>176937574</v>
      </c>
      <c r="Q250" s="178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</row>
    <row r="251" spans="1:525" s="22" customFormat="1" ht="31.5" customHeight="1" x14ac:dyDescent="0.25">
      <c r="A251" s="56" t="s">
        <v>249</v>
      </c>
      <c r="B251" s="84" t="str">
        <f>'дод 7'!A168</f>
        <v>6090</v>
      </c>
      <c r="C251" s="84" t="str">
        <f>'дод 7'!B168</f>
        <v>0640</v>
      </c>
      <c r="D251" s="57" t="str">
        <f>'дод 7'!C168</f>
        <v>Інша діяльність у сфері житлово-комунального господарства</v>
      </c>
      <c r="E251" s="135">
        <f t="shared" si="111"/>
        <v>28111760</v>
      </c>
      <c r="F251" s="135">
        <f>49111760-100000-21000000</f>
        <v>28011760</v>
      </c>
      <c r="G251" s="135"/>
      <c r="H251" s="135">
        <v>60000</v>
      </c>
      <c r="I251" s="135">
        <v>100000</v>
      </c>
      <c r="J251" s="135">
        <f t="shared" si="113"/>
        <v>1779900</v>
      </c>
      <c r="K251" s="135"/>
      <c r="L251" s="135">
        <v>1779900</v>
      </c>
      <c r="M251" s="135"/>
      <c r="N251" s="135"/>
      <c r="O251" s="135"/>
      <c r="P251" s="135">
        <f t="shared" si="112"/>
        <v>29891660</v>
      </c>
      <c r="Q251" s="178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</row>
    <row r="252" spans="1:525" s="22" customFormat="1" ht="31.5" x14ac:dyDescent="0.25">
      <c r="A252" s="56" t="s">
        <v>268</v>
      </c>
      <c r="B252" s="84" t="str">
        <f>'дод 7'!A179</f>
        <v>7310</v>
      </c>
      <c r="C252" s="84" t="str">
        <f>'дод 7'!B179</f>
        <v>0443</v>
      </c>
      <c r="D252" s="6" t="str">
        <f>'дод 7'!C179</f>
        <v>Будівництво1 об'єктів житлово-комунального господарства</v>
      </c>
      <c r="E252" s="135">
        <f t="shared" si="111"/>
        <v>0</v>
      </c>
      <c r="F252" s="135"/>
      <c r="G252" s="135"/>
      <c r="H252" s="135"/>
      <c r="I252" s="135"/>
      <c r="J252" s="135">
        <f t="shared" si="113"/>
        <v>113149212</v>
      </c>
      <c r="K252" s="135">
        <f>7300000+1400000+4465000+52390680+81500000-3000000-700000-5000000-19000000+4000000-13000000-150000-44968-1110000+9000000-2000000-355000-595000+40000-301500-1590000-100000</f>
        <v>113149212</v>
      </c>
      <c r="L252" s="135"/>
      <c r="M252" s="135"/>
      <c r="N252" s="135"/>
      <c r="O252" s="135">
        <f>7300000+1400000+4465000+52390680+81500000-3000000-700000-5000000-19000000+4000000-13000000-150000-44968-1110000+9000000-2000000-355000-595000+40000-301500-1590000-100000</f>
        <v>113149212</v>
      </c>
      <c r="P252" s="135">
        <f t="shared" si="112"/>
        <v>113149212</v>
      </c>
      <c r="Q252" s="178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</row>
    <row r="253" spans="1:525" s="22" customFormat="1" ht="30" customHeight="1" x14ac:dyDescent="0.25">
      <c r="A253" s="56" t="s">
        <v>270</v>
      </c>
      <c r="B253" s="84" t="str">
        <f>'дод 7'!A186</f>
        <v>7330</v>
      </c>
      <c r="C253" s="84" t="str">
        <f>'дод 7'!B186</f>
        <v>0443</v>
      </c>
      <c r="D253" s="6" t="str">
        <f>'дод 7'!C186</f>
        <v>Будівництво1 інших об'єктів комунальної власності</v>
      </c>
      <c r="E253" s="135">
        <f t="shared" si="111"/>
        <v>0</v>
      </c>
      <c r="F253" s="135"/>
      <c r="G253" s="135"/>
      <c r="H253" s="135"/>
      <c r="I253" s="135"/>
      <c r="J253" s="135">
        <f t="shared" si="113"/>
        <v>15000000</v>
      </c>
      <c r="K253" s="135">
        <f>500000+60100000+500000+1700000-20000000-1100000-1000000-1100000-400000-200000-24000000</f>
        <v>15000000</v>
      </c>
      <c r="L253" s="135"/>
      <c r="M253" s="135"/>
      <c r="N253" s="135"/>
      <c r="O253" s="135">
        <f>60600000+500000+1700000-20000000-1100000-1000000-1100000-400000-200000-24000000</f>
        <v>15000000</v>
      </c>
      <c r="P253" s="135">
        <f t="shared" si="112"/>
        <v>15000000</v>
      </c>
      <c r="Q253" s="178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</row>
    <row r="254" spans="1:525" s="22" customFormat="1" ht="33" hidden="1" customHeight="1" x14ac:dyDescent="0.25">
      <c r="A254" s="56" t="s">
        <v>198</v>
      </c>
      <c r="B254" s="84">
        <v>7340</v>
      </c>
      <c r="C254" s="84" t="str">
        <f>'дод 7'!B185</f>
        <v>0443</v>
      </c>
      <c r="D254" s="57" t="str">
        <f>'дод 7'!C187</f>
        <v>Проектування, реставрація та охорона пам'яток архітектури</v>
      </c>
      <c r="E254" s="135">
        <f t="shared" ref="E254" si="120">F254+I254</f>
        <v>0</v>
      </c>
      <c r="F254" s="135"/>
      <c r="G254" s="135"/>
      <c r="H254" s="135"/>
      <c r="I254" s="135"/>
      <c r="J254" s="135">
        <f t="shared" si="113"/>
        <v>0</v>
      </c>
      <c r="K254" s="135"/>
      <c r="L254" s="135"/>
      <c r="M254" s="135"/>
      <c r="N254" s="135"/>
      <c r="O254" s="135"/>
      <c r="P254" s="135">
        <f t="shared" ref="P254" si="121">E254+J254</f>
        <v>0</v>
      </c>
      <c r="Q254" s="178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</row>
    <row r="255" spans="1:525" s="22" customFormat="1" ht="49.5" hidden="1" customHeight="1" x14ac:dyDescent="0.25">
      <c r="A255" s="56" t="s">
        <v>365</v>
      </c>
      <c r="B255" s="84">
        <f>'дод 7'!A189</f>
        <v>7361</v>
      </c>
      <c r="C255" s="84" t="str">
        <f>'дод 7'!B189</f>
        <v>0490</v>
      </c>
      <c r="D255" s="57" t="str">
        <f>'дод 7'!C189</f>
        <v>Співфінансування інвестиційних проектів, що реалізуються за рахунок коштів державного фонду регіонального розвитку</v>
      </c>
      <c r="E255" s="135">
        <f t="shared" si="111"/>
        <v>0</v>
      </c>
      <c r="F255" s="135"/>
      <c r="G255" s="135"/>
      <c r="H255" s="135"/>
      <c r="I255" s="135"/>
      <c r="J255" s="135">
        <f t="shared" si="113"/>
        <v>0</v>
      </c>
      <c r="K255" s="135"/>
      <c r="L255" s="135"/>
      <c r="M255" s="135"/>
      <c r="N255" s="135"/>
      <c r="O255" s="135"/>
      <c r="P255" s="135">
        <f t="shared" si="112"/>
        <v>0</v>
      </c>
      <c r="Q255" s="178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</row>
    <row r="256" spans="1:525" s="22" customFormat="1" ht="30" hidden="1" customHeight="1" x14ac:dyDescent="0.25">
      <c r="A256" s="56">
        <v>1217362</v>
      </c>
      <c r="B256" s="84">
        <f>'дод 7'!A190</f>
        <v>7362</v>
      </c>
      <c r="C256" s="84" t="str">
        <f>'дод 7'!B190</f>
        <v>0490</v>
      </c>
      <c r="D256" s="57" t="str">
        <f>'дод 7'!C190</f>
        <v>Виконання інвестиційних проектів в рамках підтримки розвитку об'єднаних територіальних громад</v>
      </c>
      <c r="E256" s="135">
        <f t="shared" si="111"/>
        <v>0</v>
      </c>
      <c r="F256" s="135"/>
      <c r="G256" s="135"/>
      <c r="H256" s="135"/>
      <c r="I256" s="135"/>
      <c r="J256" s="135">
        <f t="shared" si="113"/>
        <v>0</v>
      </c>
      <c r="K256" s="135"/>
      <c r="L256" s="135"/>
      <c r="M256" s="135"/>
      <c r="N256" s="135"/>
      <c r="O256" s="135"/>
      <c r="P256" s="135">
        <f t="shared" si="112"/>
        <v>0</v>
      </c>
      <c r="Q256" s="178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</row>
    <row r="257" spans="1:525" s="22" customFormat="1" ht="56.25" customHeight="1" x14ac:dyDescent="0.25">
      <c r="A257" s="56" t="s">
        <v>363</v>
      </c>
      <c r="B257" s="84">
        <v>7363</v>
      </c>
      <c r="C257" s="37" t="s">
        <v>81</v>
      </c>
      <c r="D257" s="36" t="s">
        <v>604</v>
      </c>
      <c r="E257" s="135">
        <f t="shared" si="111"/>
        <v>0</v>
      </c>
      <c r="F257" s="135"/>
      <c r="G257" s="135"/>
      <c r="H257" s="135"/>
      <c r="I257" s="135"/>
      <c r="J257" s="135">
        <f t="shared" si="113"/>
        <v>6000000</v>
      </c>
      <c r="K257" s="135">
        <v>6000000</v>
      </c>
      <c r="L257" s="135"/>
      <c r="M257" s="135"/>
      <c r="N257" s="135"/>
      <c r="O257" s="135">
        <v>6000000</v>
      </c>
      <c r="P257" s="135">
        <f t="shared" si="112"/>
        <v>6000000</v>
      </c>
      <c r="Q257" s="178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</row>
    <row r="258" spans="1:525" s="24" customFormat="1" ht="50.25" hidden="1" customHeight="1" x14ac:dyDescent="0.25">
      <c r="A258" s="76"/>
      <c r="B258" s="97"/>
      <c r="C258" s="97"/>
      <c r="D258" s="79" t="s">
        <v>383</v>
      </c>
      <c r="E258" s="136">
        <f t="shared" si="111"/>
        <v>0</v>
      </c>
      <c r="F258" s="136"/>
      <c r="G258" s="136"/>
      <c r="H258" s="136"/>
      <c r="I258" s="136"/>
      <c r="J258" s="136">
        <f t="shared" si="113"/>
        <v>0</v>
      </c>
      <c r="K258" s="136"/>
      <c r="L258" s="136"/>
      <c r="M258" s="136"/>
      <c r="N258" s="136"/>
      <c r="O258" s="136"/>
      <c r="P258" s="136">
        <f t="shared" si="112"/>
        <v>0</v>
      </c>
      <c r="Q258" s="178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</row>
    <row r="259" spans="1:525" s="24" customFormat="1" ht="31.5" hidden="1" customHeight="1" x14ac:dyDescent="0.25">
      <c r="A259" s="56" t="s">
        <v>556</v>
      </c>
      <c r="B259" s="84">
        <v>7368</v>
      </c>
      <c r="C259" s="37" t="s">
        <v>81</v>
      </c>
      <c r="D259" s="36" t="s">
        <v>557</v>
      </c>
      <c r="E259" s="135">
        <f t="shared" si="111"/>
        <v>0</v>
      </c>
      <c r="F259" s="136"/>
      <c r="G259" s="136"/>
      <c r="H259" s="136"/>
      <c r="I259" s="136"/>
      <c r="J259" s="135">
        <f t="shared" si="113"/>
        <v>0</v>
      </c>
      <c r="K259" s="135"/>
      <c r="L259" s="135"/>
      <c r="M259" s="135"/>
      <c r="N259" s="135"/>
      <c r="O259" s="135"/>
      <c r="P259" s="135">
        <f t="shared" si="112"/>
        <v>0</v>
      </c>
      <c r="Q259" s="178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  <c r="SQ259" s="30"/>
      <c r="SR259" s="30"/>
      <c r="SS259" s="30"/>
      <c r="ST259" s="30"/>
      <c r="SU259" s="30"/>
      <c r="SV259" s="30"/>
      <c r="SW259" s="30"/>
      <c r="SX259" s="30"/>
      <c r="SY259" s="30"/>
      <c r="SZ259" s="30"/>
      <c r="TA259" s="30"/>
      <c r="TB259" s="30"/>
      <c r="TC259" s="30"/>
      <c r="TD259" s="30"/>
      <c r="TE259" s="30"/>
    </row>
    <row r="260" spans="1:525" s="24" customFormat="1" ht="15.75" hidden="1" customHeight="1" x14ac:dyDescent="0.25">
      <c r="A260" s="76"/>
      <c r="B260" s="97"/>
      <c r="C260" s="97"/>
      <c r="D260" s="77" t="s">
        <v>388</v>
      </c>
      <c r="E260" s="136">
        <f t="shared" si="111"/>
        <v>0</v>
      </c>
      <c r="F260" s="136"/>
      <c r="G260" s="136"/>
      <c r="H260" s="136"/>
      <c r="I260" s="136"/>
      <c r="J260" s="136">
        <f t="shared" si="113"/>
        <v>0</v>
      </c>
      <c r="K260" s="136"/>
      <c r="L260" s="136"/>
      <c r="M260" s="136"/>
      <c r="N260" s="136"/>
      <c r="O260" s="136"/>
      <c r="P260" s="136">
        <f t="shared" si="112"/>
        <v>0</v>
      </c>
      <c r="Q260" s="178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</row>
    <row r="261" spans="1:525" s="22" customFormat="1" ht="47.25" hidden="1" customHeight="1" x14ac:dyDescent="0.25">
      <c r="A261" s="56" t="s">
        <v>369</v>
      </c>
      <c r="B261" s="84">
        <f>'дод 7'!A204</f>
        <v>7462</v>
      </c>
      <c r="C261" s="56" t="s">
        <v>394</v>
      </c>
      <c r="D261" s="99" t="s">
        <v>393</v>
      </c>
      <c r="E261" s="135">
        <f t="shared" ref="E261:E266" si="122">F261+I261</f>
        <v>0</v>
      </c>
      <c r="F261" s="135"/>
      <c r="G261" s="135"/>
      <c r="H261" s="135"/>
      <c r="I261" s="135"/>
      <c r="J261" s="135">
        <f t="shared" ref="J261:J266" si="123">L261+O261</f>
        <v>0</v>
      </c>
      <c r="K261" s="135"/>
      <c r="L261" s="135"/>
      <c r="M261" s="135"/>
      <c r="N261" s="135"/>
      <c r="O261" s="135"/>
      <c r="P261" s="135">
        <f t="shared" ref="P261:P266" si="124">E261+J261</f>
        <v>0</v>
      </c>
      <c r="Q261" s="178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</row>
    <row r="262" spans="1:525" s="24" customFormat="1" ht="110.25" hidden="1" customHeight="1" x14ac:dyDescent="0.25">
      <c r="A262" s="76"/>
      <c r="B262" s="97"/>
      <c r="C262" s="97"/>
      <c r="D262" s="79" t="s">
        <v>391</v>
      </c>
      <c r="E262" s="136">
        <f t="shared" si="122"/>
        <v>0</v>
      </c>
      <c r="F262" s="136"/>
      <c r="G262" s="136"/>
      <c r="H262" s="136"/>
      <c r="I262" s="136"/>
      <c r="J262" s="136">
        <f t="shared" si="123"/>
        <v>0</v>
      </c>
      <c r="K262" s="136"/>
      <c r="L262" s="136"/>
      <c r="M262" s="136"/>
      <c r="N262" s="136"/>
      <c r="O262" s="136"/>
      <c r="P262" s="136">
        <f t="shared" si="124"/>
        <v>0</v>
      </c>
      <c r="Q262" s="178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  <c r="SQ262" s="30"/>
      <c r="SR262" s="30"/>
      <c r="SS262" s="30"/>
      <c r="ST262" s="30"/>
      <c r="SU262" s="30"/>
      <c r="SV262" s="30"/>
      <c r="SW262" s="30"/>
      <c r="SX262" s="30"/>
      <c r="SY262" s="30"/>
      <c r="SZ262" s="30"/>
      <c r="TA262" s="30"/>
      <c r="TB262" s="30"/>
      <c r="TC262" s="30"/>
      <c r="TD262" s="30"/>
      <c r="TE262" s="30"/>
    </row>
    <row r="263" spans="1:525" s="24" customFormat="1" ht="87" hidden="1" customHeight="1" x14ac:dyDescent="0.25">
      <c r="A263" s="76"/>
      <c r="B263" s="97"/>
      <c r="C263" s="76"/>
      <c r="D263" s="79" t="s">
        <v>517</v>
      </c>
      <c r="E263" s="136">
        <f t="shared" si="122"/>
        <v>0</v>
      </c>
      <c r="F263" s="136"/>
      <c r="G263" s="136"/>
      <c r="H263" s="136"/>
      <c r="I263" s="136"/>
      <c r="J263" s="136">
        <f t="shared" si="123"/>
        <v>0</v>
      </c>
      <c r="K263" s="136"/>
      <c r="L263" s="136"/>
      <c r="M263" s="136"/>
      <c r="N263" s="136"/>
      <c r="O263" s="136"/>
      <c r="P263" s="136">
        <f t="shared" si="124"/>
        <v>0</v>
      </c>
      <c r="Q263" s="178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  <c r="IW263" s="30"/>
      <c r="IX263" s="30"/>
      <c r="IY263" s="30"/>
      <c r="IZ263" s="30"/>
      <c r="JA263" s="30"/>
      <c r="JB263" s="30"/>
      <c r="JC263" s="30"/>
      <c r="JD263" s="30"/>
      <c r="JE263" s="30"/>
      <c r="JF263" s="30"/>
      <c r="JG263" s="30"/>
      <c r="JH263" s="30"/>
      <c r="JI263" s="30"/>
      <c r="JJ263" s="30"/>
      <c r="JK263" s="30"/>
      <c r="JL263" s="30"/>
      <c r="JM263" s="30"/>
      <c r="JN263" s="30"/>
      <c r="JO263" s="30"/>
      <c r="JP263" s="30"/>
      <c r="JQ263" s="30"/>
      <c r="JR263" s="30"/>
      <c r="JS263" s="30"/>
      <c r="JT263" s="30"/>
      <c r="JU263" s="30"/>
      <c r="JV263" s="30"/>
      <c r="JW263" s="30"/>
      <c r="JX263" s="30"/>
      <c r="JY263" s="30"/>
      <c r="JZ263" s="30"/>
      <c r="KA263" s="30"/>
      <c r="KB263" s="30"/>
      <c r="KC263" s="30"/>
      <c r="KD263" s="30"/>
      <c r="KE263" s="30"/>
      <c r="KF263" s="30"/>
      <c r="KG263" s="30"/>
      <c r="KH263" s="30"/>
      <c r="KI263" s="30"/>
      <c r="KJ263" s="30"/>
      <c r="KK263" s="30"/>
      <c r="KL263" s="30"/>
      <c r="KM263" s="30"/>
      <c r="KN263" s="30"/>
      <c r="KO263" s="30"/>
      <c r="KP263" s="30"/>
      <c r="KQ263" s="30"/>
      <c r="KR263" s="30"/>
      <c r="KS263" s="30"/>
      <c r="KT263" s="30"/>
      <c r="KU263" s="30"/>
      <c r="KV263" s="30"/>
      <c r="KW263" s="30"/>
      <c r="KX263" s="30"/>
      <c r="KY263" s="30"/>
      <c r="KZ263" s="30"/>
      <c r="LA263" s="30"/>
      <c r="LB263" s="30"/>
      <c r="LC263" s="30"/>
      <c r="LD263" s="30"/>
      <c r="LE263" s="30"/>
      <c r="LF263" s="30"/>
      <c r="LG263" s="30"/>
      <c r="LH263" s="30"/>
      <c r="LI263" s="30"/>
      <c r="LJ263" s="30"/>
      <c r="LK263" s="30"/>
      <c r="LL263" s="30"/>
      <c r="LM263" s="30"/>
      <c r="LN263" s="30"/>
      <c r="LO263" s="30"/>
      <c r="LP263" s="30"/>
      <c r="LQ263" s="30"/>
      <c r="LR263" s="30"/>
      <c r="LS263" s="30"/>
      <c r="LT263" s="30"/>
      <c r="LU263" s="30"/>
      <c r="LV263" s="30"/>
      <c r="LW263" s="30"/>
      <c r="LX263" s="30"/>
      <c r="LY263" s="30"/>
      <c r="LZ263" s="30"/>
      <c r="MA263" s="30"/>
      <c r="MB263" s="30"/>
      <c r="MC263" s="30"/>
      <c r="MD263" s="30"/>
      <c r="ME263" s="30"/>
      <c r="MF263" s="30"/>
      <c r="MG263" s="30"/>
      <c r="MH263" s="30"/>
      <c r="MI263" s="30"/>
      <c r="MJ263" s="30"/>
      <c r="MK263" s="30"/>
      <c r="ML263" s="30"/>
      <c r="MM263" s="30"/>
      <c r="MN263" s="30"/>
      <c r="MO263" s="30"/>
      <c r="MP263" s="30"/>
      <c r="MQ263" s="30"/>
      <c r="MR263" s="30"/>
      <c r="MS263" s="30"/>
      <c r="MT263" s="30"/>
      <c r="MU263" s="30"/>
      <c r="MV263" s="30"/>
      <c r="MW263" s="30"/>
      <c r="MX263" s="30"/>
      <c r="MY263" s="30"/>
      <c r="MZ263" s="30"/>
      <c r="NA263" s="30"/>
      <c r="NB263" s="30"/>
      <c r="NC263" s="30"/>
      <c r="ND263" s="30"/>
      <c r="NE263" s="30"/>
      <c r="NF263" s="30"/>
      <c r="NG263" s="30"/>
      <c r="NH263" s="30"/>
      <c r="NI263" s="30"/>
      <c r="NJ263" s="30"/>
      <c r="NK263" s="30"/>
      <c r="NL263" s="30"/>
      <c r="NM263" s="30"/>
      <c r="NN263" s="30"/>
      <c r="NO263" s="30"/>
      <c r="NP263" s="30"/>
      <c r="NQ263" s="30"/>
      <c r="NR263" s="30"/>
      <c r="NS263" s="30"/>
      <c r="NT263" s="30"/>
      <c r="NU263" s="30"/>
      <c r="NV263" s="30"/>
      <c r="NW263" s="30"/>
      <c r="NX263" s="30"/>
      <c r="NY263" s="30"/>
      <c r="NZ263" s="30"/>
      <c r="OA263" s="30"/>
      <c r="OB263" s="30"/>
      <c r="OC263" s="30"/>
      <c r="OD263" s="30"/>
      <c r="OE263" s="30"/>
      <c r="OF263" s="30"/>
      <c r="OG263" s="30"/>
      <c r="OH263" s="30"/>
      <c r="OI263" s="30"/>
      <c r="OJ263" s="30"/>
      <c r="OK263" s="30"/>
      <c r="OL263" s="30"/>
      <c r="OM263" s="30"/>
      <c r="ON263" s="30"/>
      <c r="OO263" s="30"/>
      <c r="OP263" s="30"/>
      <c r="OQ263" s="30"/>
      <c r="OR263" s="30"/>
      <c r="OS263" s="30"/>
      <c r="OT263" s="30"/>
      <c r="OU263" s="30"/>
      <c r="OV263" s="30"/>
      <c r="OW263" s="30"/>
      <c r="OX263" s="30"/>
      <c r="OY263" s="30"/>
      <c r="OZ263" s="30"/>
      <c r="PA263" s="30"/>
      <c r="PB263" s="30"/>
      <c r="PC263" s="30"/>
      <c r="PD263" s="30"/>
      <c r="PE263" s="30"/>
      <c r="PF263" s="30"/>
      <c r="PG263" s="30"/>
      <c r="PH263" s="30"/>
      <c r="PI263" s="30"/>
      <c r="PJ263" s="30"/>
      <c r="PK263" s="30"/>
      <c r="PL263" s="30"/>
      <c r="PM263" s="30"/>
      <c r="PN263" s="30"/>
      <c r="PO263" s="30"/>
      <c r="PP263" s="30"/>
      <c r="PQ263" s="30"/>
      <c r="PR263" s="30"/>
      <c r="PS263" s="30"/>
      <c r="PT263" s="30"/>
      <c r="PU263" s="30"/>
      <c r="PV263" s="30"/>
      <c r="PW263" s="30"/>
      <c r="PX263" s="30"/>
      <c r="PY263" s="30"/>
      <c r="PZ263" s="30"/>
      <c r="QA263" s="30"/>
      <c r="QB263" s="30"/>
      <c r="QC263" s="30"/>
      <c r="QD263" s="30"/>
      <c r="QE263" s="30"/>
      <c r="QF263" s="30"/>
      <c r="QG263" s="30"/>
      <c r="QH263" s="30"/>
      <c r="QI263" s="30"/>
      <c r="QJ263" s="30"/>
      <c r="QK263" s="30"/>
      <c r="QL263" s="30"/>
      <c r="QM263" s="30"/>
      <c r="QN263" s="30"/>
      <c r="QO263" s="30"/>
      <c r="QP263" s="30"/>
      <c r="QQ263" s="30"/>
      <c r="QR263" s="30"/>
      <c r="QS263" s="30"/>
      <c r="QT263" s="30"/>
      <c r="QU263" s="30"/>
      <c r="QV263" s="30"/>
      <c r="QW263" s="30"/>
      <c r="QX263" s="30"/>
      <c r="QY263" s="30"/>
      <c r="QZ263" s="30"/>
      <c r="RA263" s="30"/>
      <c r="RB263" s="30"/>
      <c r="RC263" s="30"/>
      <c r="RD263" s="30"/>
      <c r="RE263" s="30"/>
      <c r="RF263" s="30"/>
      <c r="RG263" s="30"/>
      <c r="RH263" s="30"/>
      <c r="RI263" s="30"/>
      <c r="RJ263" s="30"/>
      <c r="RK263" s="30"/>
      <c r="RL263" s="30"/>
      <c r="RM263" s="30"/>
      <c r="RN263" s="30"/>
      <c r="RO263" s="30"/>
      <c r="RP263" s="30"/>
      <c r="RQ263" s="30"/>
      <c r="RR263" s="30"/>
      <c r="RS263" s="30"/>
      <c r="RT263" s="30"/>
      <c r="RU263" s="30"/>
      <c r="RV263" s="30"/>
      <c r="RW263" s="30"/>
      <c r="RX263" s="30"/>
      <c r="RY263" s="30"/>
      <c r="RZ263" s="30"/>
      <c r="SA263" s="30"/>
      <c r="SB263" s="30"/>
      <c r="SC263" s="30"/>
      <c r="SD263" s="30"/>
      <c r="SE263" s="30"/>
      <c r="SF263" s="30"/>
      <c r="SG263" s="30"/>
      <c r="SH263" s="30"/>
      <c r="SI263" s="30"/>
      <c r="SJ263" s="30"/>
      <c r="SK263" s="30"/>
      <c r="SL263" s="30"/>
      <c r="SM263" s="30"/>
      <c r="SN263" s="30"/>
      <c r="SO263" s="30"/>
      <c r="SP263" s="30"/>
      <c r="SQ263" s="30"/>
      <c r="SR263" s="30"/>
      <c r="SS263" s="30"/>
      <c r="ST263" s="30"/>
      <c r="SU263" s="30"/>
      <c r="SV263" s="30"/>
      <c r="SW263" s="30"/>
      <c r="SX263" s="30"/>
      <c r="SY263" s="30"/>
      <c r="SZ263" s="30"/>
      <c r="TA263" s="30"/>
      <c r="TB263" s="30"/>
      <c r="TC263" s="30"/>
      <c r="TD263" s="30"/>
      <c r="TE263" s="30"/>
    </row>
    <row r="264" spans="1:525" s="24" customFormat="1" ht="63.75" hidden="1" customHeight="1" x14ac:dyDescent="0.25">
      <c r="A264" s="56" t="s">
        <v>554</v>
      </c>
      <c r="B264" s="84">
        <v>7463</v>
      </c>
      <c r="C264" s="56" t="s">
        <v>394</v>
      </c>
      <c r="D264" s="99" t="s">
        <v>555</v>
      </c>
      <c r="E264" s="135">
        <f t="shared" si="122"/>
        <v>0</v>
      </c>
      <c r="F264" s="135"/>
      <c r="G264" s="136"/>
      <c r="H264" s="136"/>
      <c r="I264" s="136"/>
      <c r="J264" s="135">
        <f t="shared" si="123"/>
        <v>0</v>
      </c>
      <c r="K264" s="136"/>
      <c r="L264" s="136"/>
      <c r="M264" s="136"/>
      <c r="N264" s="136"/>
      <c r="O264" s="136"/>
      <c r="P264" s="135">
        <f t="shared" si="124"/>
        <v>0</v>
      </c>
      <c r="Q264" s="178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  <c r="LU264" s="30"/>
      <c r="LV264" s="30"/>
      <c r="LW264" s="30"/>
      <c r="LX264" s="30"/>
      <c r="LY264" s="30"/>
      <c r="LZ264" s="30"/>
      <c r="MA264" s="30"/>
      <c r="MB264" s="30"/>
      <c r="MC264" s="30"/>
      <c r="MD264" s="30"/>
      <c r="ME264" s="30"/>
      <c r="MF264" s="30"/>
      <c r="MG264" s="30"/>
      <c r="MH264" s="30"/>
      <c r="MI264" s="30"/>
      <c r="MJ264" s="30"/>
      <c r="MK264" s="30"/>
      <c r="ML264" s="30"/>
      <c r="MM264" s="30"/>
      <c r="MN264" s="30"/>
      <c r="MO264" s="30"/>
      <c r="MP264" s="30"/>
      <c r="MQ264" s="30"/>
      <c r="MR264" s="30"/>
      <c r="MS264" s="30"/>
      <c r="MT264" s="30"/>
      <c r="MU264" s="30"/>
      <c r="MV264" s="30"/>
      <c r="MW264" s="30"/>
      <c r="MX264" s="30"/>
      <c r="MY264" s="30"/>
      <c r="MZ264" s="30"/>
      <c r="NA264" s="30"/>
      <c r="NB264" s="30"/>
      <c r="NC264" s="30"/>
      <c r="ND264" s="30"/>
      <c r="NE264" s="30"/>
      <c r="NF264" s="30"/>
      <c r="NG264" s="30"/>
      <c r="NH264" s="30"/>
      <c r="NI264" s="30"/>
      <c r="NJ264" s="30"/>
      <c r="NK264" s="30"/>
      <c r="NL264" s="30"/>
      <c r="NM264" s="30"/>
      <c r="NN264" s="30"/>
      <c r="NO264" s="30"/>
      <c r="NP264" s="30"/>
      <c r="NQ264" s="30"/>
      <c r="NR264" s="30"/>
      <c r="NS264" s="30"/>
      <c r="NT264" s="30"/>
      <c r="NU264" s="30"/>
      <c r="NV264" s="30"/>
      <c r="NW264" s="30"/>
      <c r="NX264" s="30"/>
      <c r="NY264" s="30"/>
      <c r="NZ264" s="30"/>
      <c r="OA264" s="30"/>
      <c r="OB264" s="30"/>
      <c r="OC264" s="30"/>
      <c r="OD264" s="30"/>
      <c r="OE264" s="30"/>
      <c r="OF264" s="30"/>
      <c r="OG264" s="30"/>
      <c r="OH264" s="30"/>
      <c r="OI264" s="30"/>
      <c r="OJ264" s="30"/>
      <c r="OK264" s="30"/>
      <c r="OL264" s="30"/>
      <c r="OM264" s="30"/>
      <c r="ON264" s="30"/>
      <c r="OO264" s="30"/>
      <c r="OP264" s="30"/>
      <c r="OQ264" s="30"/>
      <c r="OR264" s="30"/>
      <c r="OS264" s="30"/>
      <c r="OT264" s="30"/>
      <c r="OU264" s="30"/>
      <c r="OV264" s="30"/>
      <c r="OW264" s="30"/>
      <c r="OX264" s="30"/>
      <c r="OY264" s="30"/>
      <c r="OZ264" s="30"/>
      <c r="PA264" s="30"/>
      <c r="PB264" s="30"/>
      <c r="PC264" s="30"/>
      <c r="PD264" s="30"/>
      <c r="PE264" s="30"/>
      <c r="PF264" s="30"/>
      <c r="PG264" s="30"/>
      <c r="PH264" s="30"/>
      <c r="PI264" s="30"/>
      <c r="PJ264" s="30"/>
      <c r="PK264" s="30"/>
      <c r="PL264" s="30"/>
      <c r="PM264" s="30"/>
      <c r="PN264" s="30"/>
      <c r="PO264" s="30"/>
      <c r="PP264" s="30"/>
      <c r="PQ264" s="30"/>
      <c r="PR264" s="30"/>
      <c r="PS264" s="30"/>
      <c r="PT264" s="30"/>
      <c r="PU264" s="30"/>
      <c r="PV264" s="30"/>
      <c r="PW264" s="30"/>
      <c r="PX264" s="30"/>
      <c r="PY264" s="30"/>
      <c r="PZ264" s="30"/>
      <c r="QA264" s="30"/>
      <c r="QB264" s="30"/>
      <c r="QC264" s="30"/>
      <c r="QD264" s="30"/>
      <c r="QE264" s="30"/>
      <c r="QF264" s="30"/>
      <c r="QG264" s="30"/>
      <c r="QH264" s="30"/>
      <c r="QI264" s="30"/>
      <c r="QJ264" s="30"/>
      <c r="QK264" s="30"/>
      <c r="QL264" s="30"/>
      <c r="QM264" s="30"/>
      <c r="QN264" s="30"/>
      <c r="QO264" s="30"/>
      <c r="QP264" s="30"/>
      <c r="QQ264" s="30"/>
      <c r="QR264" s="30"/>
      <c r="QS264" s="30"/>
      <c r="QT264" s="30"/>
      <c r="QU264" s="30"/>
      <c r="QV264" s="30"/>
      <c r="QW264" s="30"/>
      <c r="QX264" s="30"/>
      <c r="QY264" s="30"/>
      <c r="QZ264" s="30"/>
      <c r="RA264" s="30"/>
      <c r="RB264" s="30"/>
      <c r="RC264" s="30"/>
      <c r="RD264" s="30"/>
      <c r="RE264" s="30"/>
      <c r="RF264" s="30"/>
      <c r="RG264" s="30"/>
      <c r="RH264" s="30"/>
      <c r="RI264" s="30"/>
      <c r="RJ264" s="30"/>
      <c r="RK264" s="30"/>
      <c r="RL264" s="30"/>
      <c r="RM264" s="30"/>
      <c r="RN264" s="30"/>
      <c r="RO264" s="30"/>
      <c r="RP264" s="30"/>
      <c r="RQ264" s="30"/>
      <c r="RR264" s="30"/>
      <c r="RS264" s="30"/>
      <c r="RT264" s="30"/>
      <c r="RU264" s="30"/>
      <c r="RV264" s="30"/>
      <c r="RW264" s="30"/>
      <c r="RX264" s="30"/>
      <c r="RY264" s="30"/>
      <c r="RZ264" s="30"/>
      <c r="SA264" s="30"/>
      <c r="SB264" s="30"/>
      <c r="SC264" s="30"/>
      <c r="SD264" s="30"/>
      <c r="SE264" s="30"/>
      <c r="SF264" s="30"/>
      <c r="SG264" s="30"/>
      <c r="SH264" s="30"/>
      <c r="SI264" s="30"/>
      <c r="SJ264" s="30"/>
      <c r="SK264" s="30"/>
      <c r="SL264" s="30"/>
      <c r="SM264" s="30"/>
      <c r="SN264" s="30"/>
      <c r="SO264" s="30"/>
      <c r="SP264" s="30"/>
      <c r="SQ264" s="30"/>
      <c r="SR264" s="30"/>
      <c r="SS264" s="30"/>
      <c r="ST264" s="30"/>
      <c r="SU264" s="30"/>
      <c r="SV264" s="30"/>
      <c r="SW264" s="30"/>
      <c r="SX264" s="30"/>
      <c r="SY264" s="30"/>
      <c r="SZ264" s="30"/>
      <c r="TA264" s="30"/>
      <c r="TB264" s="30"/>
      <c r="TC264" s="30"/>
      <c r="TD264" s="30"/>
      <c r="TE264" s="30"/>
    </row>
    <row r="265" spans="1:525" s="24" customFormat="1" ht="15.75" hidden="1" customHeight="1" x14ac:dyDescent="0.25">
      <c r="A265" s="76"/>
      <c r="B265" s="97"/>
      <c r="C265" s="76"/>
      <c r="D265" s="77" t="s">
        <v>388</v>
      </c>
      <c r="E265" s="136">
        <f t="shared" si="122"/>
        <v>0</v>
      </c>
      <c r="F265" s="136"/>
      <c r="G265" s="136"/>
      <c r="H265" s="136"/>
      <c r="I265" s="136"/>
      <c r="J265" s="136">
        <f t="shared" si="123"/>
        <v>0</v>
      </c>
      <c r="K265" s="136"/>
      <c r="L265" s="136"/>
      <c r="M265" s="136"/>
      <c r="N265" s="136"/>
      <c r="O265" s="136"/>
      <c r="P265" s="136">
        <f t="shared" si="124"/>
        <v>0</v>
      </c>
      <c r="Q265" s="178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  <c r="IW265" s="30"/>
      <c r="IX265" s="30"/>
      <c r="IY265" s="30"/>
      <c r="IZ265" s="30"/>
      <c r="JA265" s="30"/>
      <c r="JB265" s="30"/>
      <c r="JC265" s="30"/>
      <c r="JD265" s="30"/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0"/>
      <c r="KK265" s="30"/>
      <c r="KL265" s="30"/>
      <c r="KM265" s="30"/>
      <c r="KN265" s="30"/>
      <c r="KO265" s="30"/>
      <c r="KP265" s="30"/>
      <c r="KQ265" s="30"/>
      <c r="KR265" s="30"/>
      <c r="KS265" s="30"/>
      <c r="KT265" s="30"/>
      <c r="KU265" s="30"/>
      <c r="KV265" s="30"/>
      <c r="KW265" s="30"/>
      <c r="KX265" s="30"/>
      <c r="KY265" s="30"/>
      <c r="KZ265" s="30"/>
      <c r="LA265" s="30"/>
      <c r="LB265" s="30"/>
      <c r="LC265" s="30"/>
      <c r="LD265" s="30"/>
      <c r="LE265" s="30"/>
      <c r="LF265" s="30"/>
      <c r="LG265" s="30"/>
      <c r="LH265" s="30"/>
      <c r="LI265" s="30"/>
      <c r="LJ265" s="30"/>
      <c r="LK265" s="30"/>
      <c r="LL265" s="30"/>
      <c r="LM265" s="30"/>
      <c r="LN265" s="30"/>
      <c r="LO265" s="30"/>
      <c r="LP265" s="30"/>
      <c r="LQ265" s="30"/>
      <c r="LR265" s="30"/>
      <c r="LS265" s="30"/>
      <c r="LT265" s="30"/>
      <c r="LU265" s="30"/>
      <c r="LV265" s="30"/>
      <c r="LW265" s="30"/>
      <c r="LX265" s="30"/>
      <c r="LY265" s="30"/>
      <c r="LZ265" s="30"/>
      <c r="MA265" s="30"/>
      <c r="MB265" s="30"/>
      <c r="MC265" s="30"/>
      <c r="MD265" s="30"/>
      <c r="ME265" s="30"/>
      <c r="MF265" s="30"/>
      <c r="MG265" s="30"/>
      <c r="MH265" s="30"/>
      <c r="MI265" s="30"/>
      <c r="MJ265" s="30"/>
      <c r="MK265" s="30"/>
      <c r="ML265" s="30"/>
      <c r="MM265" s="30"/>
      <c r="MN265" s="30"/>
      <c r="MO265" s="30"/>
      <c r="MP265" s="30"/>
      <c r="MQ265" s="30"/>
      <c r="MR265" s="30"/>
      <c r="MS265" s="30"/>
      <c r="MT265" s="30"/>
      <c r="MU265" s="30"/>
      <c r="MV265" s="30"/>
      <c r="MW265" s="30"/>
      <c r="MX265" s="30"/>
      <c r="MY265" s="30"/>
      <c r="MZ265" s="30"/>
      <c r="NA265" s="30"/>
      <c r="NB265" s="30"/>
      <c r="NC265" s="30"/>
      <c r="ND265" s="30"/>
      <c r="NE265" s="30"/>
      <c r="NF265" s="30"/>
      <c r="NG265" s="30"/>
      <c r="NH265" s="30"/>
      <c r="NI265" s="30"/>
      <c r="NJ265" s="30"/>
      <c r="NK265" s="30"/>
      <c r="NL265" s="30"/>
      <c r="NM265" s="30"/>
      <c r="NN265" s="30"/>
      <c r="NO265" s="30"/>
      <c r="NP265" s="30"/>
      <c r="NQ265" s="30"/>
      <c r="NR265" s="30"/>
      <c r="NS265" s="30"/>
      <c r="NT265" s="30"/>
      <c r="NU265" s="30"/>
      <c r="NV265" s="30"/>
      <c r="NW265" s="30"/>
      <c r="NX265" s="30"/>
      <c r="NY265" s="30"/>
      <c r="NZ265" s="30"/>
      <c r="OA265" s="30"/>
      <c r="OB265" s="30"/>
      <c r="OC265" s="30"/>
      <c r="OD265" s="30"/>
      <c r="OE265" s="30"/>
      <c r="OF265" s="30"/>
      <c r="OG265" s="30"/>
      <c r="OH265" s="30"/>
      <c r="OI265" s="30"/>
      <c r="OJ265" s="30"/>
      <c r="OK265" s="30"/>
      <c r="OL265" s="30"/>
      <c r="OM265" s="30"/>
      <c r="ON265" s="30"/>
      <c r="OO265" s="30"/>
      <c r="OP265" s="30"/>
      <c r="OQ265" s="30"/>
      <c r="OR265" s="30"/>
      <c r="OS265" s="30"/>
      <c r="OT265" s="30"/>
      <c r="OU265" s="30"/>
      <c r="OV265" s="30"/>
      <c r="OW265" s="30"/>
      <c r="OX265" s="30"/>
      <c r="OY265" s="30"/>
      <c r="OZ265" s="30"/>
      <c r="PA265" s="30"/>
      <c r="PB265" s="30"/>
      <c r="PC265" s="30"/>
      <c r="PD265" s="30"/>
      <c r="PE265" s="30"/>
      <c r="PF265" s="30"/>
      <c r="PG265" s="30"/>
      <c r="PH265" s="30"/>
      <c r="PI265" s="30"/>
      <c r="PJ265" s="30"/>
      <c r="PK265" s="30"/>
      <c r="PL265" s="30"/>
      <c r="PM265" s="30"/>
      <c r="PN265" s="30"/>
      <c r="PO265" s="30"/>
      <c r="PP265" s="30"/>
      <c r="PQ265" s="30"/>
      <c r="PR265" s="30"/>
      <c r="PS265" s="30"/>
      <c r="PT265" s="30"/>
      <c r="PU265" s="30"/>
      <c r="PV265" s="30"/>
      <c r="PW265" s="30"/>
      <c r="PX265" s="30"/>
      <c r="PY265" s="30"/>
      <c r="PZ265" s="30"/>
      <c r="QA265" s="30"/>
      <c r="QB265" s="30"/>
      <c r="QC265" s="30"/>
      <c r="QD265" s="30"/>
      <c r="QE265" s="30"/>
      <c r="QF265" s="30"/>
      <c r="QG265" s="30"/>
      <c r="QH265" s="30"/>
      <c r="QI265" s="30"/>
      <c r="QJ265" s="30"/>
      <c r="QK265" s="30"/>
      <c r="QL265" s="30"/>
      <c r="QM265" s="30"/>
      <c r="QN265" s="30"/>
      <c r="QO265" s="30"/>
      <c r="QP265" s="30"/>
      <c r="QQ265" s="30"/>
      <c r="QR265" s="30"/>
      <c r="QS265" s="30"/>
      <c r="QT265" s="30"/>
      <c r="QU265" s="30"/>
      <c r="QV265" s="30"/>
      <c r="QW265" s="30"/>
      <c r="QX265" s="30"/>
      <c r="QY265" s="30"/>
      <c r="QZ265" s="30"/>
      <c r="RA265" s="30"/>
      <c r="RB265" s="30"/>
      <c r="RC265" s="30"/>
      <c r="RD265" s="30"/>
      <c r="RE265" s="30"/>
      <c r="RF265" s="30"/>
      <c r="RG265" s="30"/>
      <c r="RH265" s="30"/>
      <c r="RI265" s="30"/>
      <c r="RJ265" s="30"/>
      <c r="RK265" s="30"/>
      <c r="RL265" s="30"/>
      <c r="RM265" s="30"/>
      <c r="RN265" s="30"/>
      <c r="RO265" s="30"/>
      <c r="RP265" s="30"/>
      <c r="RQ265" s="30"/>
      <c r="RR265" s="30"/>
      <c r="RS265" s="30"/>
      <c r="RT265" s="30"/>
      <c r="RU265" s="30"/>
      <c r="RV265" s="30"/>
      <c r="RW265" s="30"/>
      <c r="RX265" s="30"/>
      <c r="RY265" s="30"/>
      <c r="RZ265" s="30"/>
      <c r="SA265" s="30"/>
      <c r="SB265" s="30"/>
      <c r="SC265" s="30"/>
      <c r="SD265" s="30"/>
      <c r="SE265" s="30"/>
      <c r="SF265" s="30"/>
      <c r="SG265" s="30"/>
      <c r="SH265" s="30"/>
      <c r="SI265" s="30"/>
      <c r="SJ265" s="30"/>
      <c r="SK265" s="30"/>
      <c r="SL265" s="30"/>
      <c r="SM265" s="30"/>
      <c r="SN265" s="30"/>
      <c r="SO265" s="30"/>
      <c r="SP265" s="30"/>
      <c r="SQ265" s="30"/>
      <c r="SR265" s="30"/>
      <c r="SS265" s="30"/>
      <c r="ST265" s="30"/>
      <c r="SU265" s="30"/>
      <c r="SV265" s="30"/>
      <c r="SW265" s="30"/>
      <c r="SX265" s="30"/>
      <c r="SY265" s="30"/>
      <c r="SZ265" s="30"/>
      <c r="TA265" s="30"/>
      <c r="TB265" s="30"/>
      <c r="TC265" s="30"/>
      <c r="TD265" s="30"/>
      <c r="TE265" s="30"/>
    </row>
    <row r="266" spans="1:525" s="24" customFormat="1" ht="31.5" hidden="1" customHeight="1" x14ac:dyDescent="0.25">
      <c r="A266" s="56" t="s">
        <v>419</v>
      </c>
      <c r="B266" s="84">
        <v>7530</v>
      </c>
      <c r="C266" s="56" t="s">
        <v>233</v>
      </c>
      <c r="D266" s="85" t="s">
        <v>231</v>
      </c>
      <c r="E266" s="135">
        <f t="shared" si="122"/>
        <v>0</v>
      </c>
      <c r="F266" s="135"/>
      <c r="G266" s="136"/>
      <c r="H266" s="136"/>
      <c r="I266" s="136"/>
      <c r="J266" s="135">
        <f t="shared" si="123"/>
        <v>0</v>
      </c>
      <c r="K266" s="135"/>
      <c r="L266" s="135"/>
      <c r="M266" s="135"/>
      <c r="N266" s="135"/>
      <c r="O266" s="135"/>
      <c r="P266" s="135">
        <f t="shared" si="124"/>
        <v>0</v>
      </c>
      <c r="Q266" s="178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  <c r="HP266" s="30"/>
      <c r="HQ266" s="30"/>
      <c r="HR266" s="30"/>
      <c r="HS266" s="30"/>
      <c r="HT266" s="30"/>
      <c r="HU266" s="30"/>
      <c r="HV266" s="30"/>
      <c r="HW266" s="30"/>
      <c r="HX266" s="30"/>
      <c r="HY266" s="30"/>
      <c r="HZ266" s="30"/>
      <c r="IA266" s="30"/>
      <c r="IB266" s="30"/>
      <c r="IC266" s="30"/>
      <c r="ID266" s="30"/>
      <c r="IE266" s="30"/>
      <c r="IF266" s="30"/>
      <c r="IG266" s="30"/>
      <c r="IH266" s="30"/>
      <c r="II266" s="30"/>
      <c r="IJ266" s="30"/>
      <c r="IK266" s="30"/>
      <c r="IL266" s="30"/>
      <c r="IM266" s="30"/>
      <c r="IN266" s="30"/>
      <c r="IO266" s="30"/>
      <c r="IP266" s="30"/>
      <c r="IQ266" s="30"/>
      <c r="IR266" s="30"/>
      <c r="IS266" s="30"/>
      <c r="IT266" s="30"/>
      <c r="IU266" s="30"/>
      <c r="IV266" s="30"/>
      <c r="IW266" s="30"/>
      <c r="IX266" s="30"/>
      <c r="IY266" s="30"/>
      <c r="IZ266" s="30"/>
      <c r="JA266" s="30"/>
      <c r="JB266" s="30"/>
      <c r="JC266" s="30"/>
      <c r="JD266" s="30"/>
      <c r="JE266" s="30"/>
      <c r="JF266" s="30"/>
      <c r="JG266" s="30"/>
      <c r="JH266" s="30"/>
      <c r="JI266" s="30"/>
      <c r="JJ266" s="30"/>
      <c r="JK266" s="30"/>
      <c r="JL266" s="30"/>
      <c r="JM266" s="30"/>
      <c r="JN266" s="30"/>
      <c r="JO266" s="30"/>
      <c r="JP266" s="30"/>
      <c r="JQ266" s="30"/>
      <c r="JR266" s="30"/>
      <c r="JS266" s="30"/>
      <c r="JT266" s="30"/>
      <c r="JU266" s="30"/>
      <c r="JV266" s="30"/>
      <c r="JW266" s="30"/>
      <c r="JX266" s="30"/>
      <c r="JY266" s="30"/>
      <c r="JZ266" s="30"/>
      <c r="KA266" s="30"/>
      <c r="KB266" s="30"/>
      <c r="KC266" s="30"/>
      <c r="KD266" s="30"/>
      <c r="KE266" s="30"/>
      <c r="KF266" s="30"/>
      <c r="KG266" s="30"/>
      <c r="KH266" s="30"/>
      <c r="KI266" s="30"/>
      <c r="KJ266" s="30"/>
      <c r="KK266" s="30"/>
      <c r="KL266" s="30"/>
      <c r="KM266" s="30"/>
      <c r="KN266" s="30"/>
      <c r="KO266" s="30"/>
      <c r="KP266" s="30"/>
      <c r="KQ266" s="30"/>
      <c r="KR266" s="30"/>
      <c r="KS266" s="30"/>
      <c r="KT266" s="30"/>
      <c r="KU266" s="30"/>
      <c r="KV266" s="30"/>
      <c r="KW266" s="30"/>
      <c r="KX266" s="30"/>
      <c r="KY266" s="30"/>
      <c r="KZ266" s="30"/>
      <c r="LA266" s="30"/>
      <c r="LB266" s="30"/>
      <c r="LC266" s="30"/>
      <c r="LD266" s="30"/>
      <c r="LE266" s="30"/>
      <c r="LF266" s="30"/>
      <c r="LG266" s="30"/>
      <c r="LH266" s="30"/>
      <c r="LI266" s="30"/>
      <c r="LJ266" s="30"/>
      <c r="LK266" s="30"/>
      <c r="LL266" s="30"/>
      <c r="LM266" s="30"/>
      <c r="LN266" s="30"/>
      <c r="LO266" s="30"/>
      <c r="LP266" s="30"/>
      <c r="LQ266" s="30"/>
      <c r="LR266" s="30"/>
      <c r="LS266" s="30"/>
      <c r="LT266" s="30"/>
      <c r="LU266" s="30"/>
      <c r="LV266" s="30"/>
      <c r="LW266" s="30"/>
      <c r="LX266" s="30"/>
      <c r="LY266" s="30"/>
      <c r="LZ266" s="30"/>
      <c r="MA266" s="30"/>
      <c r="MB266" s="30"/>
      <c r="MC266" s="30"/>
      <c r="MD266" s="30"/>
      <c r="ME266" s="30"/>
      <c r="MF266" s="30"/>
      <c r="MG266" s="30"/>
      <c r="MH266" s="30"/>
      <c r="MI266" s="30"/>
      <c r="MJ266" s="30"/>
      <c r="MK266" s="30"/>
      <c r="ML266" s="30"/>
      <c r="MM266" s="30"/>
      <c r="MN266" s="30"/>
      <c r="MO266" s="30"/>
      <c r="MP266" s="30"/>
      <c r="MQ266" s="30"/>
      <c r="MR266" s="30"/>
      <c r="MS266" s="30"/>
      <c r="MT266" s="30"/>
      <c r="MU266" s="30"/>
      <c r="MV266" s="30"/>
      <c r="MW266" s="30"/>
      <c r="MX266" s="30"/>
      <c r="MY266" s="30"/>
      <c r="MZ266" s="30"/>
      <c r="NA266" s="30"/>
      <c r="NB266" s="30"/>
      <c r="NC266" s="30"/>
      <c r="ND266" s="30"/>
      <c r="NE266" s="30"/>
      <c r="NF266" s="30"/>
      <c r="NG266" s="30"/>
      <c r="NH266" s="30"/>
      <c r="NI266" s="30"/>
      <c r="NJ266" s="30"/>
      <c r="NK266" s="30"/>
      <c r="NL266" s="30"/>
      <c r="NM266" s="30"/>
      <c r="NN266" s="30"/>
      <c r="NO266" s="30"/>
      <c r="NP266" s="30"/>
      <c r="NQ266" s="30"/>
      <c r="NR266" s="30"/>
      <c r="NS266" s="30"/>
      <c r="NT266" s="30"/>
      <c r="NU266" s="30"/>
      <c r="NV266" s="30"/>
      <c r="NW266" s="30"/>
      <c r="NX266" s="30"/>
      <c r="NY266" s="30"/>
      <c r="NZ266" s="30"/>
      <c r="OA266" s="30"/>
      <c r="OB266" s="30"/>
      <c r="OC266" s="30"/>
      <c r="OD266" s="30"/>
      <c r="OE266" s="30"/>
      <c r="OF266" s="30"/>
      <c r="OG266" s="30"/>
      <c r="OH266" s="30"/>
      <c r="OI266" s="30"/>
      <c r="OJ266" s="30"/>
      <c r="OK266" s="30"/>
      <c r="OL266" s="30"/>
      <c r="OM266" s="30"/>
      <c r="ON266" s="30"/>
      <c r="OO266" s="30"/>
      <c r="OP266" s="30"/>
      <c r="OQ266" s="30"/>
      <c r="OR266" s="30"/>
      <c r="OS266" s="30"/>
      <c r="OT266" s="30"/>
      <c r="OU266" s="30"/>
      <c r="OV266" s="30"/>
      <c r="OW266" s="30"/>
      <c r="OX266" s="30"/>
      <c r="OY266" s="30"/>
      <c r="OZ266" s="30"/>
      <c r="PA266" s="30"/>
      <c r="PB266" s="30"/>
      <c r="PC266" s="30"/>
      <c r="PD266" s="30"/>
      <c r="PE266" s="30"/>
      <c r="PF266" s="30"/>
      <c r="PG266" s="30"/>
      <c r="PH266" s="30"/>
      <c r="PI266" s="30"/>
      <c r="PJ266" s="30"/>
      <c r="PK266" s="30"/>
      <c r="PL266" s="30"/>
      <c r="PM266" s="30"/>
      <c r="PN266" s="30"/>
      <c r="PO266" s="30"/>
      <c r="PP266" s="30"/>
      <c r="PQ266" s="30"/>
      <c r="PR266" s="30"/>
      <c r="PS266" s="30"/>
      <c r="PT266" s="30"/>
      <c r="PU266" s="30"/>
      <c r="PV266" s="30"/>
      <c r="PW266" s="30"/>
      <c r="PX266" s="30"/>
      <c r="PY266" s="30"/>
      <c r="PZ266" s="30"/>
      <c r="QA266" s="30"/>
      <c r="QB266" s="30"/>
      <c r="QC266" s="30"/>
      <c r="QD266" s="30"/>
      <c r="QE266" s="30"/>
      <c r="QF266" s="30"/>
      <c r="QG266" s="30"/>
      <c r="QH266" s="30"/>
      <c r="QI266" s="30"/>
      <c r="QJ266" s="30"/>
      <c r="QK266" s="30"/>
      <c r="QL266" s="30"/>
      <c r="QM266" s="30"/>
      <c r="QN266" s="30"/>
      <c r="QO266" s="30"/>
      <c r="QP266" s="30"/>
      <c r="QQ266" s="30"/>
      <c r="QR266" s="30"/>
      <c r="QS266" s="30"/>
      <c r="QT266" s="30"/>
      <c r="QU266" s="30"/>
      <c r="QV266" s="30"/>
      <c r="QW266" s="30"/>
      <c r="QX266" s="30"/>
      <c r="QY266" s="30"/>
      <c r="QZ266" s="30"/>
      <c r="RA266" s="30"/>
      <c r="RB266" s="30"/>
      <c r="RC266" s="30"/>
      <c r="RD266" s="30"/>
      <c r="RE266" s="30"/>
      <c r="RF266" s="30"/>
      <c r="RG266" s="30"/>
      <c r="RH266" s="30"/>
      <c r="RI266" s="30"/>
      <c r="RJ266" s="30"/>
      <c r="RK266" s="30"/>
      <c r="RL266" s="30"/>
      <c r="RM266" s="30"/>
      <c r="RN266" s="30"/>
      <c r="RO266" s="30"/>
      <c r="RP266" s="30"/>
      <c r="RQ266" s="30"/>
      <c r="RR266" s="30"/>
      <c r="RS266" s="30"/>
      <c r="RT266" s="30"/>
      <c r="RU266" s="30"/>
      <c r="RV266" s="30"/>
      <c r="RW266" s="30"/>
      <c r="RX266" s="30"/>
      <c r="RY266" s="30"/>
      <c r="RZ266" s="30"/>
      <c r="SA266" s="30"/>
      <c r="SB266" s="30"/>
      <c r="SC266" s="30"/>
      <c r="SD266" s="30"/>
      <c r="SE266" s="30"/>
      <c r="SF266" s="30"/>
      <c r="SG266" s="30"/>
      <c r="SH266" s="30"/>
      <c r="SI266" s="30"/>
      <c r="SJ266" s="30"/>
      <c r="SK266" s="30"/>
      <c r="SL266" s="30"/>
      <c r="SM266" s="30"/>
      <c r="SN266" s="30"/>
      <c r="SO266" s="30"/>
      <c r="SP266" s="30"/>
      <c r="SQ266" s="30"/>
      <c r="SR266" s="30"/>
      <c r="SS266" s="30"/>
      <c r="ST266" s="30"/>
      <c r="SU266" s="30"/>
      <c r="SV266" s="30"/>
      <c r="SW266" s="30"/>
      <c r="SX266" s="30"/>
      <c r="SY266" s="30"/>
      <c r="SZ266" s="30"/>
      <c r="TA266" s="30"/>
      <c r="TB266" s="30"/>
      <c r="TC266" s="30"/>
      <c r="TD266" s="30"/>
      <c r="TE266" s="30"/>
    </row>
    <row r="267" spans="1:525" s="22" customFormat="1" ht="20.25" customHeight="1" x14ac:dyDescent="0.25">
      <c r="A267" s="56" t="s">
        <v>199</v>
      </c>
      <c r="B267" s="84" t="str">
        <f>'дод 7'!A217</f>
        <v>7640</v>
      </c>
      <c r="C267" s="56" t="str">
        <f>'дод 7'!B217</f>
        <v>0470</v>
      </c>
      <c r="D267" s="57" t="s">
        <v>416</v>
      </c>
      <c r="E267" s="135">
        <f t="shared" si="111"/>
        <v>2900000</v>
      </c>
      <c r="F267" s="135">
        <v>500000</v>
      </c>
      <c r="G267" s="135"/>
      <c r="H267" s="135"/>
      <c r="I267" s="135">
        <v>2400000</v>
      </c>
      <c r="J267" s="135">
        <f t="shared" si="113"/>
        <v>0</v>
      </c>
      <c r="K267" s="135"/>
      <c r="L267" s="135"/>
      <c r="M267" s="135"/>
      <c r="N267" s="135"/>
      <c r="O267" s="135"/>
      <c r="P267" s="135">
        <f t="shared" si="112"/>
        <v>2900000</v>
      </c>
      <c r="Q267" s="178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</row>
    <row r="268" spans="1:525" s="22" customFormat="1" ht="39" customHeight="1" x14ac:dyDescent="0.25">
      <c r="A268" s="56" t="s">
        <v>326</v>
      </c>
      <c r="B268" s="84" t="str">
        <f>'дод 7'!A221</f>
        <v>7670</v>
      </c>
      <c r="C268" s="56" t="str">
        <f>'дод 7'!B221</f>
        <v>0490</v>
      </c>
      <c r="D268" s="57" t="str">
        <f>'дод 7'!C221</f>
        <v>Внески до статутного капіталу суб'єктів господарювання, у т. ч. за рахунок:</v>
      </c>
      <c r="E268" s="135">
        <f t="shared" si="111"/>
        <v>0</v>
      </c>
      <c r="F268" s="135"/>
      <c r="G268" s="135"/>
      <c r="H268" s="135"/>
      <c r="I268" s="135"/>
      <c r="J268" s="135">
        <f t="shared" si="113"/>
        <v>52115000</v>
      </c>
      <c r="K268" s="135">
        <f>47115000+5000000</f>
        <v>52115000</v>
      </c>
      <c r="L268" s="135"/>
      <c r="M268" s="135"/>
      <c r="N268" s="135"/>
      <c r="O268" s="135">
        <f>47115000+5000000</f>
        <v>52115000</v>
      </c>
      <c r="P268" s="135">
        <f t="shared" si="112"/>
        <v>52115000</v>
      </c>
      <c r="Q268" s="178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</row>
    <row r="269" spans="1:525" s="24" customFormat="1" ht="18.75" customHeight="1" x14ac:dyDescent="0.25">
      <c r="A269" s="76"/>
      <c r="B269" s="97"/>
      <c r="C269" s="97"/>
      <c r="D269" s="77" t="s">
        <v>413</v>
      </c>
      <c r="E269" s="136">
        <f t="shared" si="111"/>
        <v>0</v>
      </c>
      <c r="F269" s="136"/>
      <c r="G269" s="136"/>
      <c r="H269" s="136"/>
      <c r="I269" s="136"/>
      <c r="J269" s="136">
        <f t="shared" si="113"/>
        <v>47115000</v>
      </c>
      <c r="K269" s="136">
        <v>47115000</v>
      </c>
      <c r="L269" s="136"/>
      <c r="M269" s="136"/>
      <c r="N269" s="136"/>
      <c r="O269" s="136">
        <v>47115000</v>
      </c>
      <c r="P269" s="136">
        <f t="shared" si="112"/>
        <v>47115000</v>
      </c>
      <c r="Q269" s="178">
        <v>20</v>
      </c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0"/>
      <c r="FV269" s="30"/>
      <c r="FW269" s="30"/>
      <c r="FX269" s="30"/>
      <c r="FY269" s="30"/>
      <c r="FZ269" s="30"/>
      <c r="GA269" s="30"/>
      <c r="GB269" s="30"/>
      <c r="GC269" s="30"/>
      <c r="GD269" s="30"/>
      <c r="GE269" s="30"/>
      <c r="GF269" s="30"/>
      <c r="GG269" s="30"/>
      <c r="GH269" s="30"/>
      <c r="GI269" s="30"/>
      <c r="GJ269" s="30"/>
      <c r="GK269" s="30"/>
      <c r="GL269" s="30"/>
      <c r="GM269" s="30"/>
      <c r="GN269" s="30"/>
      <c r="GO269" s="30"/>
      <c r="GP269" s="30"/>
      <c r="GQ269" s="30"/>
      <c r="GR269" s="30"/>
      <c r="GS269" s="30"/>
      <c r="GT269" s="30"/>
      <c r="GU269" s="30"/>
      <c r="GV269" s="30"/>
      <c r="GW269" s="30"/>
      <c r="GX269" s="30"/>
      <c r="GY269" s="30"/>
      <c r="GZ269" s="30"/>
      <c r="HA269" s="30"/>
      <c r="HB269" s="30"/>
      <c r="HC269" s="30"/>
      <c r="HD269" s="30"/>
      <c r="HE269" s="30"/>
      <c r="HF269" s="30"/>
      <c r="HG269" s="30"/>
      <c r="HH269" s="30"/>
      <c r="HI269" s="30"/>
      <c r="HJ269" s="30"/>
      <c r="HK269" s="30"/>
      <c r="HL269" s="30"/>
      <c r="HM269" s="30"/>
      <c r="HN269" s="30"/>
      <c r="HO269" s="30"/>
      <c r="HP269" s="30"/>
      <c r="HQ269" s="30"/>
      <c r="HR269" s="30"/>
      <c r="HS269" s="30"/>
      <c r="HT269" s="30"/>
      <c r="HU269" s="30"/>
      <c r="HV269" s="30"/>
      <c r="HW269" s="30"/>
      <c r="HX269" s="30"/>
      <c r="HY269" s="30"/>
      <c r="HZ269" s="30"/>
      <c r="IA269" s="30"/>
      <c r="IB269" s="30"/>
      <c r="IC269" s="30"/>
      <c r="ID269" s="30"/>
      <c r="IE269" s="30"/>
      <c r="IF269" s="30"/>
      <c r="IG269" s="30"/>
      <c r="IH269" s="30"/>
      <c r="II269" s="30"/>
      <c r="IJ269" s="30"/>
      <c r="IK269" s="30"/>
      <c r="IL269" s="30"/>
      <c r="IM269" s="30"/>
      <c r="IN269" s="30"/>
      <c r="IO269" s="30"/>
      <c r="IP269" s="30"/>
      <c r="IQ269" s="30"/>
      <c r="IR269" s="30"/>
      <c r="IS269" s="30"/>
      <c r="IT269" s="30"/>
      <c r="IU269" s="30"/>
      <c r="IV269" s="30"/>
      <c r="IW269" s="30"/>
      <c r="IX269" s="30"/>
      <c r="IY269" s="30"/>
      <c r="IZ269" s="30"/>
      <c r="JA269" s="30"/>
      <c r="JB269" s="30"/>
      <c r="JC269" s="30"/>
      <c r="JD269" s="30"/>
      <c r="JE269" s="30"/>
      <c r="JF269" s="30"/>
      <c r="JG269" s="30"/>
      <c r="JH269" s="30"/>
      <c r="JI269" s="30"/>
      <c r="JJ269" s="30"/>
      <c r="JK269" s="30"/>
      <c r="JL269" s="30"/>
      <c r="JM269" s="30"/>
      <c r="JN269" s="30"/>
      <c r="JO269" s="30"/>
      <c r="JP269" s="30"/>
      <c r="JQ269" s="30"/>
      <c r="JR269" s="30"/>
      <c r="JS269" s="30"/>
      <c r="JT269" s="30"/>
      <c r="JU269" s="30"/>
      <c r="JV269" s="30"/>
      <c r="JW269" s="30"/>
      <c r="JX269" s="30"/>
      <c r="JY269" s="30"/>
      <c r="JZ269" s="30"/>
      <c r="KA269" s="30"/>
      <c r="KB269" s="30"/>
      <c r="KC269" s="30"/>
      <c r="KD269" s="30"/>
      <c r="KE269" s="30"/>
      <c r="KF269" s="30"/>
      <c r="KG269" s="30"/>
      <c r="KH269" s="30"/>
      <c r="KI269" s="30"/>
      <c r="KJ269" s="30"/>
      <c r="KK269" s="30"/>
      <c r="KL269" s="30"/>
      <c r="KM269" s="30"/>
      <c r="KN269" s="30"/>
      <c r="KO269" s="30"/>
      <c r="KP269" s="30"/>
      <c r="KQ269" s="30"/>
      <c r="KR269" s="30"/>
      <c r="KS269" s="30"/>
      <c r="KT269" s="30"/>
      <c r="KU269" s="30"/>
      <c r="KV269" s="30"/>
      <c r="KW269" s="30"/>
      <c r="KX269" s="30"/>
      <c r="KY269" s="30"/>
      <c r="KZ269" s="30"/>
      <c r="LA269" s="30"/>
      <c r="LB269" s="30"/>
      <c r="LC269" s="30"/>
      <c r="LD269" s="30"/>
      <c r="LE269" s="30"/>
      <c r="LF269" s="30"/>
      <c r="LG269" s="30"/>
      <c r="LH269" s="30"/>
      <c r="LI269" s="30"/>
      <c r="LJ269" s="30"/>
      <c r="LK269" s="30"/>
      <c r="LL269" s="30"/>
      <c r="LM269" s="30"/>
      <c r="LN269" s="30"/>
      <c r="LO269" s="30"/>
      <c r="LP269" s="30"/>
      <c r="LQ269" s="30"/>
      <c r="LR269" s="30"/>
      <c r="LS269" s="30"/>
      <c r="LT269" s="30"/>
      <c r="LU269" s="30"/>
      <c r="LV269" s="30"/>
      <c r="LW269" s="30"/>
      <c r="LX269" s="30"/>
      <c r="LY269" s="30"/>
      <c r="LZ269" s="30"/>
      <c r="MA269" s="30"/>
      <c r="MB269" s="30"/>
      <c r="MC269" s="30"/>
      <c r="MD269" s="30"/>
      <c r="ME269" s="30"/>
      <c r="MF269" s="30"/>
      <c r="MG269" s="30"/>
      <c r="MH269" s="30"/>
      <c r="MI269" s="30"/>
      <c r="MJ269" s="30"/>
      <c r="MK269" s="30"/>
      <c r="ML269" s="30"/>
      <c r="MM269" s="30"/>
      <c r="MN269" s="30"/>
      <c r="MO269" s="30"/>
      <c r="MP269" s="30"/>
      <c r="MQ269" s="30"/>
      <c r="MR269" s="30"/>
      <c r="MS269" s="30"/>
      <c r="MT269" s="30"/>
      <c r="MU269" s="30"/>
      <c r="MV269" s="30"/>
      <c r="MW269" s="30"/>
      <c r="MX269" s="30"/>
      <c r="MY269" s="30"/>
      <c r="MZ269" s="30"/>
      <c r="NA269" s="30"/>
      <c r="NB269" s="30"/>
      <c r="NC269" s="30"/>
      <c r="ND269" s="30"/>
      <c r="NE269" s="30"/>
      <c r="NF269" s="30"/>
      <c r="NG269" s="30"/>
      <c r="NH269" s="30"/>
      <c r="NI269" s="30"/>
      <c r="NJ269" s="30"/>
      <c r="NK269" s="30"/>
      <c r="NL269" s="30"/>
      <c r="NM269" s="30"/>
      <c r="NN269" s="30"/>
      <c r="NO269" s="30"/>
      <c r="NP269" s="30"/>
      <c r="NQ269" s="30"/>
      <c r="NR269" s="30"/>
      <c r="NS269" s="30"/>
      <c r="NT269" s="30"/>
      <c r="NU269" s="30"/>
      <c r="NV269" s="30"/>
      <c r="NW269" s="30"/>
      <c r="NX269" s="30"/>
      <c r="NY269" s="30"/>
      <c r="NZ269" s="30"/>
      <c r="OA269" s="30"/>
      <c r="OB269" s="30"/>
      <c r="OC269" s="30"/>
      <c r="OD269" s="30"/>
      <c r="OE269" s="30"/>
      <c r="OF269" s="30"/>
      <c r="OG269" s="30"/>
      <c r="OH269" s="30"/>
      <c r="OI269" s="30"/>
      <c r="OJ269" s="30"/>
      <c r="OK269" s="30"/>
      <c r="OL269" s="30"/>
      <c r="OM269" s="30"/>
      <c r="ON269" s="30"/>
      <c r="OO269" s="30"/>
      <c r="OP269" s="30"/>
      <c r="OQ269" s="30"/>
      <c r="OR269" s="30"/>
      <c r="OS269" s="30"/>
      <c r="OT269" s="30"/>
      <c r="OU269" s="30"/>
      <c r="OV269" s="30"/>
      <c r="OW269" s="30"/>
      <c r="OX269" s="30"/>
      <c r="OY269" s="30"/>
      <c r="OZ269" s="30"/>
      <c r="PA269" s="30"/>
      <c r="PB269" s="30"/>
      <c r="PC269" s="30"/>
      <c r="PD269" s="30"/>
      <c r="PE269" s="30"/>
      <c r="PF269" s="30"/>
      <c r="PG269" s="30"/>
      <c r="PH269" s="30"/>
      <c r="PI269" s="30"/>
      <c r="PJ269" s="30"/>
      <c r="PK269" s="30"/>
      <c r="PL269" s="30"/>
      <c r="PM269" s="30"/>
      <c r="PN269" s="30"/>
      <c r="PO269" s="30"/>
      <c r="PP269" s="30"/>
      <c r="PQ269" s="30"/>
      <c r="PR269" s="30"/>
      <c r="PS269" s="30"/>
      <c r="PT269" s="30"/>
      <c r="PU269" s="30"/>
      <c r="PV269" s="30"/>
      <c r="PW269" s="30"/>
      <c r="PX269" s="30"/>
      <c r="PY269" s="30"/>
      <c r="PZ269" s="30"/>
      <c r="QA269" s="30"/>
      <c r="QB269" s="30"/>
      <c r="QC269" s="30"/>
      <c r="QD269" s="30"/>
      <c r="QE269" s="30"/>
      <c r="QF269" s="30"/>
      <c r="QG269" s="30"/>
      <c r="QH269" s="30"/>
      <c r="QI269" s="30"/>
      <c r="QJ269" s="30"/>
      <c r="QK269" s="30"/>
      <c r="QL269" s="30"/>
      <c r="QM269" s="30"/>
      <c r="QN269" s="30"/>
      <c r="QO269" s="30"/>
      <c r="QP269" s="30"/>
      <c r="QQ269" s="30"/>
      <c r="QR269" s="30"/>
      <c r="QS269" s="30"/>
      <c r="QT269" s="30"/>
      <c r="QU269" s="30"/>
      <c r="QV269" s="30"/>
      <c r="QW269" s="30"/>
      <c r="QX269" s="30"/>
      <c r="QY269" s="30"/>
      <c r="QZ269" s="30"/>
      <c r="RA269" s="30"/>
      <c r="RB269" s="30"/>
      <c r="RC269" s="30"/>
      <c r="RD269" s="30"/>
      <c r="RE269" s="30"/>
      <c r="RF269" s="30"/>
      <c r="RG269" s="30"/>
      <c r="RH269" s="30"/>
      <c r="RI269" s="30"/>
      <c r="RJ269" s="30"/>
      <c r="RK269" s="30"/>
      <c r="RL269" s="30"/>
      <c r="RM269" s="30"/>
      <c r="RN269" s="30"/>
      <c r="RO269" s="30"/>
      <c r="RP269" s="30"/>
      <c r="RQ269" s="30"/>
      <c r="RR269" s="30"/>
      <c r="RS269" s="30"/>
      <c r="RT269" s="30"/>
      <c r="RU269" s="30"/>
      <c r="RV269" s="30"/>
      <c r="RW269" s="30"/>
      <c r="RX269" s="30"/>
      <c r="RY269" s="30"/>
      <c r="RZ269" s="30"/>
      <c r="SA269" s="30"/>
      <c r="SB269" s="30"/>
      <c r="SC269" s="30"/>
      <c r="SD269" s="30"/>
      <c r="SE269" s="30"/>
      <c r="SF269" s="30"/>
      <c r="SG269" s="30"/>
      <c r="SH269" s="30"/>
      <c r="SI269" s="30"/>
      <c r="SJ269" s="30"/>
      <c r="SK269" s="30"/>
      <c r="SL269" s="30"/>
      <c r="SM269" s="30"/>
      <c r="SN269" s="30"/>
      <c r="SO269" s="30"/>
      <c r="SP269" s="30"/>
      <c r="SQ269" s="30"/>
      <c r="SR269" s="30"/>
      <c r="SS269" s="30"/>
      <c r="ST269" s="30"/>
      <c r="SU269" s="30"/>
      <c r="SV269" s="30"/>
      <c r="SW269" s="30"/>
      <c r="SX269" s="30"/>
      <c r="SY269" s="30"/>
      <c r="SZ269" s="30"/>
      <c r="TA269" s="30"/>
      <c r="TB269" s="30"/>
      <c r="TC269" s="30"/>
      <c r="TD269" s="30"/>
      <c r="TE269" s="30"/>
    </row>
    <row r="270" spans="1:525" s="22" customFormat="1" ht="120.75" customHeight="1" x14ac:dyDescent="0.25">
      <c r="A270" s="89" t="s">
        <v>295</v>
      </c>
      <c r="B270" s="42">
        <v>7691</v>
      </c>
      <c r="C270" s="42" t="s">
        <v>81</v>
      </c>
      <c r="D270" s="36" t="str">
        <f>'дод 7'!C224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70" s="135">
        <f t="shared" si="111"/>
        <v>0</v>
      </c>
      <c r="F270" s="135"/>
      <c r="G270" s="135"/>
      <c r="H270" s="135"/>
      <c r="I270" s="135"/>
      <c r="J270" s="135">
        <f t="shared" si="113"/>
        <v>2208261</v>
      </c>
      <c r="K270" s="135"/>
      <c r="L270" s="135">
        <v>300661</v>
      </c>
      <c r="M270" s="135"/>
      <c r="N270" s="135"/>
      <c r="O270" s="135">
        <v>1907600</v>
      </c>
      <c r="P270" s="135">
        <f t="shared" si="112"/>
        <v>2208261</v>
      </c>
      <c r="Q270" s="178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</row>
    <row r="271" spans="1:525" s="22" customFormat="1" ht="31.5" hidden="1" customHeight="1" x14ac:dyDescent="0.25">
      <c r="A271" s="89" t="s">
        <v>375</v>
      </c>
      <c r="B271" s="42" t="str">
        <f>'дод 7'!A232</f>
        <v>8110</v>
      </c>
      <c r="C271" s="42" t="str">
        <f>'дод 7'!B232</f>
        <v>0320</v>
      </c>
      <c r="D271" s="90" t="str">
        <f>'дод 7'!C232</f>
        <v>Заходи із запобігання та ліквідації надзвичайних ситуацій та наслідків стихійного лиха</v>
      </c>
      <c r="E271" s="135">
        <f t="shared" ref="E271" si="125">F271+I271</f>
        <v>0</v>
      </c>
      <c r="F271" s="135"/>
      <c r="G271" s="135"/>
      <c r="H271" s="135"/>
      <c r="I271" s="135"/>
      <c r="J271" s="135">
        <f t="shared" ref="J271" si="126">L271+O271</f>
        <v>0</v>
      </c>
      <c r="K271" s="135"/>
      <c r="L271" s="135"/>
      <c r="M271" s="135"/>
      <c r="N271" s="135"/>
      <c r="O271" s="135"/>
      <c r="P271" s="135">
        <f t="shared" ref="P271" si="127">E271+J271</f>
        <v>0</v>
      </c>
      <c r="Q271" s="178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</row>
    <row r="272" spans="1:525" s="22" customFormat="1" ht="15.75" hidden="1" customHeight="1" x14ac:dyDescent="0.25">
      <c r="A272" s="89" t="s">
        <v>374</v>
      </c>
      <c r="B272" s="42" t="str">
        <f>'дод 7'!A236</f>
        <v>8230</v>
      </c>
      <c r="C272" s="42" t="str">
        <f>'дод 7'!B236</f>
        <v>0380</v>
      </c>
      <c r="D272" s="90" t="str">
        <f>'дод 7'!C236</f>
        <v>Інші заходи громадського порядку та безпеки</v>
      </c>
      <c r="E272" s="135">
        <f t="shared" ref="E272" si="128">F272+I272</f>
        <v>0</v>
      </c>
      <c r="F272" s="135"/>
      <c r="G272" s="135"/>
      <c r="H272" s="135"/>
      <c r="I272" s="135"/>
      <c r="J272" s="135">
        <f t="shared" ref="J272" si="129">L272+O272</f>
        <v>0</v>
      </c>
      <c r="K272" s="135"/>
      <c r="L272" s="135"/>
      <c r="M272" s="135"/>
      <c r="N272" s="135"/>
      <c r="O272" s="135"/>
      <c r="P272" s="135">
        <f t="shared" ref="P272" si="130">E272+J272</f>
        <v>0</v>
      </c>
      <c r="Q272" s="178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</row>
    <row r="273" spans="1:525" s="22" customFormat="1" ht="35.25" customHeight="1" x14ac:dyDescent="0.25">
      <c r="A273" s="56" t="s">
        <v>200</v>
      </c>
      <c r="B273" s="84" t="str">
        <f>'дод 7'!A240</f>
        <v>8340</v>
      </c>
      <c r="C273" s="84" t="str">
        <f>'дод 7'!B240</f>
        <v>0540</v>
      </c>
      <c r="D273" s="57" t="str">
        <f>'дод 7'!C240</f>
        <v>Природоохоронні заходи за рахунок цільових фондів</v>
      </c>
      <c r="E273" s="135">
        <f t="shared" si="111"/>
        <v>0</v>
      </c>
      <c r="F273" s="135"/>
      <c r="G273" s="135"/>
      <c r="H273" s="135"/>
      <c r="I273" s="135"/>
      <c r="J273" s="135">
        <f t="shared" si="113"/>
        <v>3591000</v>
      </c>
      <c r="K273" s="135"/>
      <c r="L273" s="135">
        <f>3591000-310000</f>
        <v>3281000</v>
      </c>
      <c r="M273" s="135"/>
      <c r="N273" s="135"/>
      <c r="O273" s="135">
        <v>310000</v>
      </c>
      <c r="P273" s="135">
        <f t="shared" si="112"/>
        <v>3591000</v>
      </c>
      <c r="Q273" s="178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</row>
    <row r="274" spans="1:525" s="22" customFormat="1" ht="84" customHeight="1" x14ac:dyDescent="0.25">
      <c r="A274" s="56" t="s">
        <v>626</v>
      </c>
      <c r="B274" s="84">
        <f>'дод 7'!A246</f>
        <v>8746</v>
      </c>
      <c r="C274" s="84">
        <f>'дод 7'!B246</f>
        <v>640</v>
      </c>
      <c r="D274" s="99" t="str">
        <f>'дод 7'!C246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274" s="135">
        <f>F274</f>
        <v>800000</v>
      </c>
      <c r="F274" s="135">
        <v>800000</v>
      </c>
      <c r="G274" s="135"/>
      <c r="H274" s="135"/>
      <c r="I274" s="135"/>
      <c r="J274" s="135">
        <f t="shared" ref="J274" si="131">L274+O274</f>
        <v>0</v>
      </c>
      <c r="K274" s="135"/>
      <c r="L274" s="135"/>
      <c r="M274" s="135"/>
      <c r="N274" s="135"/>
      <c r="O274" s="135"/>
      <c r="P274" s="135">
        <f t="shared" ref="P274" si="132">E274+J274</f>
        <v>800000</v>
      </c>
      <c r="Q274" s="178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</row>
    <row r="275" spans="1:525" s="22" customFormat="1" ht="38.25" customHeight="1" x14ac:dyDescent="0.25">
      <c r="A275" s="89" t="s">
        <v>618</v>
      </c>
      <c r="B275" s="42">
        <v>8775</v>
      </c>
      <c r="C275" s="89" t="s">
        <v>92</v>
      </c>
      <c r="D275" s="36" t="s">
        <v>614</v>
      </c>
      <c r="E275" s="135">
        <f>F275</f>
        <v>11500000</v>
      </c>
      <c r="F275" s="135">
        <f>6500000+5000000</f>
        <v>11500000</v>
      </c>
      <c r="G275" s="135"/>
      <c r="H275" s="135"/>
      <c r="I275" s="135"/>
      <c r="J275" s="135">
        <f t="shared" si="113"/>
        <v>0</v>
      </c>
      <c r="K275" s="135"/>
      <c r="L275" s="135"/>
      <c r="M275" s="135"/>
      <c r="N275" s="135"/>
      <c r="O275" s="135"/>
      <c r="P275" s="135">
        <f t="shared" si="112"/>
        <v>11500000</v>
      </c>
      <c r="Q275" s="178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</row>
    <row r="276" spans="1:525" s="22" customFormat="1" ht="78.75" hidden="1" customHeight="1" x14ac:dyDescent="0.25">
      <c r="A276" s="56" t="s">
        <v>547</v>
      </c>
      <c r="B276" s="84">
        <v>9730</v>
      </c>
      <c r="C276" s="56" t="s">
        <v>44</v>
      </c>
      <c r="D276" s="57" t="s">
        <v>548</v>
      </c>
      <c r="E276" s="135">
        <f t="shared" si="111"/>
        <v>0</v>
      </c>
      <c r="F276" s="135"/>
      <c r="G276" s="135"/>
      <c r="H276" s="135"/>
      <c r="I276" s="135"/>
      <c r="J276" s="135">
        <f t="shared" si="113"/>
        <v>0</v>
      </c>
      <c r="K276" s="135"/>
      <c r="L276" s="135"/>
      <c r="M276" s="135"/>
      <c r="N276" s="135"/>
      <c r="O276" s="135"/>
      <c r="P276" s="135">
        <f t="shared" si="112"/>
        <v>0</v>
      </c>
      <c r="Q276" s="178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</row>
    <row r="277" spans="1:525" s="22" customFormat="1" ht="36" customHeight="1" x14ac:dyDescent="0.25">
      <c r="A277" s="56" t="s">
        <v>606</v>
      </c>
      <c r="B277" s="84">
        <v>9750</v>
      </c>
      <c r="C277" s="56" t="s">
        <v>44</v>
      </c>
      <c r="D277" s="57" t="s">
        <v>508</v>
      </c>
      <c r="E277" s="135">
        <f t="shared" ref="E277" si="133">F277+I277</f>
        <v>0</v>
      </c>
      <c r="F277" s="135"/>
      <c r="G277" s="135"/>
      <c r="H277" s="135"/>
      <c r="I277" s="135"/>
      <c r="J277" s="135">
        <f t="shared" ref="J277" si="134">L277+O277</f>
        <v>800000</v>
      </c>
      <c r="K277" s="135">
        <v>800000</v>
      </c>
      <c r="L277" s="135"/>
      <c r="M277" s="135"/>
      <c r="N277" s="135"/>
      <c r="O277" s="135">
        <v>800000</v>
      </c>
      <c r="P277" s="135">
        <f t="shared" si="112"/>
        <v>800000</v>
      </c>
      <c r="Q277" s="178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</row>
    <row r="278" spans="1:525" s="22" customFormat="1" ht="20.25" customHeight="1" x14ac:dyDescent="0.25">
      <c r="A278" s="56" t="s">
        <v>201</v>
      </c>
      <c r="B278" s="84" t="str">
        <f>'дод 7'!A260</f>
        <v>9770</v>
      </c>
      <c r="C278" s="84" t="str">
        <f>'дод 7'!B260</f>
        <v>0180</v>
      </c>
      <c r="D278" s="57" t="str">
        <f>'дод 7'!C260</f>
        <v>Інші субвенції з місцевого бюджету</v>
      </c>
      <c r="E278" s="135">
        <f t="shared" si="111"/>
        <v>8896240</v>
      </c>
      <c r="F278" s="135">
        <v>8896240</v>
      </c>
      <c r="G278" s="135"/>
      <c r="H278" s="135"/>
      <c r="I278" s="135"/>
      <c r="J278" s="135">
        <f t="shared" si="113"/>
        <v>3103760</v>
      </c>
      <c r="K278" s="135">
        <v>3103760</v>
      </c>
      <c r="L278" s="135"/>
      <c r="M278" s="135"/>
      <c r="N278" s="135"/>
      <c r="O278" s="135">
        <v>3103760</v>
      </c>
      <c r="P278" s="135">
        <f t="shared" si="112"/>
        <v>12000000</v>
      </c>
      <c r="Q278" s="178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</row>
    <row r="279" spans="1:525" s="22" customFormat="1" ht="65.25" customHeight="1" x14ac:dyDescent="0.25">
      <c r="A279" s="56" t="s">
        <v>627</v>
      </c>
      <c r="B279" s="84">
        <f>'дод 7'!A261</f>
        <v>9800</v>
      </c>
      <c r="C279" s="84" t="str">
        <f>'дод 7'!B261</f>
        <v>0180</v>
      </c>
      <c r="D279" s="99" t="str">
        <f>'дод 7'!C261</f>
        <v xml:space="preserve">Субвенція з місцевого бюджету державному бюджету на виконання програм соціально-економічного розвитку регіонів </v>
      </c>
      <c r="E279" s="135">
        <f>F279</f>
        <v>2680000</v>
      </c>
      <c r="F279" s="135">
        <v>2680000</v>
      </c>
      <c r="G279" s="135"/>
      <c r="H279" s="135"/>
      <c r="I279" s="135"/>
      <c r="J279" s="135">
        <f t="shared" si="113"/>
        <v>0</v>
      </c>
      <c r="K279" s="135"/>
      <c r="L279" s="135"/>
      <c r="M279" s="135"/>
      <c r="N279" s="135"/>
      <c r="O279" s="135"/>
      <c r="P279" s="135">
        <f t="shared" si="112"/>
        <v>2680000</v>
      </c>
      <c r="Q279" s="178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</row>
    <row r="280" spans="1:525" s="27" customFormat="1" ht="33.75" customHeight="1" x14ac:dyDescent="0.25">
      <c r="A280" s="96" t="s">
        <v>26</v>
      </c>
      <c r="B280" s="98"/>
      <c r="C280" s="98"/>
      <c r="D280" s="93" t="s">
        <v>33</v>
      </c>
      <c r="E280" s="133">
        <f>E281</f>
        <v>6475000</v>
      </c>
      <c r="F280" s="133">
        <f t="shared" ref="F280:J281" si="135">F281</f>
        <v>6475000</v>
      </c>
      <c r="G280" s="133">
        <f t="shared" si="135"/>
        <v>4986600</v>
      </c>
      <c r="H280" s="133">
        <f t="shared" si="135"/>
        <v>164100</v>
      </c>
      <c r="I280" s="133">
        <f t="shared" si="135"/>
        <v>0</v>
      </c>
      <c r="J280" s="133">
        <f t="shared" si="135"/>
        <v>0</v>
      </c>
      <c r="K280" s="133">
        <f t="shared" ref="K280:K281" si="136">K281</f>
        <v>0</v>
      </c>
      <c r="L280" s="133">
        <f t="shared" ref="L280:L281" si="137">L281</f>
        <v>0</v>
      </c>
      <c r="M280" s="133">
        <f t="shared" ref="M280:M281" si="138">M281</f>
        <v>0</v>
      </c>
      <c r="N280" s="133">
        <f t="shared" ref="N280:N281" si="139">N281</f>
        <v>0</v>
      </c>
      <c r="O280" s="133">
        <f t="shared" ref="O280:P281" si="140">O281</f>
        <v>0</v>
      </c>
      <c r="P280" s="133">
        <f t="shared" si="140"/>
        <v>6475000</v>
      </c>
      <c r="Q280" s="178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  <c r="EH280" s="32"/>
      <c r="EI280" s="32"/>
      <c r="EJ280" s="32"/>
      <c r="EK280" s="32"/>
      <c r="EL280" s="32"/>
      <c r="EM280" s="32"/>
      <c r="EN280" s="32"/>
      <c r="EO280" s="32"/>
      <c r="EP280" s="32"/>
      <c r="EQ280" s="32"/>
      <c r="ER280" s="32"/>
      <c r="ES280" s="32"/>
      <c r="ET280" s="32"/>
      <c r="EU280" s="32"/>
      <c r="EV280" s="32"/>
      <c r="EW280" s="32"/>
      <c r="EX280" s="32"/>
      <c r="EY280" s="32"/>
      <c r="EZ280" s="32"/>
      <c r="FA280" s="32"/>
      <c r="FB280" s="32"/>
      <c r="FC280" s="32"/>
      <c r="FD280" s="32"/>
      <c r="FE280" s="32"/>
      <c r="FF280" s="32"/>
      <c r="FG280" s="32"/>
      <c r="FH280" s="32"/>
      <c r="FI280" s="32"/>
      <c r="FJ280" s="32"/>
      <c r="FK280" s="32"/>
      <c r="FL280" s="32"/>
      <c r="FM280" s="32"/>
      <c r="FN280" s="32"/>
      <c r="FO280" s="32"/>
      <c r="FP280" s="32"/>
      <c r="FQ280" s="32"/>
      <c r="FR280" s="32"/>
      <c r="FS280" s="32"/>
      <c r="FT280" s="32"/>
      <c r="FU280" s="32"/>
      <c r="FV280" s="32"/>
      <c r="FW280" s="32"/>
      <c r="FX280" s="32"/>
      <c r="FY280" s="32"/>
      <c r="FZ280" s="32"/>
      <c r="GA280" s="32"/>
      <c r="GB280" s="32"/>
      <c r="GC280" s="32"/>
      <c r="GD280" s="32"/>
      <c r="GE280" s="32"/>
      <c r="GF280" s="32"/>
      <c r="GG280" s="32"/>
      <c r="GH280" s="32"/>
      <c r="GI280" s="32"/>
      <c r="GJ280" s="32"/>
      <c r="GK280" s="32"/>
      <c r="GL280" s="32"/>
      <c r="GM280" s="32"/>
      <c r="GN280" s="32"/>
      <c r="GO280" s="32"/>
      <c r="GP280" s="32"/>
      <c r="GQ280" s="32"/>
      <c r="GR280" s="32"/>
      <c r="GS280" s="32"/>
      <c r="GT280" s="32"/>
      <c r="GU280" s="32"/>
      <c r="GV280" s="32"/>
      <c r="GW280" s="32"/>
      <c r="GX280" s="32"/>
      <c r="GY280" s="32"/>
      <c r="GZ280" s="32"/>
      <c r="HA280" s="32"/>
      <c r="HB280" s="32"/>
      <c r="HC280" s="32"/>
      <c r="HD280" s="32"/>
      <c r="HE280" s="32"/>
      <c r="HF280" s="32"/>
      <c r="HG280" s="32"/>
      <c r="HH280" s="32"/>
      <c r="HI280" s="32"/>
      <c r="HJ280" s="32"/>
      <c r="HK280" s="32"/>
      <c r="HL280" s="32"/>
      <c r="HM280" s="32"/>
      <c r="HN280" s="32"/>
      <c r="HO280" s="32"/>
      <c r="HP280" s="32"/>
      <c r="HQ280" s="32"/>
      <c r="HR280" s="32"/>
      <c r="HS280" s="32"/>
      <c r="HT280" s="32"/>
      <c r="HU280" s="32"/>
      <c r="HV280" s="32"/>
      <c r="HW280" s="32"/>
      <c r="HX280" s="32"/>
      <c r="HY280" s="32"/>
      <c r="HZ280" s="32"/>
      <c r="IA280" s="32"/>
      <c r="IB280" s="32"/>
      <c r="IC280" s="32"/>
      <c r="ID280" s="32"/>
      <c r="IE280" s="32"/>
      <c r="IF280" s="32"/>
      <c r="IG280" s="32"/>
      <c r="IH280" s="32"/>
      <c r="II280" s="32"/>
      <c r="IJ280" s="32"/>
      <c r="IK280" s="32"/>
      <c r="IL280" s="32"/>
      <c r="IM280" s="32"/>
      <c r="IN280" s="32"/>
      <c r="IO280" s="32"/>
      <c r="IP280" s="32"/>
      <c r="IQ280" s="32"/>
      <c r="IR280" s="32"/>
      <c r="IS280" s="32"/>
      <c r="IT280" s="32"/>
      <c r="IU280" s="32"/>
      <c r="IV280" s="32"/>
      <c r="IW280" s="32"/>
      <c r="IX280" s="32"/>
      <c r="IY280" s="32"/>
      <c r="IZ280" s="32"/>
      <c r="JA280" s="32"/>
      <c r="JB280" s="32"/>
      <c r="JC280" s="32"/>
      <c r="JD280" s="32"/>
      <c r="JE280" s="32"/>
      <c r="JF280" s="32"/>
      <c r="JG280" s="32"/>
      <c r="JH280" s="32"/>
      <c r="JI280" s="32"/>
      <c r="JJ280" s="32"/>
      <c r="JK280" s="32"/>
      <c r="JL280" s="32"/>
      <c r="JM280" s="32"/>
      <c r="JN280" s="32"/>
      <c r="JO280" s="32"/>
      <c r="JP280" s="32"/>
      <c r="JQ280" s="32"/>
      <c r="JR280" s="32"/>
      <c r="JS280" s="32"/>
      <c r="JT280" s="32"/>
      <c r="JU280" s="32"/>
      <c r="JV280" s="32"/>
      <c r="JW280" s="32"/>
      <c r="JX280" s="32"/>
      <c r="JY280" s="32"/>
      <c r="JZ280" s="32"/>
      <c r="KA280" s="32"/>
      <c r="KB280" s="32"/>
      <c r="KC280" s="32"/>
      <c r="KD280" s="32"/>
      <c r="KE280" s="32"/>
      <c r="KF280" s="32"/>
      <c r="KG280" s="32"/>
      <c r="KH280" s="32"/>
      <c r="KI280" s="32"/>
      <c r="KJ280" s="32"/>
      <c r="KK280" s="32"/>
      <c r="KL280" s="32"/>
      <c r="KM280" s="32"/>
      <c r="KN280" s="32"/>
      <c r="KO280" s="32"/>
      <c r="KP280" s="32"/>
      <c r="KQ280" s="32"/>
      <c r="KR280" s="32"/>
      <c r="KS280" s="32"/>
      <c r="KT280" s="32"/>
      <c r="KU280" s="32"/>
      <c r="KV280" s="32"/>
      <c r="KW280" s="32"/>
      <c r="KX280" s="32"/>
      <c r="KY280" s="32"/>
      <c r="KZ280" s="32"/>
      <c r="LA280" s="32"/>
      <c r="LB280" s="32"/>
      <c r="LC280" s="32"/>
      <c r="LD280" s="32"/>
      <c r="LE280" s="32"/>
      <c r="LF280" s="32"/>
      <c r="LG280" s="32"/>
      <c r="LH280" s="32"/>
      <c r="LI280" s="32"/>
      <c r="LJ280" s="32"/>
      <c r="LK280" s="32"/>
      <c r="LL280" s="32"/>
      <c r="LM280" s="32"/>
      <c r="LN280" s="32"/>
      <c r="LO280" s="32"/>
      <c r="LP280" s="32"/>
      <c r="LQ280" s="32"/>
      <c r="LR280" s="32"/>
      <c r="LS280" s="32"/>
      <c r="LT280" s="32"/>
      <c r="LU280" s="32"/>
      <c r="LV280" s="32"/>
      <c r="LW280" s="32"/>
      <c r="LX280" s="32"/>
      <c r="LY280" s="32"/>
      <c r="LZ280" s="32"/>
      <c r="MA280" s="32"/>
      <c r="MB280" s="32"/>
      <c r="MC280" s="32"/>
      <c r="MD280" s="32"/>
      <c r="ME280" s="32"/>
      <c r="MF280" s="32"/>
      <c r="MG280" s="32"/>
      <c r="MH280" s="32"/>
      <c r="MI280" s="32"/>
      <c r="MJ280" s="32"/>
      <c r="MK280" s="32"/>
      <c r="ML280" s="32"/>
      <c r="MM280" s="32"/>
      <c r="MN280" s="32"/>
      <c r="MO280" s="32"/>
      <c r="MP280" s="32"/>
      <c r="MQ280" s="32"/>
      <c r="MR280" s="32"/>
      <c r="MS280" s="32"/>
      <c r="MT280" s="32"/>
      <c r="MU280" s="32"/>
      <c r="MV280" s="32"/>
      <c r="MW280" s="32"/>
      <c r="MX280" s="32"/>
      <c r="MY280" s="32"/>
      <c r="MZ280" s="32"/>
      <c r="NA280" s="32"/>
      <c r="NB280" s="32"/>
      <c r="NC280" s="32"/>
      <c r="ND280" s="32"/>
      <c r="NE280" s="32"/>
      <c r="NF280" s="32"/>
      <c r="NG280" s="32"/>
      <c r="NH280" s="32"/>
      <c r="NI280" s="32"/>
      <c r="NJ280" s="32"/>
      <c r="NK280" s="32"/>
      <c r="NL280" s="32"/>
      <c r="NM280" s="32"/>
      <c r="NN280" s="32"/>
      <c r="NO280" s="32"/>
      <c r="NP280" s="32"/>
      <c r="NQ280" s="32"/>
      <c r="NR280" s="32"/>
      <c r="NS280" s="32"/>
      <c r="NT280" s="32"/>
      <c r="NU280" s="32"/>
      <c r="NV280" s="32"/>
      <c r="NW280" s="32"/>
      <c r="NX280" s="32"/>
      <c r="NY280" s="32"/>
      <c r="NZ280" s="32"/>
      <c r="OA280" s="32"/>
      <c r="OB280" s="32"/>
      <c r="OC280" s="32"/>
      <c r="OD280" s="32"/>
      <c r="OE280" s="32"/>
      <c r="OF280" s="32"/>
      <c r="OG280" s="32"/>
      <c r="OH280" s="32"/>
      <c r="OI280" s="32"/>
      <c r="OJ280" s="32"/>
      <c r="OK280" s="32"/>
      <c r="OL280" s="32"/>
      <c r="OM280" s="32"/>
      <c r="ON280" s="32"/>
      <c r="OO280" s="32"/>
      <c r="OP280" s="32"/>
      <c r="OQ280" s="32"/>
      <c r="OR280" s="32"/>
      <c r="OS280" s="32"/>
      <c r="OT280" s="32"/>
      <c r="OU280" s="32"/>
      <c r="OV280" s="32"/>
      <c r="OW280" s="32"/>
      <c r="OX280" s="32"/>
      <c r="OY280" s="32"/>
      <c r="OZ280" s="32"/>
      <c r="PA280" s="32"/>
      <c r="PB280" s="32"/>
      <c r="PC280" s="32"/>
      <c r="PD280" s="32"/>
      <c r="PE280" s="32"/>
      <c r="PF280" s="32"/>
      <c r="PG280" s="32"/>
      <c r="PH280" s="32"/>
      <c r="PI280" s="32"/>
      <c r="PJ280" s="32"/>
      <c r="PK280" s="32"/>
      <c r="PL280" s="32"/>
      <c r="PM280" s="32"/>
      <c r="PN280" s="32"/>
      <c r="PO280" s="32"/>
      <c r="PP280" s="32"/>
      <c r="PQ280" s="32"/>
      <c r="PR280" s="32"/>
      <c r="PS280" s="32"/>
      <c r="PT280" s="32"/>
      <c r="PU280" s="32"/>
      <c r="PV280" s="32"/>
      <c r="PW280" s="32"/>
      <c r="PX280" s="32"/>
      <c r="PY280" s="32"/>
      <c r="PZ280" s="32"/>
      <c r="QA280" s="32"/>
      <c r="QB280" s="32"/>
      <c r="QC280" s="32"/>
      <c r="QD280" s="32"/>
      <c r="QE280" s="32"/>
      <c r="QF280" s="32"/>
      <c r="QG280" s="32"/>
      <c r="QH280" s="32"/>
      <c r="QI280" s="32"/>
      <c r="QJ280" s="32"/>
      <c r="QK280" s="32"/>
      <c r="QL280" s="32"/>
      <c r="QM280" s="32"/>
      <c r="QN280" s="32"/>
      <c r="QO280" s="32"/>
      <c r="QP280" s="32"/>
      <c r="QQ280" s="32"/>
      <c r="QR280" s="32"/>
      <c r="QS280" s="32"/>
      <c r="QT280" s="32"/>
      <c r="QU280" s="32"/>
      <c r="QV280" s="32"/>
      <c r="QW280" s="32"/>
      <c r="QX280" s="32"/>
      <c r="QY280" s="32"/>
      <c r="QZ280" s="32"/>
      <c r="RA280" s="32"/>
      <c r="RB280" s="32"/>
      <c r="RC280" s="32"/>
      <c r="RD280" s="32"/>
      <c r="RE280" s="32"/>
      <c r="RF280" s="32"/>
      <c r="RG280" s="32"/>
      <c r="RH280" s="32"/>
      <c r="RI280" s="32"/>
      <c r="RJ280" s="32"/>
      <c r="RK280" s="32"/>
      <c r="RL280" s="32"/>
      <c r="RM280" s="32"/>
      <c r="RN280" s="32"/>
      <c r="RO280" s="32"/>
      <c r="RP280" s="32"/>
      <c r="RQ280" s="32"/>
      <c r="RR280" s="32"/>
      <c r="RS280" s="32"/>
      <c r="RT280" s="32"/>
      <c r="RU280" s="32"/>
      <c r="RV280" s="32"/>
      <c r="RW280" s="32"/>
      <c r="RX280" s="32"/>
      <c r="RY280" s="32"/>
      <c r="RZ280" s="32"/>
      <c r="SA280" s="32"/>
      <c r="SB280" s="32"/>
      <c r="SC280" s="32"/>
      <c r="SD280" s="32"/>
      <c r="SE280" s="32"/>
      <c r="SF280" s="32"/>
      <c r="SG280" s="32"/>
      <c r="SH280" s="32"/>
      <c r="SI280" s="32"/>
      <c r="SJ280" s="32"/>
      <c r="SK280" s="32"/>
      <c r="SL280" s="32"/>
      <c r="SM280" s="32"/>
      <c r="SN280" s="32"/>
      <c r="SO280" s="32"/>
      <c r="SP280" s="32"/>
      <c r="SQ280" s="32"/>
      <c r="SR280" s="32"/>
      <c r="SS280" s="32"/>
      <c r="ST280" s="32"/>
      <c r="SU280" s="32"/>
      <c r="SV280" s="32"/>
      <c r="SW280" s="32"/>
      <c r="SX280" s="32"/>
      <c r="SY280" s="32"/>
      <c r="SZ280" s="32"/>
      <c r="TA280" s="32"/>
      <c r="TB280" s="32"/>
      <c r="TC280" s="32"/>
      <c r="TD280" s="32"/>
      <c r="TE280" s="32"/>
    </row>
    <row r="281" spans="1:525" s="34" customFormat="1" ht="36.75" customHeight="1" x14ac:dyDescent="0.25">
      <c r="A281" s="86" t="s">
        <v>116</v>
      </c>
      <c r="B281" s="95"/>
      <c r="C281" s="95"/>
      <c r="D281" s="70" t="s">
        <v>33</v>
      </c>
      <c r="E281" s="134">
        <f>E282</f>
        <v>6475000</v>
      </c>
      <c r="F281" s="134">
        <f t="shared" si="135"/>
        <v>6475000</v>
      </c>
      <c r="G281" s="134">
        <f t="shared" si="135"/>
        <v>4986600</v>
      </c>
      <c r="H281" s="134">
        <f t="shared" si="135"/>
        <v>164100</v>
      </c>
      <c r="I281" s="134">
        <f t="shared" si="135"/>
        <v>0</v>
      </c>
      <c r="J281" s="134">
        <f t="shared" si="135"/>
        <v>0</v>
      </c>
      <c r="K281" s="134">
        <f t="shared" si="136"/>
        <v>0</v>
      </c>
      <c r="L281" s="134">
        <f t="shared" si="137"/>
        <v>0</v>
      </c>
      <c r="M281" s="134">
        <f t="shared" si="138"/>
        <v>0</v>
      </c>
      <c r="N281" s="134">
        <f t="shared" si="139"/>
        <v>0</v>
      </c>
      <c r="O281" s="134">
        <f t="shared" si="140"/>
        <v>0</v>
      </c>
      <c r="P281" s="134">
        <f t="shared" si="140"/>
        <v>6475000</v>
      </c>
      <c r="Q281" s="178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  <c r="GE281" s="33"/>
      <c r="GF281" s="33"/>
      <c r="GG281" s="33"/>
      <c r="GH281" s="33"/>
      <c r="GI281" s="33"/>
      <c r="GJ281" s="33"/>
      <c r="GK281" s="33"/>
      <c r="GL281" s="33"/>
      <c r="GM281" s="33"/>
      <c r="GN281" s="33"/>
      <c r="GO281" s="33"/>
      <c r="GP281" s="33"/>
      <c r="GQ281" s="33"/>
      <c r="GR281" s="33"/>
      <c r="GS281" s="33"/>
      <c r="GT281" s="33"/>
      <c r="GU281" s="33"/>
      <c r="GV281" s="33"/>
      <c r="GW281" s="33"/>
      <c r="GX281" s="33"/>
      <c r="GY281" s="33"/>
      <c r="GZ281" s="33"/>
      <c r="HA281" s="33"/>
      <c r="HB281" s="33"/>
      <c r="HC281" s="33"/>
      <c r="HD281" s="33"/>
      <c r="HE281" s="33"/>
      <c r="HF281" s="33"/>
      <c r="HG281" s="33"/>
      <c r="HH281" s="33"/>
      <c r="HI281" s="33"/>
      <c r="HJ281" s="33"/>
      <c r="HK281" s="33"/>
      <c r="HL281" s="33"/>
      <c r="HM281" s="33"/>
      <c r="HN281" s="33"/>
      <c r="HO281" s="33"/>
      <c r="HP281" s="33"/>
      <c r="HQ281" s="33"/>
      <c r="HR281" s="33"/>
      <c r="HS281" s="33"/>
      <c r="HT281" s="33"/>
      <c r="HU281" s="33"/>
      <c r="HV281" s="33"/>
      <c r="HW281" s="33"/>
      <c r="HX281" s="33"/>
      <c r="HY281" s="33"/>
      <c r="HZ281" s="33"/>
      <c r="IA281" s="33"/>
      <c r="IB281" s="33"/>
      <c r="IC281" s="33"/>
      <c r="ID281" s="33"/>
      <c r="IE281" s="33"/>
      <c r="IF281" s="33"/>
      <c r="IG281" s="33"/>
      <c r="IH281" s="33"/>
      <c r="II281" s="33"/>
      <c r="IJ281" s="33"/>
      <c r="IK281" s="33"/>
      <c r="IL281" s="33"/>
      <c r="IM281" s="33"/>
      <c r="IN281" s="33"/>
      <c r="IO281" s="33"/>
      <c r="IP281" s="33"/>
      <c r="IQ281" s="33"/>
      <c r="IR281" s="33"/>
      <c r="IS281" s="33"/>
      <c r="IT281" s="33"/>
      <c r="IU281" s="33"/>
      <c r="IV281" s="33"/>
      <c r="IW281" s="33"/>
      <c r="IX281" s="33"/>
      <c r="IY281" s="33"/>
      <c r="IZ281" s="33"/>
      <c r="JA281" s="33"/>
      <c r="JB281" s="33"/>
      <c r="JC281" s="33"/>
      <c r="JD281" s="33"/>
      <c r="JE281" s="33"/>
      <c r="JF281" s="33"/>
      <c r="JG281" s="33"/>
      <c r="JH281" s="33"/>
      <c r="JI281" s="33"/>
      <c r="JJ281" s="33"/>
      <c r="JK281" s="33"/>
      <c r="JL281" s="33"/>
      <c r="JM281" s="33"/>
      <c r="JN281" s="33"/>
      <c r="JO281" s="33"/>
      <c r="JP281" s="33"/>
      <c r="JQ281" s="33"/>
      <c r="JR281" s="33"/>
      <c r="JS281" s="33"/>
      <c r="JT281" s="33"/>
      <c r="JU281" s="33"/>
      <c r="JV281" s="33"/>
      <c r="JW281" s="33"/>
      <c r="JX281" s="33"/>
      <c r="JY281" s="33"/>
      <c r="JZ281" s="33"/>
      <c r="KA281" s="33"/>
      <c r="KB281" s="33"/>
      <c r="KC281" s="33"/>
      <c r="KD281" s="33"/>
      <c r="KE281" s="33"/>
      <c r="KF281" s="33"/>
      <c r="KG281" s="33"/>
      <c r="KH281" s="33"/>
      <c r="KI281" s="33"/>
      <c r="KJ281" s="33"/>
      <c r="KK281" s="33"/>
      <c r="KL281" s="33"/>
      <c r="KM281" s="33"/>
      <c r="KN281" s="33"/>
      <c r="KO281" s="33"/>
      <c r="KP281" s="33"/>
      <c r="KQ281" s="33"/>
      <c r="KR281" s="33"/>
      <c r="KS281" s="33"/>
      <c r="KT281" s="33"/>
      <c r="KU281" s="33"/>
      <c r="KV281" s="33"/>
      <c r="KW281" s="33"/>
      <c r="KX281" s="33"/>
      <c r="KY281" s="33"/>
      <c r="KZ281" s="33"/>
      <c r="LA281" s="33"/>
      <c r="LB281" s="33"/>
      <c r="LC281" s="33"/>
      <c r="LD281" s="33"/>
      <c r="LE281" s="33"/>
      <c r="LF281" s="33"/>
      <c r="LG281" s="33"/>
      <c r="LH281" s="33"/>
      <c r="LI281" s="33"/>
      <c r="LJ281" s="33"/>
      <c r="LK281" s="33"/>
      <c r="LL281" s="33"/>
      <c r="LM281" s="33"/>
      <c r="LN281" s="33"/>
      <c r="LO281" s="33"/>
      <c r="LP281" s="33"/>
      <c r="LQ281" s="33"/>
      <c r="LR281" s="33"/>
      <c r="LS281" s="33"/>
      <c r="LT281" s="33"/>
      <c r="LU281" s="33"/>
      <c r="LV281" s="33"/>
      <c r="LW281" s="33"/>
      <c r="LX281" s="33"/>
      <c r="LY281" s="33"/>
      <c r="LZ281" s="33"/>
      <c r="MA281" s="33"/>
      <c r="MB281" s="33"/>
      <c r="MC281" s="33"/>
      <c r="MD281" s="33"/>
      <c r="ME281" s="33"/>
      <c r="MF281" s="33"/>
      <c r="MG281" s="33"/>
      <c r="MH281" s="33"/>
      <c r="MI281" s="33"/>
      <c r="MJ281" s="33"/>
      <c r="MK281" s="33"/>
      <c r="ML281" s="33"/>
      <c r="MM281" s="33"/>
      <c r="MN281" s="33"/>
      <c r="MO281" s="33"/>
      <c r="MP281" s="33"/>
      <c r="MQ281" s="33"/>
      <c r="MR281" s="33"/>
      <c r="MS281" s="33"/>
      <c r="MT281" s="33"/>
      <c r="MU281" s="33"/>
      <c r="MV281" s="33"/>
      <c r="MW281" s="33"/>
      <c r="MX281" s="33"/>
      <c r="MY281" s="33"/>
      <c r="MZ281" s="33"/>
      <c r="NA281" s="33"/>
      <c r="NB281" s="33"/>
      <c r="NC281" s="33"/>
      <c r="ND281" s="33"/>
      <c r="NE281" s="33"/>
      <c r="NF281" s="33"/>
      <c r="NG281" s="33"/>
      <c r="NH281" s="33"/>
      <c r="NI281" s="33"/>
      <c r="NJ281" s="33"/>
      <c r="NK281" s="33"/>
      <c r="NL281" s="33"/>
      <c r="NM281" s="33"/>
      <c r="NN281" s="33"/>
      <c r="NO281" s="33"/>
      <c r="NP281" s="33"/>
      <c r="NQ281" s="33"/>
      <c r="NR281" s="33"/>
      <c r="NS281" s="33"/>
      <c r="NT281" s="33"/>
      <c r="NU281" s="33"/>
      <c r="NV281" s="33"/>
      <c r="NW281" s="33"/>
      <c r="NX281" s="33"/>
      <c r="NY281" s="33"/>
      <c r="NZ281" s="33"/>
      <c r="OA281" s="33"/>
      <c r="OB281" s="33"/>
      <c r="OC281" s="33"/>
      <c r="OD281" s="33"/>
      <c r="OE281" s="33"/>
      <c r="OF281" s="33"/>
      <c r="OG281" s="33"/>
      <c r="OH281" s="33"/>
      <c r="OI281" s="33"/>
      <c r="OJ281" s="33"/>
      <c r="OK281" s="33"/>
      <c r="OL281" s="33"/>
      <c r="OM281" s="33"/>
      <c r="ON281" s="33"/>
      <c r="OO281" s="33"/>
      <c r="OP281" s="33"/>
      <c r="OQ281" s="33"/>
      <c r="OR281" s="33"/>
      <c r="OS281" s="33"/>
      <c r="OT281" s="33"/>
      <c r="OU281" s="33"/>
      <c r="OV281" s="33"/>
      <c r="OW281" s="33"/>
      <c r="OX281" s="33"/>
      <c r="OY281" s="33"/>
      <c r="OZ281" s="33"/>
      <c r="PA281" s="33"/>
      <c r="PB281" s="33"/>
      <c r="PC281" s="33"/>
      <c r="PD281" s="33"/>
      <c r="PE281" s="33"/>
      <c r="PF281" s="33"/>
      <c r="PG281" s="33"/>
      <c r="PH281" s="33"/>
      <c r="PI281" s="33"/>
      <c r="PJ281" s="33"/>
      <c r="PK281" s="33"/>
      <c r="PL281" s="33"/>
      <c r="PM281" s="33"/>
      <c r="PN281" s="33"/>
      <c r="PO281" s="33"/>
      <c r="PP281" s="33"/>
      <c r="PQ281" s="33"/>
      <c r="PR281" s="33"/>
      <c r="PS281" s="33"/>
      <c r="PT281" s="33"/>
      <c r="PU281" s="33"/>
      <c r="PV281" s="33"/>
      <c r="PW281" s="33"/>
      <c r="PX281" s="33"/>
      <c r="PY281" s="33"/>
      <c r="PZ281" s="33"/>
      <c r="QA281" s="33"/>
      <c r="QB281" s="33"/>
      <c r="QC281" s="33"/>
      <c r="QD281" s="33"/>
      <c r="QE281" s="33"/>
      <c r="QF281" s="33"/>
      <c r="QG281" s="33"/>
      <c r="QH281" s="33"/>
      <c r="QI281" s="33"/>
      <c r="QJ281" s="33"/>
      <c r="QK281" s="33"/>
      <c r="QL281" s="33"/>
      <c r="QM281" s="33"/>
      <c r="QN281" s="33"/>
      <c r="QO281" s="33"/>
      <c r="QP281" s="33"/>
      <c r="QQ281" s="33"/>
      <c r="QR281" s="33"/>
      <c r="QS281" s="33"/>
      <c r="QT281" s="33"/>
      <c r="QU281" s="33"/>
      <c r="QV281" s="33"/>
      <c r="QW281" s="33"/>
      <c r="QX281" s="33"/>
      <c r="QY281" s="33"/>
      <c r="QZ281" s="33"/>
      <c r="RA281" s="33"/>
      <c r="RB281" s="33"/>
      <c r="RC281" s="33"/>
      <c r="RD281" s="33"/>
      <c r="RE281" s="33"/>
      <c r="RF281" s="33"/>
      <c r="RG281" s="33"/>
      <c r="RH281" s="33"/>
      <c r="RI281" s="33"/>
      <c r="RJ281" s="33"/>
      <c r="RK281" s="33"/>
      <c r="RL281" s="33"/>
      <c r="RM281" s="33"/>
      <c r="RN281" s="33"/>
      <c r="RO281" s="33"/>
      <c r="RP281" s="33"/>
      <c r="RQ281" s="33"/>
      <c r="RR281" s="33"/>
      <c r="RS281" s="33"/>
      <c r="RT281" s="33"/>
      <c r="RU281" s="33"/>
      <c r="RV281" s="33"/>
      <c r="RW281" s="33"/>
      <c r="RX281" s="33"/>
      <c r="RY281" s="33"/>
      <c r="RZ281" s="33"/>
      <c r="SA281" s="33"/>
      <c r="SB281" s="33"/>
      <c r="SC281" s="33"/>
      <c r="SD281" s="33"/>
      <c r="SE281" s="33"/>
      <c r="SF281" s="33"/>
      <c r="SG281" s="33"/>
      <c r="SH281" s="33"/>
      <c r="SI281" s="33"/>
      <c r="SJ281" s="33"/>
      <c r="SK281" s="33"/>
      <c r="SL281" s="33"/>
      <c r="SM281" s="33"/>
      <c r="SN281" s="33"/>
      <c r="SO281" s="33"/>
      <c r="SP281" s="33"/>
      <c r="SQ281" s="33"/>
      <c r="SR281" s="33"/>
      <c r="SS281" s="33"/>
      <c r="ST281" s="33"/>
      <c r="SU281" s="33"/>
      <c r="SV281" s="33"/>
      <c r="SW281" s="33"/>
      <c r="SX281" s="33"/>
      <c r="SY281" s="33"/>
      <c r="SZ281" s="33"/>
      <c r="TA281" s="33"/>
      <c r="TB281" s="33"/>
      <c r="TC281" s="33"/>
      <c r="TD281" s="33"/>
      <c r="TE281" s="33"/>
    </row>
    <row r="282" spans="1:525" s="22" customFormat="1" ht="51.75" customHeight="1" x14ac:dyDescent="0.25">
      <c r="A282" s="56" t="s">
        <v>0</v>
      </c>
      <c r="B282" s="84" t="str">
        <f>'дод 7'!A14</f>
        <v>0160</v>
      </c>
      <c r="C282" s="84" t="str">
        <f>'дод 7'!B14</f>
        <v>0111</v>
      </c>
      <c r="D282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282" s="135">
        <f>F282+I282</f>
        <v>6475000</v>
      </c>
      <c r="F282" s="135">
        <f>7018700-3585500+3041800</f>
        <v>6475000</v>
      </c>
      <c r="G282" s="135">
        <f>5432200-2938900+2493300</f>
        <v>4986600</v>
      </c>
      <c r="H282" s="135">
        <v>164100</v>
      </c>
      <c r="I282" s="135"/>
      <c r="J282" s="135">
        <f>L282+O282</f>
        <v>0</v>
      </c>
      <c r="K282" s="135">
        <f>8000-8000</f>
        <v>0</v>
      </c>
      <c r="L282" s="135"/>
      <c r="M282" s="135"/>
      <c r="N282" s="135"/>
      <c r="O282" s="135">
        <f>8000-8000</f>
        <v>0</v>
      </c>
      <c r="P282" s="135">
        <f>E282+J282</f>
        <v>6475000</v>
      </c>
      <c r="Q282" s="178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</row>
    <row r="283" spans="1:525" s="27" customFormat="1" ht="52.5" customHeight="1" x14ac:dyDescent="0.25">
      <c r="A283" s="96" t="s">
        <v>27</v>
      </c>
      <c r="B283" s="98"/>
      <c r="C283" s="98"/>
      <c r="D283" s="93" t="s">
        <v>32</v>
      </c>
      <c r="E283" s="133">
        <f>E284</f>
        <v>5132838</v>
      </c>
      <c r="F283" s="133">
        <f t="shared" ref="F283:J283" si="141">F284</f>
        <v>5132838</v>
      </c>
      <c r="G283" s="133">
        <f t="shared" si="141"/>
        <v>3599700</v>
      </c>
      <c r="H283" s="133">
        <f t="shared" si="141"/>
        <v>0</v>
      </c>
      <c r="I283" s="133">
        <f t="shared" si="141"/>
        <v>0</v>
      </c>
      <c r="J283" s="133">
        <f t="shared" si="141"/>
        <v>358501886</v>
      </c>
      <c r="K283" s="133">
        <f t="shared" ref="K283" si="142">K284</f>
        <v>352596117</v>
      </c>
      <c r="L283" s="133">
        <f t="shared" ref="L283" si="143">L284</f>
        <v>1752000</v>
      </c>
      <c r="M283" s="133">
        <f t="shared" ref="M283" si="144">M284</f>
        <v>1106600</v>
      </c>
      <c r="N283" s="133">
        <f t="shared" ref="N283" si="145">N284</f>
        <v>157500</v>
      </c>
      <c r="O283" s="133">
        <f t="shared" ref="O283:P283" si="146">O284</f>
        <v>356749886</v>
      </c>
      <c r="P283" s="133">
        <f t="shared" si="146"/>
        <v>363634724</v>
      </c>
      <c r="Q283" s="178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  <c r="EH283" s="32"/>
      <c r="EI283" s="32"/>
      <c r="EJ283" s="32"/>
      <c r="EK283" s="32"/>
      <c r="EL283" s="32"/>
      <c r="EM283" s="32"/>
      <c r="EN283" s="32"/>
      <c r="EO283" s="32"/>
      <c r="EP283" s="32"/>
      <c r="EQ283" s="32"/>
      <c r="ER283" s="32"/>
      <c r="ES283" s="32"/>
      <c r="ET283" s="32"/>
      <c r="EU283" s="32"/>
      <c r="EV283" s="32"/>
      <c r="EW283" s="32"/>
      <c r="EX283" s="32"/>
      <c r="EY283" s="32"/>
      <c r="EZ283" s="32"/>
      <c r="FA283" s="32"/>
      <c r="FB283" s="32"/>
      <c r="FC283" s="32"/>
      <c r="FD283" s="32"/>
      <c r="FE283" s="32"/>
      <c r="FF283" s="32"/>
      <c r="FG283" s="32"/>
      <c r="FH283" s="32"/>
      <c r="FI283" s="32"/>
      <c r="FJ283" s="32"/>
      <c r="FK283" s="32"/>
      <c r="FL283" s="32"/>
      <c r="FM283" s="32"/>
      <c r="FN283" s="32"/>
      <c r="FO283" s="32"/>
      <c r="FP283" s="32"/>
      <c r="FQ283" s="32"/>
      <c r="FR283" s="32"/>
      <c r="FS283" s="32"/>
      <c r="FT283" s="32"/>
      <c r="FU283" s="32"/>
      <c r="FV283" s="32"/>
      <c r="FW283" s="32"/>
      <c r="FX283" s="32"/>
      <c r="FY283" s="32"/>
      <c r="FZ283" s="32"/>
      <c r="GA283" s="32"/>
      <c r="GB283" s="32"/>
      <c r="GC283" s="32"/>
      <c r="GD283" s="32"/>
      <c r="GE283" s="32"/>
      <c r="GF283" s="32"/>
      <c r="GG283" s="32"/>
      <c r="GH283" s="32"/>
      <c r="GI283" s="32"/>
      <c r="GJ283" s="32"/>
      <c r="GK283" s="32"/>
      <c r="GL283" s="32"/>
      <c r="GM283" s="32"/>
      <c r="GN283" s="32"/>
      <c r="GO283" s="32"/>
      <c r="GP283" s="32"/>
      <c r="GQ283" s="32"/>
      <c r="GR283" s="32"/>
      <c r="GS283" s="32"/>
      <c r="GT283" s="32"/>
      <c r="GU283" s="32"/>
      <c r="GV283" s="32"/>
      <c r="GW283" s="32"/>
      <c r="GX283" s="32"/>
      <c r="GY283" s="32"/>
      <c r="GZ283" s="32"/>
      <c r="HA283" s="32"/>
      <c r="HB283" s="32"/>
      <c r="HC283" s="32"/>
      <c r="HD283" s="32"/>
      <c r="HE283" s="32"/>
      <c r="HF283" s="32"/>
      <c r="HG283" s="32"/>
      <c r="HH283" s="32"/>
      <c r="HI283" s="32"/>
      <c r="HJ283" s="32"/>
      <c r="HK283" s="32"/>
      <c r="HL283" s="32"/>
      <c r="HM283" s="32"/>
      <c r="HN283" s="32"/>
      <c r="HO283" s="32"/>
      <c r="HP283" s="32"/>
      <c r="HQ283" s="32"/>
      <c r="HR283" s="32"/>
      <c r="HS283" s="32"/>
      <c r="HT283" s="32"/>
      <c r="HU283" s="32"/>
      <c r="HV283" s="32"/>
      <c r="HW283" s="32"/>
      <c r="HX283" s="32"/>
      <c r="HY283" s="32"/>
      <c r="HZ283" s="32"/>
      <c r="IA283" s="32"/>
      <c r="IB283" s="32"/>
      <c r="IC283" s="32"/>
      <c r="ID283" s="32"/>
      <c r="IE283" s="32"/>
      <c r="IF283" s="32"/>
      <c r="IG283" s="32"/>
      <c r="IH283" s="32"/>
      <c r="II283" s="32"/>
      <c r="IJ283" s="32"/>
      <c r="IK283" s="32"/>
      <c r="IL283" s="32"/>
      <c r="IM283" s="32"/>
      <c r="IN283" s="32"/>
      <c r="IO283" s="32"/>
      <c r="IP283" s="32"/>
      <c r="IQ283" s="32"/>
      <c r="IR283" s="32"/>
      <c r="IS283" s="32"/>
      <c r="IT283" s="32"/>
      <c r="IU283" s="32"/>
      <c r="IV283" s="32"/>
      <c r="IW283" s="32"/>
      <c r="IX283" s="32"/>
      <c r="IY283" s="32"/>
      <c r="IZ283" s="32"/>
      <c r="JA283" s="32"/>
      <c r="JB283" s="32"/>
      <c r="JC283" s="32"/>
      <c r="JD283" s="32"/>
      <c r="JE283" s="32"/>
      <c r="JF283" s="32"/>
      <c r="JG283" s="32"/>
      <c r="JH283" s="32"/>
      <c r="JI283" s="32"/>
      <c r="JJ283" s="32"/>
      <c r="JK283" s="32"/>
      <c r="JL283" s="32"/>
      <c r="JM283" s="32"/>
      <c r="JN283" s="32"/>
      <c r="JO283" s="32"/>
      <c r="JP283" s="32"/>
      <c r="JQ283" s="32"/>
      <c r="JR283" s="32"/>
      <c r="JS283" s="32"/>
      <c r="JT283" s="32"/>
      <c r="JU283" s="32"/>
      <c r="JV283" s="32"/>
      <c r="JW283" s="32"/>
      <c r="JX283" s="32"/>
      <c r="JY283" s="32"/>
      <c r="JZ283" s="32"/>
      <c r="KA283" s="32"/>
      <c r="KB283" s="32"/>
      <c r="KC283" s="32"/>
      <c r="KD283" s="32"/>
      <c r="KE283" s="32"/>
      <c r="KF283" s="32"/>
      <c r="KG283" s="32"/>
      <c r="KH283" s="32"/>
      <c r="KI283" s="32"/>
      <c r="KJ283" s="32"/>
      <c r="KK283" s="32"/>
      <c r="KL283" s="32"/>
      <c r="KM283" s="32"/>
      <c r="KN283" s="32"/>
      <c r="KO283" s="32"/>
      <c r="KP283" s="32"/>
      <c r="KQ283" s="32"/>
      <c r="KR283" s="32"/>
      <c r="KS283" s="32"/>
      <c r="KT283" s="32"/>
      <c r="KU283" s="32"/>
      <c r="KV283" s="32"/>
      <c r="KW283" s="32"/>
      <c r="KX283" s="32"/>
      <c r="KY283" s="32"/>
      <c r="KZ283" s="32"/>
      <c r="LA283" s="32"/>
      <c r="LB283" s="32"/>
      <c r="LC283" s="32"/>
      <c r="LD283" s="32"/>
      <c r="LE283" s="32"/>
      <c r="LF283" s="32"/>
      <c r="LG283" s="32"/>
      <c r="LH283" s="32"/>
      <c r="LI283" s="32"/>
      <c r="LJ283" s="32"/>
      <c r="LK283" s="32"/>
      <c r="LL283" s="32"/>
      <c r="LM283" s="32"/>
      <c r="LN283" s="32"/>
      <c r="LO283" s="32"/>
      <c r="LP283" s="32"/>
      <c r="LQ283" s="32"/>
      <c r="LR283" s="32"/>
      <c r="LS283" s="32"/>
      <c r="LT283" s="32"/>
      <c r="LU283" s="32"/>
      <c r="LV283" s="32"/>
      <c r="LW283" s="32"/>
      <c r="LX283" s="32"/>
      <c r="LY283" s="32"/>
      <c r="LZ283" s="32"/>
      <c r="MA283" s="32"/>
      <c r="MB283" s="32"/>
      <c r="MC283" s="32"/>
      <c r="MD283" s="32"/>
      <c r="ME283" s="32"/>
      <c r="MF283" s="32"/>
      <c r="MG283" s="32"/>
      <c r="MH283" s="32"/>
      <c r="MI283" s="32"/>
      <c r="MJ283" s="32"/>
      <c r="MK283" s="32"/>
      <c r="ML283" s="32"/>
      <c r="MM283" s="32"/>
      <c r="MN283" s="32"/>
      <c r="MO283" s="32"/>
      <c r="MP283" s="32"/>
      <c r="MQ283" s="32"/>
      <c r="MR283" s="32"/>
      <c r="MS283" s="32"/>
      <c r="MT283" s="32"/>
      <c r="MU283" s="32"/>
      <c r="MV283" s="32"/>
      <c r="MW283" s="32"/>
      <c r="MX283" s="32"/>
      <c r="MY283" s="32"/>
      <c r="MZ283" s="32"/>
      <c r="NA283" s="32"/>
      <c r="NB283" s="32"/>
      <c r="NC283" s="32"/>
      <c r="ND283" s="32"/>
      <c r="NE283" s="32"/>
      <c r="NF283" s="32"/>
      <c r="NG283" s="32"/>
      <c r="NH283" s="32"/>
      <c r="NI283" s="32"/>
      <c r="NJ283" s="32"/>
      <c r="NK283" s="32"/>
      <c r="NL283" s="32"/>
      <c r="NM283" s="32"/>
      <c r="NN283" s="32"/>
      <c r="NO283" s="32"/>
      <c r="NP283" s="32"/>
      <c r="NQ283" s="32"/>
      <c r="NR283" s="32"/>
      <c r="NS283" s="32"/>
      <c r="NT283" s="32"/>
      <c r="NU283" s="32"/>
      <c r="NV283" s="32"/>
      <c r="NW283" s="32"/>
      <c r="NX283" s="32"/>
      <c r="NY283" s="32"/>
      <c r="NZ283" s="32"/>
      <c r="OA283" s="32"/>
      <c r="OB283" s="32"/>
      <c r="OC283" s="32"/>
      <c r="OD283" s="32"/>
      <c r="OE283" s="32"/>
      <c r="OF283" s="32"/>
      <c r="OG283" s="32"/>
      <c r="OH283" s="32"/>
      <c r="OI283" s="32"/>
      <c r="OJ283" s="32"/>
      <c r="OK283" s="32"/>
      <c r="OL283" s="32"/>
      <c r="OM283" s="32"/>
      <c r="ON283" s="32"/>
      <c r="OO283" s="32"/>
      <c r="OP283" s="32"/>
      <c r="OQ283" s="32"/>
      <c r="OR283" s="32"/>
      <c r="OS283" s="32"/>
      <c r="OT283" s="32"/>
      <c r="OU283" s="32"/>
      <c r="OV283" s="32"/>
      <c r="OW283" s="32"/>
      <c r="OX283" s="32"/>
      <c r="OY283" s="32"/>
      <c r="OZ283" s="32"/>
      <c r="PA283" s="32"/>
      <c r="PB283" s="32"/>
      <c r="PC283" s="32"/>
      <c r="PD283" s="32"/>
      <c r="PE283" s="32"/>
      <c r="PF283" s="32"/>
      <c r="PG283" s="32"/>
      <c r="PH283" s="32"/>
      <c r="PI283" s="32"/>
      <c r="PJ283" s="32"/>
      <c r="PK283" s="32"/>
      <c r="PL283" s="32"/>
      <c r="PM283" s="32"/>
      <c r="PN283" s="32"/>
      <c r="PO283" s="32"/>
      <c r="PP283" s="32"/>
      <c r="PQ283" s="32"/>
      <c r="PR283" s="32"/>
      <c r="PS283" s="32"/>
      <c r="PT283" s="32"/>
      <c r="PU283" s="32"/>
      <c r="PV283" s="32"/>
      <c r="PW283" s="32"/>
      <c r="PX283" s="32"/>
      <c r="PY283" s="32"/>
      <c r="PZ283" s="32"/>
      <c r="QA283" s="32"/>
      <c r="QB283" s="32"/>
      <c r="QC283" s="32"/>
      <c r="QD283" s="32"/>
      <c r="QE283" s="32"/>
      <c r="QF283" s="32"/>
      <c r="QG283" s="32"/>
      <c r="QH283" s="32"/>
      <c r="QI283" s="32"/>
      <c r="QJ283" s="32"/>
      <c r="QK283" s="32"/>
      <c r="QL283" s="32"/>
      <c r="QM283" s="32"/>
      <c r="QN283" s="32"/>
      <c r="QO283" s="32"/>
      <c r="QP283" s="32"/>
      <c r="QQ283" s="32"/>
      <c r="QR283" s="32"/>
      <c r="QS283" s="32"/>
      <c r="QT283" s="32"/>
      <c r="QU283" s="32"/>
      <c r="QV283" s="32"/>
      <c r="QW283" s="32"/>
      <c r="QX283" s="32"/>
      <c r="QY283" s="32"/>
      <c r="QZ283" s="32"/>
      <c r="RA283" s="32"/>
      <c r="RB283" s="32"/>
      <c r="RC283" s="32"/>
      <c r="RD283" s="32"/>
      <c r="RE283" s="32"/>
      <c r="RF283" s="32"/>
      <c r="RG283" s="32"/>
      <c r="RH283" s="32"/>
      <c r="RI283" s="32"/>
      <c r="RJ283" s="32"/>
      <c r="RK283" s="32"/>
      <c r="RL283" s="32"/>
      <c r="RM283" s="32"/>
      <c r="RN283" s="32"/>
      <c r="RO283" s="32"/>
      <c r="RP283" s="32"/>
      <c r="RQ283" s="32"/>
      <c r="RR283" s="32"/>
      <c r="RS283" s="32"/>
      <c r="RT283" s="32"/>
      <c r="RU283" s="32"/>
      <c r="RV283" s="32"/>
      <c r="RW283" s="32"/>
      <c r="RX283" s="32"/>
      <c r="RY283" s="32"/>
      <c r="RZ283" s="32"/>
      <c r="SA283" s="32"/>
      <c r="SB283" s="32"/>
      <c r="SC283" s="32"/>
      <c r="SD283" s="32"/>
      <c r="SE283" s="32"/>
      <c r="SF283" s="32"/>
      <c r="SG283" s="32"/>
      <c r="SH283" s="32"/>
      <c r="SI283" s="32"/>
      <c r="SJ283" s="32"/>
      <c r="SK283" s="32"/>
      <c r="SL283" s="32"/>
      <c r="SM283" s="32"/>
      <c r="SN283" s="32"/>
      <c r="SO283" s="32"/>
      <c r="SP283" s="32"/>
      <c r="SQ283" s="32"/>
      <c r="SR283" s="32"/>
      <c r="SS283" s="32"/>
      <c r="ST283" s="32"/>
      <c r="SU283" s="32"/>
      <c r="SV283" s="32"/>
      <c r="SW283" s="32"/>
      <c r="SX283" s="32"/>
      <c r="SY283" s="32"/>
      <c r="SZ283" s="32"/>
      <c r="TA283" s="32"/>
      <c r="TB283" s="32"/>
      <c r="TC283" s="32"/>
      <c r="TD283" s="32"/>
      <c r="TE283" s="32"/>
    </row>
    <row r="284" spans="1:525" s="34" customFormat="1" ht="47.25" x14ac:dyDescent="0.25">
      <c r="A284" s="86" t="s">
        <v>28</v>
      </c>
      <c r="B284" s="95"/>
      <c r="C284" s="95"/>
      <c r="D284" s="70" t="s">
        <v>414</v>
      </c>
      <c r="E284" s="134">
        <f>SUM(E287+E288+E289+E290+E291+E292+E293+E294+E295+E296+E297+E299+E300+E301+E302+E304+E305+E298+E307+E308)</f>
        <v>5132838</v>
      </c>
      <c r="F284" s="134">
        <f t="shared" ref="F284:P284" si="147">SUM(F287+F288+F289+F290+F291+F292+F293+F294+F295+F296+F297+F299+F300+F301+F302+F304+F305+F298+F307+F308)</f>
        <v>5132838</v>
      </c>
      <c r="G284" s="134">
        <f t="shared" si="147"/>
        <v>3599700</v>
      </c>
      <c r="H284" s="134">
        <f t="shared" si="147"/>
        <v>0</v>
      </c>
      <c r="I284" s="134">
        <f t="shared" si="147"/>
        <v>0</v>
      </c>
      <c r="J284" s="134">
        <f>SUM(J287+J288+J289+J290+J291+J292+J293+J294+J295+J296+J297+J299+J300+J301+J302+J304+J305+J298+J307+J308)</f>
        <v>358501886</v>
      </c>
      <c r="K284" s="134">
        <f t="shared" si="147"/>
        <v>352596117</v>
      </c>
      <c r="L284" s="134">
        <f t="shared" si="147"/>
        <v>1752000</v>
      </c>
      <c r="M284" s="134">
        <f t="shared" si="147"/>
        <v>1106600</v>
      </c>
      <c r="N284" s="134">
        <f t="shared" si="147"/>
        <v>157500</v>
      </c>
      <c r="O284" s="134">
        <f t="shared" si="147"/>
        <v>356749886</v>
      </c>
      <c r="P284" s="134">
        <f t="shared" si="147"/>
        <v>363634724</v>
      </c>
      <c r="Q284" s="178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  <c r="GB284" s="33"/>
      <c r="GC284" s="33"/>
      <c r="GD284" s="33"/>
      <c r="GE284" s="33"/>
      <c r="GF284" s="33"/>
      <c r="GG284" s="33"/>
      <c r="GH284" s="33"/>
      <c r="GI284" s="33"/>
      <c r="GJ284" s="33"/>
      <c r="GK284" s="33"/>
      <c r="GL284" s="33"/>
      <c r="GM284" s="33"/>
      <c r="GN284" s="33"/>
      <c r="GO284" s="33"/>
      <c r="GP284" s="33"/>
      <c r="GQ284" s="33"/>
      <c r="GR284" s="33"/>
      <c r="GS284" s="33"/>
      <c r="GT284" s="33"/>
      <c r="GU284" s="33"/>
      <c r="GV284" s="33"/>
      <c r="GW284" s="33"/>
      <c r="GX284" s="33"/>
      <c r="GY284" s="33"/>
      <c r="GZ284" s="33"/>
      <c r="HA284" s="33"/>
      <c r="HB284" s="33"/>
      <c r="HC284" s="33"/>
      <c r="HD284" s="33"/>
      <c r="HE284" s="33"/>
      <c r="HF284" s="33"/>
      <c r="HG284" s="33"/>
      <c r="HH284" s="33"/>
      <c r="HI284" s="33"/>
      <c r="HJ284" s="33"/>
      <c r="HK284" s="33"/>
      <c r="HL284" s="33"/>
      <c r="HM284" s="33"/>
      <c r="HN284" s="33"/>
      <c r="HO284" s="33"/>
      <c r="HP284" s="33"/>
      <c r="HQ284" s="33"/>
      <c r="HR284" s="33"/>
      <c r="HS284" s="33"/>
      <c r="HT284" s="33"/>
      <c r="HU284" s="33"/>
      <c r="HV284" s="33"/>
      <c r="HW284" s="33"/>
      <c r="HX284" s="33"/>
      <c r="HY284" s="33"/>
      <c r="HZ284" s="33"/>
      <c r="IA284" s="33"/>
      <c r="IB284" s="33"/>
      <c r="IC284" s="33"/>
      <c r="ID284" s="33"/>
      <c r="IE284" s="33"/>
      <c r="IF284" s="33"/>
      <c r="IG284" s="33"/>
      <c r="IH284" s="33"/>
      <c r="II284" s="33"/>
      <c r="IJ284" s="33"/>
      <c r="IK284" s="33"/>
      <c r="IL284" s="33"/>
      <c r="IM284" s="33"/>
      <c r="IN284" s="33"/>
      <c r="IO284" s="33"/>
      <c r="IP284" s="33"/>
      <c r="IQ284" s="33"/>
      <c r="IR284" s="33"/>
      <c r="IS284" s="33"/>
      <c r="IT284" s="33"/>
      <c r="IU284" s="33"/>
      <c r="IV284" s="33"/>
      <c r="IW284" s="33"/>
      <c r="IX284" s="33"/>
      <c r="IY284" s="33"/>
      <c r="IZ284" s="33"/>
      <c r="JA284" s="33"/>
      <c r="JB284" s="33"/>
      <c r="JC284" s="33"/>
      <c r="JD284" s="33"/>
      <c r="JE284" s="33"/>
      <c r="JF284" s="33"/>
      <c r="JG284" s="33"/>
      <c r="JH284" s="33"/>
      <c r="JI284" s="33"/>
      <c r="JJ284" s="33"/>
      <c r="JK284" s="33"/>
      <c r="JL284" s="33"/>
      <c r="JM284" s="33"/>
      <c r="JN284" s="33"/>
      <c r="JO284" s="33"/>
      <c r="JP284" s="33"/>
      <c r="JQ284" s="33"/>
      <c r="JR284" s="33"/>
      <c r="JS284" s="33"/>
      <c r="JT284" s="33"/>
      <c r="JU284" s="33"/>
      <c r="JV284" s="33"/>
      <c r="JW284" s="33"/>
      <c r="JX284" s="33"/>
      <c r="JY284" s="33"/>
      <c r="JZ284" s="33"/>
      <c r="KA284" s="33"/>
      <c r="KB284" s="33"/>
      <c r="KC284" s="33"/>
      <c r="KD284" s="33"/>
      <c r="KE284" s="33"/>
      <c r="KF284" s="33"/>
      <c r="KG284" s="33"/>
      <c r="KH284" s="33"/>
      <c r="KI284" s="33"/>
      <c r="KJ284" s="33"/>
      <c r="KK284" s="33"/>
      <c r="KL284" s="33"/>
      <c r="KM284" s="33"/>
      <c r="KN284" s="33"/>
      <c r="KO284" s="33"/>
      <c r="KP284" s="33"/>
      <c r="KQ284" s="33"/>
      <c r="KR284" s="33"/>
      <c r="KS284" s="33"/>
      <c r="KT284" s="33"/>
      <c r="KU284" s="33"/>
      <c r="KV284" s="33"/>
      <c r="KW284" s="33"/>
      <c r="KX284" s="33"/>
      <c r="KY284" s="33"/>
      <c r="KZ284" s="33"/>
      <c r="LA284" s="33"/>
      <c r="LB284" s="33"/>
      <c r="LC284" s="33"/>
      <c r="LD284" s="33"/>
      <c r="LE284" s="33"/>
      <c r="LF284" s="33"/>
      <c r="LG284" s="33"/>
      <c r="LH284" s="33"/>
      <c r="LI284" s="33"/>
      <c r="LJ284" s="33"/>
      <c r="LK284" s="33"/>
      <c r="LL284" s="33"/>
      <c r="LM284" s="33"/>
      <c r="LN284" s="33"/>
      <c r="LO284" s="33"/>
      <c r="LP284" s="33"/>
      <c r="LQ284" s="33"/>
      <c r="LR284" s="33"/>
      <c r="LS284" s="33"/>
      <c r="LT284" s="33"/>
      <c r="LU284" s="33"/>
      <c r="LV284" s="33"/>
      <c r="LW284" s="33"/>
      <c r="LX284" s="33"/>
      <c r="LY284" s="33"/>
      <c r="LZ284" s="33"/>
      <c r="MA284" s="33"/>
      <c r="MB284" s="33"/>
      <c r="MC284" s="33"/>
      <c r="MD284" s="33"/>
      <c r="ME284" s="33"/>
      <c r="MF284" s="33"/>
      <c r="MG284" s="33"/>
      <c r="MH284" s="33"/>
      <c r="MI284" s="33"/>
      <c r="MJ284" s="33"/>
      <c r="MK284" s="33"/>
      <c r="ML284" s="33"/>
      <c r="MM284" s="33"/>
      <c r="MN284" s="33"/>
      <c r="MO284" s="33"/>
      <c r="MP284" s="33"/>
      <c r="MQ284" s="33"/>
      <c r="MR284" s="33"/>
      <c r="MS284" s="33"/>
      <c r="MT284" s="33"/>
      <c r="MU284" s="33"/>
      <c r="MV284" s="33"/>
      <c r="MW284" s="33"/>
      <c r="MX284" s="33"/>
      <c r="MY284" s="33"/>
      <c r="MZ284" s="33"/>
      <c r="NA284" s="33"/>
      <c r="NB284" s="33"/>
      <c r="NC284" s="33"/>
      <c r="ND284" s="33"/>
      <c r="NE284" s="33"/>
      <c r="NF284" s="33"/>
      <c r="NG284" s="33"/>
      <c r="NH284" s="33"/>
      <c r="NI284" s="33"/>
      <c r="NJ284" s="33"/>
      <c r="NK284" s="33"/>
      <c r="NL284" s="33"/>
      <c r="NM284" s="33"/>
      <c r="NN284" s="33"/>
      <c r="NO284" s="33"/>
      <c r="NP284" s="33"/>
      <c r="NQ284" s="33"/>
      <c r="NR284" s="33"/>
      <c r="NS284" s="33"/>
      <c r="NT284" s="33"/>
      <c r="NU284" s="33"/>
      <c r="NV284" s="33"/>
      <c r="NW284" s="33"/>
      <c r="NX284" s="33"/>
      <c r="NY284" s="33"/>
      <c r="NZ284" s="33"/>
      <c r="OA284" s="33"/>
      <c r="OB284" s="33"/>
      <c r="OC284" s="33"/>
      <c r="OD284" s="33"/>
      <c r="OE284" s="33"/>
      <c r="OF284" s="33"/>
      <c r="OG284" s="33"/>
      <c r="OH284" s="33"/>
      <c r="OI284" s="33"/>
      <c r="OJ284" s="33"/>
      <c r="OK284" s="33"/>
      <c r="OL284" s="33"/>
      <c r="OM284" s="33"/>
      <c r="ON284" s="33"/>
      <c r="OO284" s="33"/>
      <c r="OP284" s="33"/>
      <c r="OQ284" s="33"/>
      <c r="OR284" s="33"/>
      <c r="OS284" s="33"/>
      <c r="OT284" s="33"/>
      <c r="OU284" s="33"/>
      <c r="OV284" s="33"/>
      <c r="OW284" s="33"/>
      <c r="OX284" s="33"/>
      <c r="OY284" s="33"/>
      <c r="OZ284" s="33"/>
      <c r="PA284" s="33"/>
      <c r="PB284" s="33"/>
      <c r="PC284" s="33"/>
      <c r="PD284" s="33"/>
      <c r="PE284" s="33"/>
      <c r="PF284" s="33"/>
      <c r="PG284" s="33"/>
      <c r="PH284" s="33"/>
      <c r="PI284" s="33"/>
      <c r="PJ284" s="33"/>
      <c r="PK284" s="33"/>
      <c r="PL284" s="33"/>
      <c r="PM284" s="33"/>
      <c r="PN284" s="33"/>
      <c r="PO284" s="33"/>
      <c r="PP284" s="33"/>
      <c r="PQ284" s="33"/>
      <c r="PR284" s="33"/>
      <c r="PS284" s="33"/>
      <c r="PT284" s="33"/>
      <c r="PU284" s="33"/>
      <c r="PV284" s="33"/>
      <c r="PW284" s="33"/>
      <c r="PX284" s="33"/>
      <c r="PY284" s="33"/>
      <c r="PZ284" s="33"/>
      <c r="QA284" s="33"/>
      <c r="QB284" s="33"/>
      <c r="QC284" s="33"/>
      <c r="QD284" s="33"/>
      <c r="QE284" s="33"/>
      <c r="QF284" s="33"/>
      <c r="QG284" s="33"/>
      <c r="QH284" s="33"/>
      <c r="QI284" s="33"/>
      <c r="QJ284" s="33"/>
      <c r="QK284" s="33"/>
      <c r="QL284" s="33"/>
      <c r="QM284" s="33"/>
      <c r="QN284" s="33"/>
      <c r="QO284" s="33"/>
      <c r="QP284" s="33"/>
      <c r="QQ284" s="33"/>
      <c r="QR284" s="33"/>
      <c r="QS284" s="33"/>
      <c r="QT284" s="33"/>
      <c r="QU284" s="33"/>
      <c r="QV284" s="33"/>
      <c r="QW284" s="33"/>
      <c r="QX284" s="33"/>
      <c r="QY284" s="33"/>
      <c r="QZ284" s="33"/>
      <c r="RA284" s="33"/>
      <c r="RB284" s="33"/>
      <c r="RC284" s="33"/>
      <c r="RD284" s="33"/>
      <c r="RE284" s="33"/>
      <c r="RF284" s="33"/>
      <c r="RG284" s="33"/>
      <c r="RH284" s="33"/>
      <c r="RI284" s="33"/>
      <c r="RJ284" s="33"/>
      <c r="RK284" s="33"/>
      <c r="RL284" s="33"/>
      <c r="RM284" s="33"/>
      <c r="RN284" s="33"/>
      <c r="RO284" s="33"/>
      <c r="RP284" s="33"/>
      <c r="RQ284" s="33"/>
      <c r="RR284" s="33"/>
      <c r="RS284" s="33"/>
      <c r="RT284" s="33"/>
      <c r="RU284" s="33"/>
      <c r="RV284" s="33"/>
      <c r="RW284" s="33"/>
      <c r="RX284" s="33"/>
      <c r="RY284" s="33"/>
      <c r="RZ284" s="33"/>
      <c r="SA284" s="33"/>
      <c r="SB284" s="33"/>
      <c r="SC284" s="33"/>
      <c r="SD284" s="33"/>
      <c r="SE284" s="33"/>
      <c r="SF284" s="33"/>
      <c r="SG284" s="33"/>
      <c r="SH284" s="33"/>
      <c r="SI284" s="33"/>
      <c r="SJ284" s="33"/>
      <c r="SK284" s="33"/>
      <c r="SL284" s="33"/>
      <c r="SM284" s="33"/>
      <c r="SN284" s="33"/>
      <c r="SO284" s="33"/>
      <c r="SP284" s="33"/>
      <c r="SQ284" s="33"/>
      <c r="SR284" s="33"/>
      <c r="SS284" s="33"/>
      <c r="ST284" s="33"/>
      <c r="SU284" s="33"/>
      <c r="SV284" s="33"/>
      <c r="SW284" s="33"/>
      <c r="SX284" s="33"/>
      <c r="SY284" s="33"/>
      <c r="SZ284" s="33"/>
      <c r="TA284" s="33"/>
      <c r="TB284" s="33"/>
      <c r="TC284" s="33"/>
      <c r="TD284" s="33"/>
      <c r="TE284" s="33"/>
    </row>
    <row r="285" spans="1:525" s="34" customFormat="1" ht="54" hidden="1" customHeight="1" x14ac:dyDescent="0.25">
      <c r="A285" s="86"/>
      <c r="B285" s="95"/>
      <c r="C285" s="95"/>
      <c r="D285" s="70" t="s">
        <v>383</v>
      </c>
      <c r="E285" s="134">
        <f>E303</f>
        <v>0</v>
      </c>
      <c r="F285" s="134">
        <f>F303</f>
        <v>0</v>
      </c>
      <c r="G285" s="134">
        <f t="shared" ref="G285:O285" si="148">G303</f>
        <v>0</v>
      </c>
      <c r="H285" s="134">
        <f t="shared" si="148"/>
        <v>0</v>
      </c>
      <c r="I285" s="134">
        <f t="shared" si="148"/>
        <v>0</v>
      </c>
      <c r="J285" s="134">
        <f>J303</f>
        <v>0</v>
      </c>
      <c r="K285" s="134">
        <f t="shared" si="148"/>
        <v>0</v>
      </c>
      <c r="L285" s="134">
        <f t="shared" si="148"/>
        <v>0</v>
      </c>
      <c r="M285" s="134">
        <f t="shared" si="148"/>
        <v>0</v>
      </c>
      <c r="N285" s="134">
        <f t="shared" si="148"/>
        <v>0</v>
      </c>
      <c r="O285" s="134">
        <f t="shared" si="148"/>
        <v>0</v>
      </c>
      <c r="P285" s="134">
        <f>P303</f>
        <v>0</v>
      </c>
      <c r="Q285" s="178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  <c r="GE285" s="33"/>
      <c r="GF285" s="33"/>
      <c r="GG285" s="33"/>
      <c r="GH285" s="33"/>
      <c r="GI285" s="33"/>
      <c r="GJ285" s="33"/>
      <c r="GK285" s="33"/>
      <c r="GL285" s="33"/>
      <c r="GM285" s="33"/>
      <c r="GN285" s="33"/>
      <c r="GO285" s="33"/>
      <c r="GP285" s="33"/>
      <c r="GQ285" s="33"/>
      <c r="GR285" s="33"/>
      <c r="GS285" s="33"/>
      <c r="GT285" s="33"/>
      <c r="GU285" s="33"/>
      <c r="GV285" s="33"/>
      <c r="GW285" s="33"/>
      <c r="GX285" s="33"/>
      <c r="GY285" s="33"/>
      <c r="GZ285" s="33"/>
      <c r="HA285" s="33"/>
      <c r="HB285" s="33"/>
      <c r="HC285" s="33"/>
      <c r="HD285" s="33"/>
      <c r="HE285" s="33"/>
      <c r="HF285" s="33"/>
      <c r="HG285" s="33"/>
      <c r="HH285" s="33"/>
      <c r="HI285" s="33"/>
      <c r="HJ285" s="33"/>
      <c r="HK285" s="33"/>
      <c r="HL285" s="33"/>
      <c r="HM285" s="33"/>
      <c r="HN285" s="33"/>
      <c r="HO285" s="33"/>
      <c r="HP285" s="33"/>
      <c r="HQ285" s="33"/>
      <c r="HR285" s="33"/>
      <c r="HS285" s="33"/>
      <c r="HT285" s="33"/>
      <c r="HU285" s="33"/>
      <c r="HV285" s="33"/>
      <c r="HW285" s="33"/>
      <c r="HX285" s="33"/>
      <c r="HY285" s="33"/>
      <c r="HZ285" s="33"/>
      <c r="IA285" s="33"/>
      <c r="IB285" s="33"/>
      <c r="IC285" s="33"/>
      <c r="ID285" s="33"/>
      <c r="IE285" s="33"/>
      <c r="IF285" s="33"/>
      <c r="IG285" s="33"/>
      <c r="IH285" s="33"/>
      <c r="II285" s="33"/>
      <c r="IJ285" s="33"/>
      <c r="IK285" s="33"/>
      <c r="IL285" s="33"/>
      <c r="IM285" s="33"/>
      <c r="IN285" s="33"/>
      <c r="IO285" s="33"/>
      <c r="IP285" s="33"/>
      <c r="IQ285" s="33"/>
      <c r="IR285" s="33"/>
      <c r="IS285" s="33"/>
      <c r="IT285" s="33"/>
      <c r="IU285" s="33"/>
      <c r="IV285" s="33"/>
      <c r="IW285" s="33"/>
      <c r="IX285" s="33"/>
      <c r="IY285" s="33"/>
      <c r="IZ285" s="33"/>
      <c r="JA285" s="33"/>
      <c r="JB285" s="33"/>
      <c r="JC285" s="33"/>
      <c r="JD285" s="33"/>
      <c r="JE285" s="33"/>
      <c r="JF285" s="33"/>
      <c r="JG285" s="33"/>
      <c r="JH285" s="33"/>
      <c r="JI285" s="33"/>
      <c r="JJ285" s="33"/>
      <c r="JK285" s="33"/>
      <c r="JL285" s="33"/>
      <c r="JM285" s="33"/>
      <c r="JN285" s="33"/>
      <c r="JO285" s="33"/>
      <c r="JP285" s="33"/>
      <c r="JQ285" s="33"/>
      <c r="JR285" s="33"/>
      <c r="JS285" s="33"/>
      <c r="JT285" s="33"/>
      <c r="JU285" s="33"/>
      <c r="JV285" s="33"/>
      <c r="JW285" s="33"/>
      <c r="JX285" s="33"/>
      <c r="JY285" s="33"/>
      <c r="JZ285" s="33"/>
      <c r="KA285" s="33"/>
      <c r="KB285" s="33"/>
      <c r="KC285" s="33"/>
      <c r="KD285" s="33"/>
      <c r="KE285" s="33"/>
      <c r="KF285" s="33"/>
      <c r="KG285" s="33"/>
      <c r="KH285" s="33"/>
      <c r="KI285" s="33"/>
      <c r="KJ285" s="33"/>
      <c r="KK285" s="33"/>
      <c r="KL285" s="33"/>
      <c r="KM285" s="33"/>
      <c r="KN285" s="33"/>
      <c r="KO285" s="33"/>
      <c r="KP285" s="33"/>
      <c r="KQ285" s="33"/>
      <c r="KR285" s="33"/>
      <c r="KS285" s="33"/>
      <c r="KT285" s="33"/>
      <c r="KU285" s="33"/>
      <c r="KV285" s="33"/>
      <c r="KW285" s="33"/>
      <c r="KX285" s="33"/>
      <c r="KY285" s="33"/>
      <c r="KZ285" s="33"/>
      <c r="LA285" s="33"/>
      <c r="LB285" s="33"/>
      <c r="LC285" s="33"/>
      <c r="LD285" s="33"/>
      <c r="LE285" s="33"/>
      <c r="LF285" s="33"/>
      <c r="LG285" s="33"/>
      <c r="LH285" s="33"/>
      <c r="LI285" s="33"/>
      <c r="LJ285" s="33"/>
      <c r="LK285" s="33"/>
      <c r="LL285" s="33"/>
      <c r="LM285" s="33"/>
      <c r="LN285" s="33"/>
      <c r="LO285" s="33"/>
      <c r="LP285" s="33"/>
      <c r="LQ285" s="33"/>
      <c r="LR285" s="33"/>
      <c r="LS285" s="33"/>
      <c r="LT285" s="33"/>
      <c r="LU285" s="33"/>
      <c r="LV285" s="33"/>
      <c r="LW285" s="33"/>
      <c r="LX285" s="33"/>
      <c r="LY285" s="33"/>
      <c r="LZ285" s="33"/>
      <c r="MA285" s="33"/>
      <c r="MB285" s="33"/>
      <c r="MC285" s="33"/>
      <c r="MD285" s="33"/>
      <c r="ME285" s="33"/>
      <c r="MF285" s="33"/>
      <c r="MG285" s="33"/>
      <c r="MH285" s="33"/>
      <c r="MI285" s="33"/>
      <c r="MJ285" s="33"/>
      <c r="MK285" s="33"/>
      <c r="ML285" s="33"/>
      <c r="MM285" s="33"/>
      <c r="MN285" s="33"/>
      <c r="MO285" s="33"/>
      <c r="MP285" s="33"/>
      <c r="MQ285" s="33"/>
      <c r="MR285" s="33"/>
      <c r="MS285" s="33"/>
      <c r="MT285" s="33"/>
      <c r="MU285" s="33"/>
      <c r="MV285" s="33"/>
      <c r="MW285" s="33"/>
      <c r="MX285" s="33"/>
      <c r="MY285" s="33"/>
      <c r="MZ285" s="33"/>
      <c r="NA285" s="33"/>
      <c r="NB285" s="33"/>
      <c r="NC285" s="33"/>
      <c r="ND285" s="33"/>
      <c r="NE285" s="33"/>
      <c r="NF285" s="33"/>
      <c r="NG285" s="33"/>
      <c r="NH285" s="33"/>
      <c r="NI285" s="33"/>
      <c r="NJ285" s="33"/>
      <c r="NK285" s="33"/>
      <c r="NL285" s="33"/>
      <c r="NM285" s="33"/>
      <c r="NN285" s="33"/>
      <c r="NO285" s="33"/>
      <c r="NP285" s="33"/>
      <c r="NQ285" s="33"/>
      <c r="NR285" s="33"/>
      <c r="NS285" s="33"/>
      <c r="NT285" s="33"/>
      <c r="NU285" s="33"/>
      <c r="NV285" s="33"/>
      <c r="NW285" s="33"/>
      <c r="NX285" s="33"/>
      <c r="NY285" s="33"/>
      <c r="NZ285" s="33"/>
      <c r="OA285" s="33"/>
      <c r="OB285" s="33"/>
      <c r="OC285" s="33"/>
      <c r="OD285" s="33"/>
      <c r="OE285" s="33"/>
      <c r="OF285" s="33"/>
      <c r="OG285" s="33"/>
      <c r="OH285" s="33"/>
      <c r="OI285" s="33"/>
      <c r="OJ285" s="33"/>
      <c r="OK285" s="33"/>
      <c r="OL285" s="33"/>
      <c r="OM285" s="33"/>
      <c r="ON285" s="33"/>
      <c r="OO285" s="33"/>
      <c r="OP285" s="33"/>
      <c r="OQ285" s="33"/>
      <c r="OR285" s="33"/>
      <c r="OS285" s="33"/>
      <c r="OT285" s="33"/>
      <c r="OU285" s="33"/>
      <c r="OV285" s="33"/>
      <c r="OW285" s="33"/>
      <c r="OX285" s="33"/>
      <c r="OY285" s="33"/>
      <c r="OZ285" s="33"/>
      <c r="PA285" s="33"/>
      <c r="PB285" s="33"/>
      <c r="PC285" s="33"/>
      <c r="PD285" s="33"/>
      <c r="PE285" s="33"/>
      <c r="PF285" s="33"/>
      <c r="PG285" s="33"/>
      <c r="PH285" s="33"/>
      <c r="PI285" s="33"/>
      <c r="PJ285" s="33"/>
      <c r="PK285" s="33"/>
      <c r="PL285" s="33"/>
      <c r="PM285" s="33"/>
      <c r="PN285" s="33"/>
      <c r="PO285" s="33"/>
      <c r="PP285" s="33"/>
      <c r="PQ285" s="33"/>
      <c r="PR285" s="33"/>
      <c r="PS285" s="33"/>
      <c r="PT285" s="33"/>
      <c r="PU285" s="33"/>
      <c r="PV285" s="33"/>
      <c r="PW285" s="33"/>
      <c r="PX285" s="33"/>
      <c r="PY285" s="33"/>
      <c r="PZ285" s="33"/>
      <c r="QA285" s="33"/>
      <c r="QB285" s="33"/>
      <c r="QC285" s="33"/>
      <c r="QD285" s="33"/>
      <c r="QE285" s="33"/>
      <c r="QF285" s="33"/>
      <c r="QG285" s="33"/>
      <c r="QH285" s="33"/>
      <c r="QI285" s="33"/>
      <c r="QJ285" s="33"/>
      <c r="QK285" s="33"/>
      <c r="QL285" s="33"/>
      <c r="QM285" s="33"/>
      <c r="QN285" s="33"/>
      <c r="QO285" s="33"/>
      <c r="QP285" s="33"/>
      <c r="QQ285" s="33"/>
      <c r="QR285" s="33"/>
      <c r="QS285" s="33"/>
      <c r="QT285" s="33"/>
      <c r="QU285" s="33"/>
      <c r="QV285" s="33"/>
      <c r="QW285" s="33"/>
      <c r="QX285" s="33"/>
      <c r="QY285" s="33"/>
      <c r="QZ285" s="33"/>
      <c r="RA285" s="33"/>
      <c r="RB285" s="33"/>
      <c r="RC285" s="33"/>
      <c r="RD285" s="33"/>
      <c r="RE285" s="33"/>
      <c r="RF285" s="33"/>
      <c r="RG285" s="33"/>
      <c r="RH285" s="33"/>
      <c r="RI285" s="33"/>
      <c r="RJ285" s="33"/>
      <c r="RK285" s="33"/>
      <c r="RL285" s="33"/>
      <c r="RM285" s="33"/>
      <c r="RN285" s="33"/>
      <c r="RO285" s="33"/>
      <c r="RP285" s="33"/>
      <c r="RQ285" s="33"/>
      <c r="RR285" s="33"/>
      <c r="RS285" s="33"/>
      <c r="RT285" s="33"/>
      <c r="RU285" s="33"/>
      <c r="RV285" s="33"/>
      <c r="RW285" s="33"/>
      <c r="RX285" s="33"/>
      <c r="RY285" s="33"/>
      <c r="RZ285" s="33"/>
      <c r="SA285" s="33"/>
      <c r="SB285" s="33"/>
      <c r="SC285" s="33"/>
      <c r="SD285" s="33"/>
      <c r="SE285" s="33"/>
      <c r="SF285" s="33"/>
      <c r="SG285" s="33"/>
      <c r="SH285" s="33"/>
      <c r="SI285" s="33"/>
      <c r="SJ285" s="33"/>
      <c r="SK285" s="33"/>
      <c r="SL285" s="33"/>
      <c r="SM285" s="33"/>
      <c r="SN285" s="33"/>
      <c r="SO285" s="33"/>
      <c r="SP285" s="33"/>
      <c r="SQ285" s="33"/>
      <c r="SR285" s="33"/>
      <c r="SS285" s="33"/>
      <c r="ST285" s="33"/>
      <c r="SU285" s="33"/>
      <c r="SV285" s="33"/>
      <c r="SW285" s="33"/>
      <c r="SX285" s="33"/>
      <c r="SY285" s="33"/>
      <c r="SZ285" s="33"/>
      <c r="TA285" s="33"/>
      <c r="TB285" s="33"/>
      <c r="TC285" s="33"/>
      <c r="TD285" s="33"/>
      <c r="TE285" s="33"/>
    </row>
    <row r="286" spans="1:525" s="34" customFormat="1" ht="17.25" customHeight="1" x14ac:dyDescent="0.25">
      <c r="A286" s="86"/>
      <c r="B286" s="95"/>
      <c r="C286" s="95"/>
      <c r="D286" s="75" t="s">
        <v>413</v>
      </c>
      <c r="E286" s="134">
        <f>E306</f>
        <v>0</v>
      </c>
      <c r="F286" s="134">
        <f t="shared" ref="F286:P286" si="149">F306</f>
        <v>0</v>
      </c>
      <c r="G286" s="134">
        <f t="shared" si="149"/>
        <v>0</v>
      </c>
      <c r="H286" s="134">
        <f t="shared" si="149"/>
        <v>0</v>
      </c>
      <c r="I286" s="134">
        <f t="shared" si="149"/>
        <v>0</v>
      </c>
      <c r="J286" s="134">
        <f t="shared" si="149"/>
        <v>133343652</v>
      </c>
      <c r="K286" s="134">
        <f t="shared" si="149"/>
        <v>133343652</v>
      </c>
      <c r="L286" s="134">
        <f t="shared" si="149"/>
        <v>0</v>
      </c>
      <c r="M286" s="134">
        <f t="shared" si="149"/>
        <v>0</v>
      </c>
      <c r="N286" s="134">
        <f t="shared" si="149"/>
        <v>0</v>
      </c>
      <c r="O286" s="134">
        <f t="shared" si="149"/>
        <v>133343652</v>
      </c>
      <c r="P286" s="134">
        <f t="shared" si="149"/>
        <v>133343652</v>
      </c>
      <c r="Q286" s="178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  <c r="GE286" s="33"/>
      <c r="GF286" s="33"/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33"/>
      <c r="GZ286" s="33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  <c r="IU286" s="33"/>
      <c r="IV286" s="33"/>
      <c r="IW286" s="33"/>
      <c r="IX286" s="33"/>
      <c r="IY286" s="33"/>
      <c r="IZ286" s="33"/>
      <c r="JA286" s="33"/>
      <c r="JB286" s="33"/>
      <c r="JC286" s="33"/>
      <c r="JD286" s="33"/>
      <c r="JE286" s="33"/>
      <c r="JF286" s="33"/>
      <c r="JG286" s="33"/>
      <c r="JH286" s="33"/>
      <c r="JI286" s="33"/>
      <c r="JJ286" s="33"/>
      <c r="JK286" s="33"/>
      <c r="JL286" s="33"/>
      <c r="JM286" s="33"/>
      <c r="JN286" s="33"/>
      <c r="JO286" s="33"/>
      <c r="JP286" s="33"/>
      <c r="JQ286" s="33"/>
      <c r="JR286" s="33"/>
      <c r="JS286" s="33"/>
      <c r="JT286" s="33"/>
      <c r="JU286" s="33"/>
      <c r="JV286" s="33"/>
      <c r="JW286" s="33"/>
      <c r="JX286" s="33"/>
      <c r="JY286" s="33"/>
      <c r="JZ286" s="33"/>
      <c r="KA286" s="33"/>
      <c r="KB286" s="33"/>
      <c r="KC286" s="33"/>
      <c r="KD286" s="33"/>
      <c r="KE286" s="33"/>
      <c r="KF286" s="33"/>
      <c r="KG286" s="33"/>
      <c r="KH286" s="33"/>
      <c r="KI286" s="33"/>
      <c r="KJ286" s="33"/>
      <c r="KK286" s="33"/>
      <c r="KL286" s="33"/>
      <c r="KM286" s="33"/>
      <c r="KN286" s="33"/>
      <c r="KO286" s="33"/>
      <c r="KP286" s="33"/>
      <c r="KQ286" s="33"/>
      <c r="KR286" s="33"/>
      <c r="KS286" s="33"/>
      <c r="KT286" s="33"/>
      <c r="KU286" s="33"/>
      <c r="KV286" s="33"/>
      <c r="KW286" s="33"/>
      <c r="KX286" s="33"/>
      <c r="KY286" s="33"/>
      <c r="KZ286" s="33"/>
      <c r="LA286" s="33"/>
      <c r="LB286" s="33"/>
      <c r="LC286" s="33"/>
      <c r="LD286" s="33"/>
      <c r="LE286" s="33"/>
      <c r="LF286" s="33"/>
      <c r="LG286" s="33"/>
      <c r="LH286" s="33"/>
      <c r="LI286" s="33"/>
      <c r="LJ286" s="33"/>
      <c r="LK286" s="33"/>
      <c r="LL286" s="33"/>
      <c r="LM286" s="33"/>
      <c r="LN286" s="33"/>
      <c r="LO286" s="33"/>
      <c r="LP286" s="33"/>
      <c r="LQ286" s="33"/>
      <c r="LR286" s="33"/>
      <c r="LS286" s="33"/>
      <c r="LT286" s="33"/>
      <c r="LU286" s="33"/>
      <c r="LV286" s="33"/>
      <c r="LW286" s="33"/>
      <c r="LX286" s="33"/>
      <c r="LY286" s="33"/>
      <c r="LZ286" s="33"/>
      <c r="MA286" s="33"/>
      <c r="MB286" s="33"/>
      <c r="MC286" s="33"/>
      <c r="MD286" s="33"/>
      <c r="ME286" s="33"/>
      <c r="MF286" s="33"/>
      <c r="MG286" s="33"/>
      <c r="MH286" s="33"/>
      <c r="MI286" s="33"/>
      <c r="MJ286" s="33"/>
      <c r="MK286" s="33"/>
      <c r="ML286" s="33"/>
      <c r="MM286" s="33"/>
      <c r="MN286" s="33"/>
      <c r="MO286" s="33"/>
      <c r="MP286" s="33"/>
      <c r="MQ286" s="33"/>
      <c r="MR286" s="33"/>
      <c r="MS286" s="33"/>
      <c r="MT286" s="33"/>
      <c r="MU286" s="33"/>
      <c r="MV286" s="33"/>
      <c r="MW286" s="33"/>
      <c r="MX286" s="33"/>
      <c r="MY286" s="33"/>
      <c r="MZ286" s="33"/>
      <c r="NA286" s="33"/>
      <c r="NB286" s="33"/>
      <c r="NC286" s="33"/>
      <c r="ND286" s="33"/>
      <c r="NE286" s="33"/>
      <c r="NF286" s="33"/>
      <c r="NG286" s="33"/>
      <c r="NH286" s="33"/>
      <c r="NI286" s="33"/>
      <c r="NJ286" s="33"/>
      <c r="NK286" s="33"/>
      <c r="NL286" s="33"/>
      <c r="NM286" s="33"/>
      <c r="NN286" s="33"/>
      <c r="NO286" s="33"/>
      <c r="NP286" s="33"/>
      <c r="NQ286" s="33"/>
      <c r="NR286" s="33"/>
      <c r="NS286" s="33"/>
      <c r="NT286" s="33"/>
      <c r="NU286" s="33"/>
      <c r="NV286" s="33"/>
      <c r="NW286" s="33"/>
      <c r="NX286" s="33"/>
      <c r="NY286" s="33"/>
      <c r="NZ286" s="33"/>
      <c r="OA286" s="33"/>
      <c r="OB286" s="33"/>
      <c r="OC286" s="33"/>
      <c r="OD286" s="33"/>
      <c r="OE286" s="33"/>
      <c r="OF286" s="33"/>
      <c r="OG286" s="33"/>
      <c r="OH286" s="33"/>
      <c r="OI286" s="33"/>
      <c r="OJ286" s="33"/>
      <c r="OK286" s="33"/>
      <c r="OL286" s="33"/>
      <c r="OM286" s="33"/>
      <c r="ON286" s="33"/>
      <c r="OO286" s="33"/>
      <c r="OP286" s="33"/>
      <c r="OQ286" s="33"/>
      <c r="OR286" s="33"/>
      <c r="OS286" s="33"/>
      <c r="OT286" s="33"/>
      <c r="OU286" s="33"/>
      <c r="OV286" s="33"/>
      <c r="OW286" s="33"/>
      <c r="OX286" s="33"/>
      <c r="OY286" s="33"/>
      <c r="OZ286" s="33"/>
      <c r="PA286" s="33"/>
      <c r="PB286" s="33"/>
      <c r="PC286" s="33"/>
      <c r="PD286" s="33"/>
      <c r="PE286" s="33"/>
      <c r="PF286" s="33"/>
      <c r="PG286" s="33"/>
      <c r="PH286" s="33"/>
      <c r="PI286" s="33"/>
      <c r="PJ286" s="33"/>
      <c r="PK286" s="33"/>
      <c r="PL286" s="33"/>
      <c r="PM286" s="33"/>
      <c r="PN286" s="33"/>
      <c r="PO286" s="33"/>
      <c r="PP286" s="33"/>
      <c r="PQ286" s="33"/>
      <c r="PR286" s="33"/>
      <c r="PS286" s="33"/>
      <c r="PT286" s="33"/>
      <c r="PU286" s="33"/>
      <c r="PV286" s="33"/>
      <c r="PW286" s="33"/>
      <c r="PX286" s="33"/>
      <c r="PY286" s="33"/>
      <c r="PZ286" s="33"/>
      <c r="QA286" s="33"/>
      <c r="QB286" s="33"/>
      <c r="QC286" s="33"/>
      <c r="QD286" s="33"/>
      <c r="QE286" s="33"/>
      <c r="QF286" s="33"/>
      <c r="QG286" s="33"/>
      <c r="QH286" s="33"/>
      <c r="QI286" s="33"/>
      <c r="QJ286" s="33"/>
      <c r="QK286" s="33"/>
      <c r="QL286" s="33"/>
      <c r="QM286" s="33"/>
      <c r="QN286" s="33"/>
      <c r="QO286" s="33"/>
      <c r="QP286" s="33"/>
      <c r="QQ286" s="33"/>
      <c r="QR286" s="33"/>
      <c r="QS286" s="33"/>
      <c r="QT286" s="33"/>
      <c r="QU286" s="33"/>
      <c r="QV286" s="33"/>
      <c r="QW286" s="33"/>
      <c r="QX286" s="33"/>
      <c r="QY286" s="33"/>
      <c r="QZ286" s="33"/>
      <c r="RA286" s="33"/>
      <c r="RB286" s="33"/>
      <c r="RC286" s="33"/>
      <c r="RD286" s="33"/>
      <c r="RE286" s="33"/>
      <c r="RF286" s="33"/>
      <c r="RG286" s="33"/>
      <c r="RH286" s="33"/>
      <c r="RI286" s="33"/>
      <c r="RJ286" s="33"/>
      <c r="RK286" s="33"/>
      <c r="RL286" s="33"/>
      <c r="RM286" s="33"/>
      <c r="RN286" s="33"/>
      <c r="RO286" s="33"/>
      <c r="RP286" s="33"/>
      <c r="RQ286" s="33"/>
      <c r="RR286" s="33"/>
      <c r="RS286" s="33"/>
      <c r="RT286" s="33"/>
      <c r="RU286" s="33"/>
      <c r="RV286" s="33"/>
      <c r="RW286" s="33"/>
      <c r="RX286" s="33"/>
      <c r="RY286" s="33"/>
      <c r="RZ286" s="33"/>
      <c r="SA286" s="33"/>
      <c r="SB286" s="33"/>
      <c r="SC286" s="33"/>
      <c r="SD286" s="33"/>
      <c r="SE286" s="33"/>
      <c r="SF286" s="33"/>
      <c r="SG286" s="33"/>
      <c r="SH286" s="33"/>
      <c r="SI286" s="33"/>
      <c r="SJ286" s="33"/>
      <c r="SK286" s="33"/>
      <c r="SL286" s="33"/>
      <c r="SM286" s="33"/>
      <c r="SN286" s="33"/>
      <c r="SO286" s="33"/>
      <c r="SP286" s="33"/>
      <c r="SQ286" s="33"/>
      <c r="SR286" s="33"/>
      <c r="SS286" s="33"/>
      <c r="ST286" s="33"/>
      <c r="SU286" s="33"/>
      <c r="SV286" s="33"/>
      <c r="SW286" s="33"/>
      <c r="SX286" s="33"/>
      <c r="SY286" s="33"/>
      <c r="SZ286" s="33"/>
      <c r="TA286" s="33"/>
      <c r="TB286" s="33"/>
      <c r="TC286" s="33"/>
      <c r="TD286" s="33"/>
      <c r="TE286" s="33"/>
    </row>
    <row r="287" spans="1:525" s="22" customFormat="1" ht="47.25" x14ac:dyDescent="0.25">
      <c r="A287" s="56" t="s">
        <v>137</v>
      </c>
      <c r="B287" s="84" t="str">
        <f>'дод 7'!A14</f>
        <v>0160</v>
      </c>
      <c r="C287" s="84" t="str">
        <f>'дод 7'!B14</f>
        <v>0111</v>
      </c>
      <c r="D287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287" s="135">
        <f t="shared" ref="E287:E307" si="150">F287+I287</f>
        <v>4391300</v>
      </c>
      <c r="F287" s="135">
        <f>4910600-519300</f>
        <v>4391300</v>
      </c>
      <c r="G287" s="135">
        <f>4025100-425400</f>
        <v>3599700</v>
      </c>
      <c r="H287" s="135"/>
      <c r="I287" s="135"/>
      <c r="J287" s="135">
        <f>L287+O287</f>
        <v>1800000</v>
      </c>
      <c r="K287" s="135"/>
      <c r="L287" s="135">
        <v>1752000</v>
      </c>
      <c r="M287" s="135">
        <v>1106600</v>
      </c>
      <c r="N287" s="135">
        <v>157500</v>
      </c>
      <c r="O287" s="135">
        <v>48000</v>
      </c>
      <c r="P287" s="135">
        <f t="shared" ref="P287:P307" si="151">E287+J287</f>
        <v>6191300</v>
      </c>
      <c r="Q287" s="178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</row>
    <row r="288" spans="1:525" s="22" customFormat="1" ht="15.75" x14ac:dyDescent="0.25">
      <c r="A288" s="56" t="s">
        <v>605</v>
      </c>
      <c r="B288" s="84">
        <v>1010</v>
      </c>
      <c r="C288" s="56" t="s">
        <v>48</v>
      </c>
      <c r="D288" s="57" t="s">
        <v>486</v>
      </c>
      <c r="E288" s="135">
        <f t="shared" si="150"/>
        <v>0</v>
      </c>
      <c r="F288" s="135"/>
      <c r="G288" s="135"/>
      <c r="H288" s="135"/>
      <c r="I288" s="135"/>
      <c r="J288" s="135">
        <f>L288+O288</f>
        <v>6833436</v>
      </c>
      <c r="K288" s="135">
        <f>4915036+1918400</f>
        <v>6833436</v>
      </c>
      <c r="L288" s="135"/>
      <c r="M288" s="135"/>
      <c r="N288" s="135"/>
      <c r="O288" s="135">
        <f>4915036+1918400</f>
        <v>6833436</v>
      </c>
      <c r="P288" s="135">
        <f t="shared" si="151"/>
        <v>6833436</v>
      </c>
      <c r="Q288" s="178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</row>
    <row r="289" spans="1:525" s="22" customFormat="1" ht="31.5" x14ac:dyDescent="0.25">
      <c r="A289" s="56" t="s">
        <v>607</v>
      </c>
      <c r="B289" s="84">
        <v>1021</v>
      </c>
      <c r="C289" s="56" t="s">
        <v>50</v>
      </c>
      <c r="D289" s="57" t="s">
        <v>455</v>
      </c>
      <c r="E289" s="135">
        <f t="shared" ref="E289:E290" si="152">F289+I289</f>
        <v>0</v>
      </c>
      <c r="F289" s="135"/>
      <c r="G289" s="135"/>
      <c r="H289" s="135"/>
      <c r="I289" s="135"/>
      <c r="J289" s="135">
        <f>L289+O289</f>
        <v>6050000</v>
      </c>
      <c r="K289" s="135">
        <v>6050000</v>
      </c>
      <c r="L289" s="135"/>
      <c r="M289" s="135"/>
      <c r="N289" s="135"/>
      <c r="O289" s="135">
        <v>6050000</v>
      </c>
      <c r="P289" s="135">
        <f t="shared" si="151"/>
        <v>6050000</v>
      </c>
      <c r="Q289" s="178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</row>
    <row r="290" spans="1:525" s="22" customFormat="1" ht="63" x14ac:dyDescent="0.25">
      <c r="A290" s="56" t="s">
        <v>608</v>
      </c>
      <c r="B290" s="84">
        <v>1022</v>
      </c>
      <c r="C290" s="56" t="s">
        <v>54</v>
      </c>
      <c r="D290" s="57" t="s">
        <v>457</v>
      </c>
      <c r="E290" s="135">
        <f t="shared" si="152"/>
        <v>0</v>
      </c>
      <c r="F290" s="135"/>
      <c r="G290" s="135"/>
      <c r="H290" s="135"/>
      <c r="I290" s="135"/>
      <c r="J290" s="135">
        <f>L290+O290</f>
        <v>831600</v>
      </c>
      <c r="K290" s="135">
        <v>831600</v>
      </c>
      <c r="L290" s="135"/>
      <c r="M290" s="135"/>
      <c r="N290" s="135"/>
      <c r="O290" s="135">
        <v>831600</v>
      </c>
      <c r="P290" s="135">
        <f t="shared" si="151"/>
        <v>831600</v>
      </c>
      <c r="Q290" s="178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</row>
    <row r="291" spans="1:525" s="22" customFormat="1" ht="31.5" x14ac:dyDescent="0.25">
      <c r="A291" s="56" t="s">
        <v>609</v>
      </c>
      <c r="B291" s="84">
        <v>2010</v>
      </c>
      <c r="C291" s="56" t="s">
        <v>60</v>
      </c>
      <c r="D291" s="57" t="s">
        <v>587</v>
      </c>
      <c r="E291" s="135"/>
      <c r="F291" s="135"/>
      <c r="G291" s="135"/>
      <c r="H291" s="135"/>
      <c r="I291" s="135"/>
      <c r="J291" s="135">
        <f>L291+O291</f>
        <v>5000000</v>
      </c>
      <c r="K291" s="135">
        <v>5000000</v>
      </c>
      <c r="L291" s="135"/>
      <c r="M291" s="135"/>
      <c r="N291" s="135"/>
      <c r="O291" s="135">
        <v>5000000</v>
      </c>
      <c r="P291" s="135">
        <f t="shared" si="151"/>
        <v>5000000</v>
      </c>
      <c r="Q291" s="178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</row>
    <row r="292" spans="1:525" s="22" customFormat="1" ht="23.25" customHeight="1" x14ac:dyDescent="0.25">
      <c r="A292" s="56" t="s">
        <v>202</v>
      </c>
      <c r="B292" s="84" t="str">
        <f>'дод 7'!A163</f>
        <v>6030</v>
      </c>
      <c r="C292" s="84" t="str">
        <f>'дод 7'!B163</f>
        <v>0620</v>
      </c>
      <c r="D292" s="57" t="str">
        <f>'дод 7'!C163</f>
        <v>Організація благоустрою населених пунктів</v>
      </c>
      <c r="E292" s="135">
        <f t="shared" si="150"/>
        <v>0</v>
      </c>
      <c r="F292" s="135"/>
      <c r="G292" s="135"/>
      <c r="H292" s="135"/>
      <c r="I292" s="135"/>
      <c r="J292" s="135">
        <f t="shared" ref="J292:J316" si="153">L292+O292</f>
        <v>55800000</v>
      </c>
      <c r="K292" s="135">
        <f>48038139+12000000-8663595-19374544+4800000-2600000+19800000+500000+1000000+300000</f>
        <v>55800000</v>
      </c>
      <c r="L292" s="135"/>
      <c r="M292" s="135"/>
      <c r="N292" s="135"/>
      <c r="O292" s="135">
        <f>48038139+12000000-8663595-19374544+4800000-2600000+19800000+500000+1000000+300000</f>
        <v>55800000</v>
      </c>
      <c r="P292" s="135">
        <f t="shared" si="151"/>
        <v>55800000</v>
      </c>
      <c r="Q292" s="178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</row>
    <row r="293" spans="1:525" s="22" customFormat="1" ht="65.25" customHeight="1" x14ac:dyDescent="0.25">
      <c r="A293" s="56" t="s">
        <v>203</v>
      </c>
      <c r="B293" s="84" t="str">
        <f>'дод 7'!A167</f>
        <v>6084</v>
      </c>
      <c r="C293" s="84" t="str">
        <f>'дод 7'!B167</f>
        <v>0610</v>
      </c>
      <c r="D293" s="57" t="str">
        <f>'дод 7'!C167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93" s="135">
        <f t="shared" si="150"/>
        <v>0</v>
      </c>
      <c r="F293" s="135"/>
      <c r="G293" s="135"/>
      <c r="H293" s="135"/>
      <c r="I293" s="135"/>
      <c r="J293" s="135">
        <f t="shared" si="153"/>
        <v>110579</v>
      </c>
      <c r="K293" s="135"/>
      <c r="L293" s="135"/>
      <c r="M293" s="135"/>
      <c r="N293" s="135"/>
      <c r="O293" s="135">
        <v>110579</v>
      </c>
      <c r="P293" s="135">
        <f t="shared" si="151"/>
        <v>110579</v>
      </c>
      <c r="Q293" s="178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</row>
    <row r="294" spans="1:525" s="22" customFormat="1" ht="31.5" x14ac:dyDescent="0.25">
      <c r="A294" s="56" t="s">
        <v>272</v>
      </c>
      <c r="B294" s="84" t="str">
        <f>'дод 7'!A179</f>
        <v>7310</v>
      </c>
      <c r="C294" s="84" t="str">
        <f>'дод 7'!B179</f>
        <v>0443</v>
      </c>
      <c r="D294" s="57" t="str">
        <f>'дод 7'!C179</f>
        <v>Будівництво1 об'єктів житлово-комунального господарства</v>
      </c>
      <c r="E294" s="135">
        <f t="shared" si="150"/>
        <v>0</v>
      </c>
      <c r="F294" s="135"/>
      <c r="G294" s="135"/>
      <c r="H294" s="135"/>
      <c r="I294" s="135"/>
      <c r="J294" s="135">
        <f t="shared" si="153"/>
        <v>2000000</v>
      </c>
      <c r="K294" s="135">
        <v>2000000</v>
      </c>
      <c r="L294" s="135"/>
      <c r="M294" s="135"/>
      <c r="N294" s="135"/>
      <c r="O294" s="135">
        <v>2000000</v>
      </c>
      <c r="P294" s="135">
        <f t="shared" si="151"/>
        <v>2000000</v>
      </c>
      <c r="Q294" s="178">
        <v>21</v>
      </c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</row>
    <row r="295" spans="1:525" s="22" customFormat="1" ht="15.75" x14ac:dyDescent="0.25">
      <c r="A295" s="56" t="s">
        <v>273</v>
      </c>
      <c r="B295" s="84" t="str">
        <f>'дод 7'!A180</f>
        <v>7321</v>
      </c>
      <c r="C295" s="84" t="str">
        <f>'дод 7'!B180</f>
        <v>0443</v>
      </c>
      <c r="D295" s="6" t="str">
        <f>'дод 7'!C180</f>
        <v>Будівництво1 освітніх установ та закладів</v>
      </c>
      <c r="E295" s="135">
        <f t="shared" si="150"/>
        <v>0</v>
      </c>
      <c r="F295" s="135"/>
      <c r="G295" s="135"/>
      <c r="H295" s="135"/>
      <c r="I295" s="135"/>
      <c r="J295" s="135">
        <f t="shared" si="153"/>
        <v>7500000</v>
      </c>
      <c r="K295" s="135">
        <f>6000000+1500000+300000-300000</f>
        <v>7500000</v>
      </c>
      <c r="L295" s="135"/>
      <c r="M295" s="135"/>
      <c r="N295" s="135"/>
      <c r="O295" s="135">
        <f>7500000+300000-300000</f>
        <v>7500000</v>
      </c>
      <c r="P295" s="135">
        <f t="shared" si="151"/>
        <v>7500000</v>
      </c>
      <c r="Q295" s="178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</row>
    <row r="296" spans="1:525" s="22" customFormat="1" ht="15.75" x14ac:dyDescent="0.25">
      <c r="A296" s="56" t="s">
        <v>275</v>
      </c>
      <c r="B296" s="84" t="str">
        <f>'дод 7'!A182</f>
        <v>7322</v>
      </c>
      <c r="C296" s="84" t="str">
        <f>'дод 7'!B182</f>
        <v>0443</v>
      </c>
      <c r="D296" s="6" t="str">
        <f>'дод 7'!C182</f>
        <v>Будівництво1 медичних установ та закладів</v>
      </c>
      <c r="E296" s="135">
        <f t="shared" si="150"/>
        <v>0</v>
      </c>
      <c r="F296" s="135"/>
      <c r="G296" s="135"/>
      <c r="H296" s="135"/>
      <c r="I296" s="135"/>
      <c r="J296" s="135">
        <f t="shared" si="153"/>
        <v>3000000</v>
      </c>
      <c r="K296" s="135">
        <v>3000000</v>
      </c>
      <c r="L296" s="135"/>
      <c r="M296" s="135"/>
      <c r="N296" s="135"/>
      <c r="O296" s="135">
        <v>3000000</v>
      </c>
      <c r="P296" s="135">
        <f t="shared" si="151"/>
        <v>3000000</v>
      </c>
      <c r="Q296" s="178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</row>
    <row r="297" spans="1:525" s="22" customFormat="1" ht="15.75" x14ac:dyDescent="0.25">
      <c r="A297" s="56" t="s">
        <v>537</v>
      </c>
      <c r="B297" s="84">
        <v>7324</v>
      </c>
      <c r="C297" s="84">
        <v>443</v>
      </c>
      <c r="D297" s="6" t="str">
        <f>'дод 7'!C184</f>
        <v>Будівництво1 установ та закладів культури</v>
      </c>
      <c r="E297" s="135">
        <f t="shared" si="150"/>
        <v>0</v>
      </c>
      <c r="F297" s="135"/>
      <c r="G297" s="135"/>
      <c r="H297" s="135"/>
      <c r="I297" s="135"/>
      <c r="J297" s="135">
        <f t="shared" si="153"/>
        <v>300000</v>
      </c>
      <c r="K297" s="135">
        <v>300000</v>
      </c>
      <c r="L297" s="135"/>
      <c r="M297" s="135"/>
      <c r="N297" s="135"/>
      <c r="O297" s="135">
        <v>300000</v>
      </c>
      <c r="P297" s="135">
        <f t="shared" si="151"/>
        <v>300000</v>
      </c>
      <c r="Q297" s="178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  <c r="IS297" s="23"/>
      <c r="IT297" s="23"/>
      <c r="IU297" s="23"/>
      <c r="IV297" s="23"/>
      <c r="IW297" s="23"/>
      <c r="IX297" s="23"/>
      <c r="IY297" s="23"/>
      <c r="IZ297" s="23"/>
      <c r="JA297" s="23"/>
      <c r="JB297" s="23"/>
      <c r="JC297" s="23"/>
      <c r="JD297" s="23"/>
      <c r="JE297" s="23"/>
      <c r="JF297" s="23"/>
      <c r="JG297" s="23"/>
      <c r="JH297" s="23"/>
      <c r="JI297" s="23"/>
      <c r="JJ297" s="23"/>
      <c r="JK297" s="23"/>
      <c r="JL297" s="23"/>
      <c r="JM297" s="23"/>
      <c r="JN297" s="23"/>
      <c r="JO297" s="23"/>
      <c r="JP297" s="23"/>
      <c r="JQ297" s="23"/>
      <c r="JR297" s="23"/>
      <c r="JS297" s="23"/>
      <c r="JT297" s="23"/>
      <c r="JU297" s="23"/>
      <c r="JV297" s="23"/>
      <c r="JW297" s="23"/>
      <c r="JX297" s="23"/>
      <c r="JY297" s="23"/>
      <c r="JZ297" s="23"/>
      <c r="KA297" s="23"/>
      <c r="KB297" s="23"/>
      <c r="KC297" s="23"/>
      <c r="KD297" s="23"/>
      <c r="KE297" s="23"/>
      <c r="KF297" s="23"/>
      <c r="KG297" s="23"/>
      <c r="KH297" s="23"/>
      <c r="KI297" s="23"/>
      <c r="KJ297" s="23"/>
      <c r="KK297" s="23"/>
      <c r="KL297" s="23"/>
      <c r="KM297" s="23"/>
      <c r="KN297" s="23"/>
      <c r="KO297" s="23"/>
      <c r="KP297" s="23"/>
      <c r="KQ297" s="23"/>
      <c r="KR297" s="23"/>
      <c r="KS297" s="23"/>
      <c r="KT297" s="23"/>
      <c r="KU297" s="23"/>
      <c r="KV297" s="23"/>
      <c r="KW297" s="23"/>
      <c r="KX297" s="23"/>
      <c r="KY297" s="23"/>
      <c r="KZ297" s="23"/>
      <c r="LA297" s="23"/>
      <c r="LB297" s="23"/>
      <c r="LC297" s="23"/>
      <c r="LD297" s="23"/>
      <c r="LE297" s="23"/>
      <c r="LF297" s="23"/>
      <c r="LG297" s="23"/>
      <c r="LH297" s="23"/>
      <c r="LI297" s="23"/>
      <c r="LJ297" s="23"/>
      <c r="LK297" s="23"/>
      <c r="LL297" s="23"/>
      <c r="LM297" s="23"/>
      <c r="LN297" s="23"/>
      <c r="LO297" s="23"/>
      <c r="LP297" s="23"/>
      <c r="LQ297" s="23"/>
      <c r="LR297" s="23"/>
      <c r="LS297" s="23"/>
      <c r="LT297" s="23"/>
      <c r="LU297" s="23"/>
      <c r="LV297" s="23"/>
      <c r="LW297" s="23"/>
      <c r="LX297" s="23"/>
      <c r="LY297" s="23"/>
      <c r="LZ297" s="23"/>
      <c r="MA297" s="23"/>
      <c r="MB297" s="23"/>
      <c r="MC297" s="23"/>
      <c r="MD297" s="23"/>
      <c r="ME297" s="23"/>
      <c r="MF297" s="23"/>
      <c r="MG297" s="23"/>
      <c r="MH297" s="23"/>
      <c r="MI297" s="23"/>
      <c r="MJ297" s="23"/>
      <c r="MK297" s="23"/>
      <c r="ML297" s="23"/>
      <c r="MM297" s="23"/>
      <c r="MN297" s="23"/>
      <c r="MO297" s="23"/>
      <c r="MP297" s="23"/>
      <c r="MQ297" s="23"/>
      <c r="MR297" s="23"/>
      <c r="MS297" s="23"/>
      <c r="MT297" s="23"/>
      <c r="MU297" s="23"/>
      <c r="MV297" s="23"/>
      <c r="MW297" s="23"/>
      <c r="MX297" s="23"/>
      <c r="MY297" s="23"/>
      <c r="MZ297" s="23"/>
      <c r="NA297" s="23"/>
      <c r="NB297" s="23"/>
      <c r="NC297" s="23"/>
      <c r="ND297" s="23"/>
      <c r="NE297" s="23"/>
      <c r="NF297" s="23"/>
      <c r="NG297" s="23"/>
      <c r="NH297" s="23"/>
      <c r="NI297" s="23"/>
      <c r="NJ297" s="23"/>
      <c r="NK297" s="23"/>
      <c r="NL297" s="23"/>
      <c r="NM297" s="23"/>
      <c r="NN297" s="23"/>
      <c r="NO297" s="23"/>
      <c r="NP297" s="23"/>
      <c r="NQ297" s="23"/>
      <c r="NR297" s="23"/>
      <c r="NS297" s="23"/>
      <c r="NT297" s="23"/>
      <c r="NU297" s="23"/>
      <c r="NV297" s="23"/>
      <c r="NW297" s="23"/>
      <c r="NX297" s="23"/>
      <c r="NY297" s="23"/>
      <c r="NZ297" s="23"/>
      <c r="OA297" s="23"/>
      <c r="OB297" s="23"/>
      <c r="OC297" s="23"/>
      <c r="OD297" s="23"/>
      <c r="OE297" s="23"/>
      <c r="OF297" s="23"/>
      <c r="OG297" s="23"/>
      <c r="OH297" s="23"/>
      <c r="OI297" s="23"/>
      <c r="OJ297" s="23"/>
      <c r="OK297" s="23"/>
      <c r="OL297" s="23"/>
      <c r="OM297" s="23"/>
      <c r="ON297" s="23"/>
      <c r="OO297" s="23"/>
      <c r="OP297" s="23"/>
      <c r="OQ297" s="23"/>
      <c r="OR297" s="23"/>
      <c r="OS297" s="23"/>
      <c r="OT297" s="23"/>
      <c r="OU297" s="23"/>
      <c r="OV297" s="23"/>
      <c r="OW297" s="23"/>
      <c r="OX297" s="23"/>
      <c r="OY297" s="23"/>
      <c r="OZ297" s="23"/>
      <c r="PA297" s="23"/>
      <c r="PB297" s="23"/>
      <c r="PC297" s="23"/>
      <c r="PD297" s="23"/>
      <c r="PE297" s="23"/>
      <c r="PF297" s="23"/>
      <c r="PG297" s="23"/>
      <c r="PH297" s="23"/>
      <c r="PI297" s="23"/>
      <c r="PJ297" s="23"/>
      <c r="PK297" s="23"/>
      <c r="PL297" s="23"/>
      <c r="PM297" s="23"/>
      <c r="PN297" s="23"/>
      <c r="PO297" s="23"/>
      <c r="PP297" s="23"/>
      <c r="PQ297" s="23"/>
      <c r="PR297" s="23"/>
      <c r="PS297" s="23"/>
      <c r="PT297" s="23"/>
      <c r="PU297" s="23"/>
      <c r="PV297" s="23"/>
      <c r="PW297" s="23"/>
      <c r="PX297" s="23"/>
      <c r="PY297" s="23"/>
      <c r="PZ297" s="23"/>
      <c r="QA297" s="23"/>
      <c r="QB297" s="23"/>
      <c r="QC297" s="23"/>
      <c r="QD297" s="23"/>
      <c r="QE297" s="23"/>
      <c r="QF297" s="23"/>
      <c r="QG297" s="23"/>
      <c r="QH297" s="23"/>
      <c r="QI297" s="23"/>
      <c r="QJ297" s="23"/>
      <c r="QK297" s="23"/>
      <c r="QL297" s="23"/>
      <c r="QM297" s="23"/>
      <c r="QN297" s="23"/>
      <c r="QO297" s="23"/>
      <c r="QP297" s="23"/>
      <c r="QQ297" s="23"/>
      <c r="QR297" s="23"/>
      <c r="QS297" s="23"/>
      <c r="QT297" s="23"/>
      <c r="QU297" s="23"/>
      <c r="QV297" s="23"/>
      <c r="QW297" s="23"/>
      <c r="QX297" s="23"/>
      <c r="QY297" s="23"/>
      <c r="QZ297" s="23"/>
      <c r="RA297" s="23"/>
      <c r="RB297" s="23"/>
      <c r="RC297" s="23"/>
      <c r="RD297" s="23"/>
      <c r="RE297" s="23"/>
      <c r="RF297" s="23"/>
      <c r="RG297" s="23"/>
      <c r="RH297" s="23"/>
      <c r="RI297" s="23"/>
      <c r="RJ297" s="23"/>
      <c r="RK297" s="23"/>
      <c r="RL297" s="23"/>
      <c r="RM297" s="23"/>
      <c r="RN297" s="23"/>
      <c r="RO297" s="23"/>
      <c r="RP297" s="23"/>
      <c r="RQ297" s="23"/>
      <c r="RR297" s="23"/>
      <c r="RS297" s="23"/>
      <c r="RT297" s="23"/>
      <c r="RU297" s="23"/>
      <c r="RV297" s="23"/>
      <c r="RW297" s="23"/>
      <c r="RX297" s="23"/>
      <c r="RY297" s="23"/>
      <c r="RZ297" s="23"/>
      <c r="SA297" s="23"/>
      <c r="SB297" s="23"/>
      <c r="SC297" s="23"/>
      <c r="SD297" s="23"/>
      <c r="SE297" s="23"/>
      <c r="SF297" s="23"/>
      <c r="SG297" s="23"/>
      <c r="SH297" s="23"/>
      <c r="SI297" s="23"/>
      <c r="SJ297" s="23"/>
      <c r="SK297" s="23"/>
      <c r="SL297" s="23"/>
      <c r="SM297" s="23"/>
      <c r="SN297" s="23"/>
      <c r="SO297" s="23"/>
      <c r="SP297" s="23"/>
      <c r="SQ297" s="23"/>
      <c r="SR297" s="23"/>
      <c r="SS297" s="23"/>
      <c r="ST297" s="23"/>
      <c r="SU297" s="23"/>
      <c r="SV297" s="23"/>
      <c r="SW297" s="23"/>
      <c r="SX297" s="23"/>
      <c r="SY297" s="23"/>
      <c r="SZ297" s="23"/>
      <c r="TA297" s="23"/>
      <c r="TB297" s="23"/>
      <c r="TC297" s="23"/>
      <c r="TD297" s="23"/>
      <c r="TE297" s="23"/>
    </row>
    <row r="298" spans="1:525" s="22" customFormat="1" ht="31.5" x14ac:dyDescent="0.25">
      <c r="A298" s="56" t="s">
        <v>354</v>
      </c>
      <c r="B298" s="84">
        <f>'дод 7'!A185</f>
        <v>7325</v>
      </c>
      <c r="C298" s="56" t="s">
        <v>110</v>
      </c>
      <c r="D298" s="6" t="str">
        <f>'дод 7'!C185</f>
        <v>Будівництво1 споруд, установ та закладів фізичної культури і спорту</v>
      </c>
      <c r="E298" s="135">
        <f t="shared" si="150"/>
        <v>0</v>
      </c>
      <c r="F298" s="135"/>
      <c r="G298" s="135"/>
      <c r="H298" s="135"/>
      <c r="I298" s="135"/>
      <c r="J298" s="135">
        <f t="shared" si="153"/>
        <v>20150000</v>
      </c>
      <c r="K298" s="135">
        <f>20768133-768133+150000</f>
        <v>20150000</v>
      </c>
      <c r="L298" s="135"/>
      <c r="M298" s="135"/>
      <c r="N298" s="135"/>
      <c r="O298" s="135">
        <f>20768133-768133+150000</f>
        <v>20150000</v>
      </c>
      <c r="P298" s="135">
        <f t="shared" si="151"/>
        <v>20150000</v>
      </c>
      <c r="Q298" s="178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</row>
    <row r="299" spans="1:525" s="22" customFormat="1" ht="37.5" customHeight="1" x14ac:dyDescent="0.25">
      <c r="A299" s="56" t="s">
        <v>277</v>
      </c>
      <c r="B299" s="84" t="str">
        <f>'дод 7'!A186</f>
        <v>7330</v>
      </c>
      <c r="C299" s="84" t="str">
        <f>'дод 7'!B186</f>
        <v>0443</v>
      </c>
      <c r="D299" s="6" t="str">
        <f>'дод 7'!C186</f>
        <v>Будівництво1 інших об'єктів комунальної власності</v>
      </c>
      <c r="E299" s="135">
        <f t="shared" si="150"/>
        <v>0</v>
      </c>
      <c r="F299" s="135"/>
      <c r="G299" s="135"/>
      <c r="H299" s="135"/>
      <c r="I299" s="135"/>
      <c r="J299" s="135">
        <f t="shared" si="153"/>
        <v>48489651</v>
      </c>
      <c r="K299" s="135">
        <f>2880000+239651+21250000+600000+2000000-600000-2000000-380000+500000+24000000</f>
        <v>48489651</v>
      </c>
      <c r="L299" s="135"/>
      <c r="M299" s="135"/>
      <c r="N299" s="135"/>
      <c r="O299" s="135">
        <f>2880000+239651+21250000+600000+2000000-600000-2000000-380000+500000+24000000</f>
        <v>48489651</v>
      </c>
      <c r="P299" s="135">
        <f t="shared" si="151"/>
        <v>48489651</v>
      </c>
      <c r="Q299" s="178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</row>
    <row r="300" spans="1:525" s="22" customFormat="1" ht="31.5" x14ac:dyDescent="0.25">
      <c r="A300" s="56" t="s">
        <v>418</v>
      </c>
      <c r="B300" s="84">
        <v>7340</v>
      </c>
      <c r="C300" s="56" t="s">
        <v>110</v>
      </c>
      <c r="D300" s="57" t="s">
        <v>1</v>
      </c>
      <c r="E300" s="135">
        <f t="shared" si="150"/>
        <v>0</v>
      </c>
      <c r="F300" s="135"/>
      <c r="G300" s="135"/>
      <c r="H300" s="135"/>
      <c r="I300" s="135"/>
      <c r="J300" s="135">
        <f t="shared" si="153"/>
        <v>500000</v>
      </c>
      <c r="K300" s="135">
        <v>500000</v>
      </c>
      <c r="L300" s="135"/>
      <c r="M300" s="135"/>
      <c r="N300" s="135"/>
      <c r="O300" s="135">
        <v>500000</v>
      </c>
      <c r="P300" s="135">
        <f t="shared" si="151"/>
        <v>500000</v>
      </c>
      <c r="Q300" s="178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</row>
    <row r="301" spans="1:525" s="22" customFormat="1" ht="53.25" customHeight="1" x14ac:dyDescent="0.25">
      <c r="A301" s="56" t="s">
        <v>366</v>
      </c>
      <c r="B301" s="84">
        <f>'дод 7'!A189</f>
        <v>7361</v>
      </c>
      <c r="C301" s="84" t="str">
        <f>'дод 7'!B189</f>
        <v>0490</v>
      </c>
      <c r="D301" s="57" t="str">
        <f>'дод 7'!C189</f>
        <v>Співфінансування інвестиційних проектів, що реалізуються за рахунок коштів державного фонду регіонального розвитку</v>
      </c>
      <c r="E301" s="135">
        <f t="shared" ref="E301" si="154">F301+I301</f>
        <v>0</v>
      </c>
      <c r="F301" s="135"/>
      <c r="G301" s="135"/>
      <c r="H301" s="135"/>
      <c r="I301" s="135"/>
      <c r="J301" s="135">
        <f t="shared" ref="J301" si="155">L301+O301</f>
        <v>21844084</v>
      </c>
      <c r="K301" s="135">
        <v>21844084</v>
      </c>
      <c r="L301" s="135"/>
      <c r="M301" s="135"/>
      <c r="N301" s="135"/>
      <c r="O301" s="135">
        <v>21844084</v>
      </c>
      <c r="P301" s="135">
        <f t="shared" si="151"/>
        <v>21844084</v>
      </c>
      <c r="Q301" s="178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</row>
    <row r="302" spans="1:525" s="22" customFormat="1" ht="47.25" hidden="1" customHeight="1" x14ac:dyDescent="0.25">
      <c r="A302" s="56" t="s">
        <v>361</v>
      </c>
      <c r="B302" s="84">
        <v>7363</v>
      </c>
      <c r="C302" s="56" t="s">
        <v>81</v>
      </c>
      <c r="D302" s="57" t="s">
        <v>392</v>
      </c>
      <c r="E302" s="135">
        <f t="shared" si="150"/>
        <v>0</v>
      </c>
      <c r="F302" s="135"/>
      <c r="G302" s="135"/>
      <c r="H302" s="135"/>
      <c r="I302" s="135"/>
      <c r="J302" s="135">
        <f t="shared" si="153"/>
        <v>0</v>
      </c>
      <c r="K302" s="135"/>
      <c r="L302" s="135"/>
      <c r="M302" s="135"/>
      <c r="N302" s="135"/>
      <c r="O302" s="135"/>
      <c r="P302" s="135">
        <f t="shared" si="151"/>
        <v>0</v>
      </c>
      <c r="Q302" s="178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</row>
    <row r="303" spans="1:525" s="24" customFormat="1" ht="63.75" hidden="1" customHeight="1" x14ac:dyDescent="0.25">
      <c r="A303" s="76"/>
      <c r="B303" s="97"/>
      <c r="C303" s="76"/>
      <c r="D303" s="79" t="s">
        <v>383</v>
      </c>
      <c r="E303" s="136">
        <f t="shared" si="150"/>
        <v>0</v>
      </c>
      <c r="F303" s="136"/>
      <c r="G303" s="136"/>
      <c r="H303" s="136"/>
      <c r="I303" s="136"/>
      <c r="J303" s="136">
        <f t="shared" ref="J303" si="156">L303+O303</f>
        <v>0</v>
      </c>
      <c r="K303" s="136"/>
      <c r="L303" s="136"/>
      <c r="M303" s="136"/>
      <c r="N303" s="136"/>
      <c r="O303" s="136"/>
      <c r="P303" s="136">
        <f t="shared" ref="P303" si="157">E303+J303</f>
        <v>0</v>
      </c>
      <c r="Q303" s="178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30"/>
      <c r="FN303" s="30"/>
      <c r="FO303" s="30"/>
      <c r="FP303" s="30"/>
      <c r="FQ303" s="30"/>
      <c r="FR303" s="30"/>
      <c r="FS303" s="30"/>
      <c r="FT303" s="30"/>
      <c r="FU303" s="30"/>
      <c r="FV303" s="30"/>
      <c r="FW303" s="30"/>
      <c r="FX303" s="30"/>
      <c r="FY303" s="30"/>
      <c r="FZ303" s="30"/>
      <c r="GA303" s="30"/>
      <c r="GB303" s="30"/>
      <c r="GC303" s="30"/>
      <c r="GD303" s="30"/>
      <c r="GE303" s="30"/>
      <c r="GF303" s="30"/>
      <c r="GG303" s="30"/>
      <c r="GH303" s="30"/>
      <c r="GI303" s="30"/>
      <c r="GJ303" s="30"/>
      <c r="GK303" s="30"/>
      <c r="GL303" s="30"/>
      <c r="GM303" s="30"/>
      <c r="GN303" s="30"/>
      <c r="GO303" s="30"/>
      <c r="GP303" s="30"/>
      <c r="GQ303" s="30"/>
      <c r="GR303" s="30"/>
      <c r="GS303" s="30"/>
      <c r="GT303" s="30"/>
      <c r="GU303" s="30"/>
      <c r="GV303" s="30"/>
      <c r="GW303" s="30"/>
      <c r="GX303" s="30"/>
      <c r="GY303" s="30"/>
      <c r="GZ303" s="30"/>
      <c r="HA303" s="30"/>
      <c r="HB303" s="30"/>
      <c r="HC303" s="30"/>
      <c r="HD303" s="30"/>
      <c r="HE303" s="30"/>
      <c r="HF303" s="30"/>
      <c r="HG303" s="30"/>
      <c r="HH303" s="30"/>
      <c r="HI303" s="30"/>
      <c r="HJ303" s="30"/>
      <c r="HK303" s="30"/>
      <c r="HL303" s="30"/>
      <c r="HM303" s="30"/>
      <c r="HN303" s="30"/>
      <c r="HO303" s="30"/>
      <c r="HP303" s="30"/>
      <c r="HQ303" s="30"/>
      <c r="HR303" s="30"/>
      <c r="HS303" s="30"/>
      <c r="HT303" s="30"/>
      <c r="HU303" s="30"/>
      <c r="HV303" s="30"/>
      <c r="HW303" s="30"/>
      <c r="HX303" s="30"/>
      <c r="HY303" s="30"/>
      <c r="HZ303" s="30"/>
      <c r="IA303" s="30"/>
      <c r="IB303" s="30"/>
      <c r="IC303" s="30"/>
      <c r="ID303" s="30"/>
      <c r="IE303" s="30"/>
      <c r="IF303" s="30"/>
      <c r="IG303" s="30"/>
      <c r="IH303" s="30"/>
      <c r="II303" s="30"/>
      <c r="IJ303" s="30"/>
      <c r="IK303" s="30"/>
      <c r="IL303" s="30"/>
      <c r="IM303" s="30"/>
      <c r="IN303" s="30"/>
      <c r="IO303" s="30"/>
      <c r="IP303" s="30"/>
      <c r="IQ303" s="30"/>
      <c r="IR303" s="30"/>
      <c r="IS303" s="30"/>
      <c r="IT303" s="30"/>
      <c r="IU303" s="30"/>
      <c r="IV303" s="30"/>
      <c r="IW303" s="30"/>
      <c r="IX303" s="30"/>
      <c r="IY303" s="30"/>
      <c r="IZ303" s="30"/>
      <c r="JA303" s="30"/>
      <c r="JB303" s="30"/>
      <c r="JC303" s="30"/>
      <c r="JD303" s="30"/>
      <c r="JE303" s="30"/>
      <c r="JF303" s="30"/>
      <c r="JG303" s="30"/>
      <c r="JH303" s="30"/>
      <c r="JI303" s="30"/>
      <c r="JJ303" s="30"/>
      <c r="JK303" s="30"/>
      <c r="JL303" s="30"/>
      <c r="JM303" s="30"/>
      <c r="JN303" s="30"/>
      <c r="JO303" s="30"/>
      <c r="JP303" s="30"/>
      <c r="JQ303" s="30"/>
      <c r="JR303" s="30"/>
      <c r="JS303" s="30"/>
      <c r="JT303" s="30"/>
      <c r="JU303" s="30"/>
      <c r="JV303" s="30"/>
      <c r="JW303" s="30"/>
      <c r="JX303" s="30"/>
      <c r="JY303" s="30"/>
      <c r="JZ303" s="30"/>
      <c r="KA303" s="30"/>
      <c r="KB303" s="30"/>
      <c r="KC303" s="30"/>
      <c r="KD303" s="30"/>
      <c r="KE303" s="30"/>
      <c r="KF303" s="30"/>
      <c r="KG303" s="30"/>
      <c r="KH303" s="30"/>
      <c r="KI303" s="30"/>
      <c r="KJ303" s="30"/>
      <c r="KK303" s="30"/>
      <c r="KL303" s="30"/>
      <c r="KM303" s="30"/>
      <c r="KN303" s="30"/>
      <c r="KO303" s="30"/>
      <c r="KP303" s="30"/>
      <c r="KQ303" s="30"/>
      <c r="KR303" s="30"/>
      <c r="KS303" s="30"/>
      <c r="KT303" s="30"/>
      <c r="KU303" s="30"/>
      <c r="KV303" s="30"/>
      <c r="KW303" s="30"/>
      <c r="KX303" s="30"/>
      <c r="KY303" s="30"/>
      <c r="KZ303" s="30"/>
      <c r="LA303" s="30"/>
      <c r="LB303" s="30"/>
      <c r="LC303" s="30"/>
      <c r="LD303" s="30"/>
      <c r="LE303" s="30"/>
      <c r="LF303" s="30"/>
      <c r="LG303" s="30"/>
      <c r="LH303" s="30"/>
      <c r="LI303" s="30"/>
      <c r="LJ303" s="30"/>
      <c r="LK303" s="30"/>
      <c r="LL303" s="30"/>
      <c r="LM303" s="30"/>
      <c r="LN303" s="30"/>
      <c r="LO303" s="30"/>
      <c r="LP303" s="30"/>
      <c r="LQ303" s="30"/>
      <c r="LR303" s="30"/>
      <c r="LS303" s="30"/>
      <c r="LT303" s="30"/>
      <c r="LU303" s="30"/>
      <c r="LV303" s="30"/>
      <c r="LW303" s="30"/>
      <c r="LX303" s="30"/>
      <c r="LY303" s="30"/>
      <c r="LZ303" s="30"/>
      <c r="MA303" s="30"/>
      <c r="MB303" s="30"/>
      <c r="MC303" s="30"/>
      <c r="MD303" s="30"/>
      <c r="ME303" s="30"/>
      <c r="MF303" s="30"/>
      <c r="MG303" s="30"/>
      <c r="MH303" s="30"/>
      <c r="MI303" s="30"/>
      <c r="MJ303" s="30"/>
      <c r="MK303" s="30"/>
      <c r="ML303" s="30"/>
      <c r="MM303" s="30"/>
      <c r="MN303" s="30"/>
      <c r="MO303" s="30"/>
      <c r="MP303" s="30"/>
      <c r="MQ303" s="30"/>
      <c r="MR303" s="30"/>
      <c r="MS303" s="30"/>
      <c r="MT303" s="30"/>
      <c r="MU303" s="30"/>
      <c r="MV303" s="30"/>
      <c r="MW303" s="30"/>
      <c r="MX303" s="30"/>
      <c r="MY303" s="30"/>
      <c r="MZ303" s="30"/>
      <c r="NA303" s="30"/>
      <c r="NB303" s="30"/>
      <c r="NC303" s="30"/>
      <c r="ND303" s="30"/>
      <c r="NE303" s="30"/>
      <c r="NF303" s="30"/>
      <c r="NG303" s="30"/>
      <c r="NH303" s="30"/>
      <c r="NI303" s="30"/>
      <c r="NJ303" s="30"/>
      <c r="NK303" s="30"/>
      <c r="NL303" s="30"/>
      <c r="NM303" s="30"/>
      <c r="NN303" s="30"/>
      <c r="NO303" s="30"/>
      <c r="NP303" s="30"/>
      <c r="NQ303" s="30"/>
      <c r="NR303" s="30"/>
      <c r="NS303" s="30"/>
      <c r="NT303" s="30"/>
      <c r="NU303" s="30"/>
      <c r="NV303" s="30"/>
      <c r="NW303" s="30"/>
      <c r="NX303" s="30"/>
      <c r="NY303" s="30"/>
      <c r="NZ303" s="30"/>
      <c r="OA303" s="30"/>
      <c r="OB303" s="30"/>
      <c r="OC303" s="30"/>
      <c r="OD303" s="30"/>
      <c r="OE303" s="30"/>
      <c r="OF303" s="30"/>
      <c r="OG303" s="30"/>
      <c r="OH303" s="30"/>
      <c r="OI303" s="30"/>
      <c r="OJ303" s="30"/>
      <c r="OK303" s="30"/>
      <c r="OL303" s="30"/>
      <c r="OM303" s="30"/>
      <c r="ON303" s="30"/>
      <c r="OO303" s="30"/>
      <c r="OP303" s="30"/>
      <c r="OQ303" s="30"/>
      <c r="OR303" s="30"/>
      <c r="OS303" s="30"/>
      <c r="OT303" s="30"/>
      <c r="OU303" s="30"/>
      <c r="OV303" s="30"/>
      <c r="OW303" s="30"/>
      <c r="OX303" s="30"/>
      <c r="OY303" s="30"/>
      <c r="OZ303" s="30"/>
      <c r="PA303" s="30"/>
      <c r="PB303" s="30"/>
      <c r="PC303" s="30"/>
      <c r="PD303" s="30"/>
      <c r="PE303" s="30"/>
      <c r="PF303" s="30"/>
      <c r="PG303" s="30"/>
      <c r="PH303" s="30"/>
      <c r="PI303" s="30"/>
      <c r="PJ303" s="30"/>
      <c r="PK303" s="30"/>
      <c r="PL303" s="30"/>
      <c r="PM303" s="30"/>
      <c r="PN303" s="30"/>
      <c r="PO303" s="30"/>
      <c r="PP303" s="30"/>
      <c r="PQ303" s="30"/>
      <c r="PR303" s="30"/>
      <c r="PS303" s="30"/>
      <c r="PT303" s="30"/>
      <c r="PU303" s="30"/>
      <c r="PV303" s="30"/>
      <c r="PW303" s="30"/>
      <c r="PX303" s="30"/>
      <c r="PY303" s="30"/>
      <c r="PZ303" s="30"/>
      <c r="QA303" s="30"/>
      <c r="QB303" s="30"/>
      <c r="QC303" s="30"/>
      <c r="QD303" s="30"/>
      <c r="QE303" s="30"/>
      <c r="QF303" s="30"/>
      <c r="QG303" s="30"/>
      <c r="QH303" s="30"/>
      <c r="QI303" s="30"/>
      <c r="QJ303" s="30"/>
      <c r="QK303" s="30"/>
      <c r="QL303" s="30"/>
      <c r="QM303" s="30"/>
      <c r="QN303" s="30"/>
      <c r="QO303" s="30"/>
      <c r="QP303" s="30"/>
      <c r="QQ303" s="30"/>
      <c r="QR303" s="30"/>
      <c r="QS303" s="30"/>
      <c r="QT303" s="30"/>
      <c r="QU303" s="30"/>
      <c r="QV303" s="30"/>
      <c r="QW303" s="30"/>
      <c r="QX303" s="30"/>
      <c r="QY303" s="30"/>
      <c r="QZ303" s="30"/>
      <c r="RA303" s="30"/>
      <c r="RB303" s="30"/>
      <c r="RC303" s="30"/>
      <c r="RD303" s="30"/>
      <c r="RE303" s="30"/>
      <c r="RF303" s="30"/>
      <c r="RG303" s="30"/>
      <c r="RH303" s="30"/>
      <c r="RI303" s="30"/>
      <c r="RJ303" s="30"/>
      <c r="RK303" s="30"/>
      <c r="RL303" s="30"/>
      <c r="RM303" s="30"/>
      <c r="RN303" s="30"/>
      <c r="RO303" s="30"/>
      <c r="RP303" s="30"/>
      <c r="RQ303" s="30"/>
      <c r="RR303" s="30"/>
      <c r="RS303" s="30"/>
      <c r="RT303" s="30"/>
      <c r="RU303" s="30"/>
      <c r="RV303" s="30"/>
      <c r="RW303" s="30"/>
      <c r="RX303" s="30"/>
      <c r="RY303" s="30"/>
      <c r="RZ303" s="30"/>
      <c r="SA303" s="30"/>
      <c r="SB303" s="30"/>
      <c r="SC303" s="30"/>
      <c r="SD303" s="30"/>
      <c r="SE303" s="30"/>
      <c r="SF303" s="30"/>
      <c r="SG303" s="30"/>
      <c r="SH303" s="30"/>
      <c r="SI303" s="30"/>
      <c r="SJ303" s="30"/>
      <c r="SK303" s="30"/>
      <c r="SL303" s="30"/>
      <c r="SM303" s="30"/>
      <c r="SN303" s="30"/>
      <c r="SO303" s="30"/>
      <c r="SP303" s="30"/>
      <c r="SQ303" s="30"/>
      <c r="SR303" s="30"/>
      <c r="SS303" s="30"/>
      <c r="ST303" s="30"/>
      <c r="SU303" s="30"/>
      <c r="SV303" s="30"/>
      <c r="SW303" s="30"/>
      <c r="SX303" s="30"/>
      <c r="SY303" s="30"/>
      <c r="SZ303" s="30"/>
      <c r="TA303" s="30"/>
      <c r="TB303" s="30"/>
      <c r="TC303" s="30"/>
      <c r="TD303" s="30"/>
      <c r="TE303" s="30"/>
    </row>
    <row r="304" spans="1:525" s="22" customFormat="1" ht="34.5" hidden="1" customHeight="1" x14ac:dyDescent="0.25">
      <c r="A304" s="56" t="s">
        <v>420</v>
      </c>
      <c r="B304" s="84">
        <v>7370</v>
      </c>
      <c r="C304" s="56" t="s">
        <v>81</v>
      </c>
      <c r="D304" s="57" t="s">
        <v>421</v>
      </c>
      <c r="E304" s="135">
        <f>F304+I304</f>
        <v>0</v>
      </c>
      <c r="F304" s="135"/>
      <c r="G304" s="135"/>
      <c r="H304" s="135"/>
      <c r="I304" s="135"/>
      <c r="J304" s="135">
        <f t="shared" si="153"/>
        <v>0</v>
      </c>
      <c r="K304" s="135"/>
      <c r="L304" s="135"/>
      <c r="M304" s="135"/>
      <c r="N304" s="135"/>
      <c r="O304" s="135"/>
      <c r="P304" s="135">
        <f t="shared" si="151"/>
        <v>0</v>
      </c>
      <c r="Q304" s="178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</row>
    <row r="305" spans="1:525" s="22" customFormat="1" ht="27" customHeight="1" x14ac:dyDescent="0.25">
      <c r="A305" s="56" t="s">
        <v>143</v>
      </c>
      <c r="B305" s="84" t="str">
        <f>'дод 7'!A217</f>
        <v>7640</v>
      </c>
      <c r="C305" s="84" t="str">
        <f>'дод 7'!B217</f>
        <v>0470</v>
      </c>
      <c r="D305" s="57" t="str">
        <f>'дод 7'!C217</f>
        <v>Заходи з енергозбереження, у т. ч. за рахунок:</v>
      </c>
      <c r="E305" s="135">
        <f t="shared" si="150"/>
        <v>741538</v>
      </c>
      <c r="F305" s="135">
        <v>741538</v>
      </c>
      <c r="G305" s="135"/>
      <c r="H305" s="135"/>
      <c r="I305" s="135"/>
      <c r="J305" s="135">
        <f t="shared" si="153"/>
        <v>178292536</v>
      </c>
      <c r="K305" s="135">
        <f>160322382+5315954+1759010+6900000</f>
        <v>174297346</v>
      </c>
      <c r="L305" s="137"/>
      <c r="M305" s="135"/>
      <c r="N305" s="135"/>
      <c r="O305" s="135">
        <f>160322382+3995190+5315954+1759010+6900000</f>
        <v>178292536</v>
      </c>
      <c r="P305" s="135">
        <f t="shared" si="151"/>
        <v>179034074</v>
      </c>
      <c r="Q305" s="178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</row>
    <row r="306" spans="1:525" s="24" customFormat="1" ht="17.25" customHeight="1" x14ac:dyDescent="0.25">
      <c r="A306" s="76"/>
      <c r="B306" s="97"/>
      <c r="C306" s="97"/>
      <c r="D306" s="77" t="s">
        <v>413</v>
      </c>
      <c r="E306" s="136">
        <f t="shared" si="150"/>
        <v>0</v>
      </c>
      <c r="F306" s="136"/>
      <c r="G306" s="136"/>
      <c r="H306" s="136"/>
      <c r="I306" s="136"/>
      <c r="J306" s="136">
        <f t="shared" si="153"/>
        <v>133343652</v>
      </c>
      <c r="K306" s="136">
        <v>133343652</v>
      </c>
      <c r="L306" s="139"/>
      <c r="M306" s="136"/>
      <c r="N306" s="136"/>
      <c r="O306" s="136">
        <v>133343652</v>
      </c>
      <c r="P306" s="136">
        <f t="shared" si="151"/>
        <v>133343652</v>
      </c>
      <c r="Q306" s="178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  <c r="DP306" s="30"/>
      <c r="DQ306" s="30"/>
      <c r="DR306" s="30"/>
      <c r="DS306" s="30"/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  <c r="EF306" s="30"/>
      <c r="EG306" s="30"/>
      <c r="EH306" s="30"/>
      <c r="EI306" s="30"/>
      <c r="EJ306" s="30"/>
      <c r="EK306" s="30"/>
      <c r="EL306" s="30"/>
      <c r="EM306" s="30"/>
      <c r="EN306" s="30"/>
      <c r="EO306" s="30"/>
      <c r="EP306" s="30"/>
      <c r="EQ306" s="30"/>
      <c r="ER306" s="30"/>
      <c r="ES306" s="30"/>
      <c r="ET306" s="30"/>
      <c r="EU306" s="30"/>
      <c r="EV306" s="30"/>
      <c r="EW306" s="30"/>
      <c r="EX306" s="30"/>
      <c r="EY306" s="30"/>
      <c r="EZ306" s="30"/>
      <c r="FA306" s="30"/>
      <c r="FB306" s="30"/>
      <c r="FC306" s="30"/>
      <c r="FD306" s="30"/>
      <c r="FE306" s="30"/>
      <c r="FF306" s="30"/>
      <c r="FG306" s="30"/>
      <c r="FH306" s="30"/>
      <c r="FI306" s="30"/>
      <c r="FJ306" s="30"/>
      <c r="FK306" s="30"/>
      <c r="FL306" s="30"/>
      <c r="FM306" s="30"/>
      <c r="FN306" s="30"/>
      <c r="FO306" s="30"/>
      <c r="FP306" s="30"/>
      <c r="FQ306" s="30"/>
      <c r="FR306" s="30"/>
      <c r="FS306" s="30"/>
      <c r="FT306" s="30"/>
      <c r="FU306" s="30"/>
      <c r="FV306" s="30"/>
      <c r="FW306" s="30"/>
      <c r="FX306" s="30"/>
      <c r="FY306" s="30"/>
      <c r="FZ306" s="30"/>
      <c r="GA306" s="30"/>
      <c r="GB306" s="30"/>
      <c r="GC306" s="30"/>
      <c r="GD306" s="30"/>
      <c r="GE306" s="30"/>
      <c r="GF306" s="30"/>
      <c r="GG306" s="30"/>
      <c r="GH306" s="30"/>
      <c r="GI306" s="30"/>
      <c r="GJ306" s="30"/>
      <c r="GK306" s="30"/>
      <c r="GL306" s="30"/>
      <c r="GM306" s="30"/>
      <c r="GN306" s="30"/>
      <c r="GO306" s="30"/>
      <c r="GP306" s="30"/>
      <c r="GQ306" s="30"/>
      <c r="GR306" s="30"/>
      <c r="GS306" s="30"/>
      <c r="GT306" s="30"/>
      <c r="GU306" s="30"/>
      <c r="GV306" s="30"/>
      <c r="GW306" s="30"/>
      <c r="GX306" s="30"/>
      <c r="GY306" s="30"/>
      <c r="GZ306" s="30"/>
      <c r="HA306" s="30"/>
      <c r="HB306" s="30"/>
      <c r="HC306" s="30"/>
      <c r="HD306" s="30"/>
      <c r="HE306" s="30"/>
      <c r="HF306" s="30"/>
      <c r="HG306" s="30"/>
      <c r="HH306" s="30"/>
      <c r="HI306" s="30"/>
      <c r="HJ306" s="30"/>
      <c r="HK306" s="30"/>
      <c r="HL306" s="30"/>
      <c r="HM306" s="30"/>
      <c r="HN306" s="30"/>
      <c r="HO306" s="30"/>
      <c r="HP306" s="30"/>
      <c r="HQ306" s="30"/>
      <c r="HR306" s="30"/>
      <c r="HS306" s="30"/>
      <c r="HT306" s="30"/>
      <c r="HU306" s="30"/>
      <c r="HV306" s="30"/>
      <c r="HW306" s="30"/>
      <c r="HX306" s="30"/>
      <c r="HY306" s="30"/>
      <c r="HZ306" s="30"/>
      <c r="IA306" s="30"/>
      <c r="IB306" s="30"/>
      <c r="IC306" s="30"/>
      <c r="ID306" s="30"/>
      <c r="IE306" s="30"/>
      <c r="IF306" s="30"/>
      <c r="IG306" s="30"/>
      <c r="IH306" s="30"/>
      <c r="II306" s="30"/>
      <c r="IJ306" s="30"/>
      <c r="IK306" s="30"/>
      <c r="IL306" s="30"/>
      <c r="IM306" s="30"/>
      <c r="IN306" s="30"/>
      <c r="IO306" s="30"/>
      <c r="IP306" s="30"/>
      <c r="IQ306" s="30"/>
      <c r="IR306" s="30"/>
      <c r="IS306" s="30"/>
      <c r="IT306" s="30"/>
      <c r="IU306" s="30"/>
      <c r="IV306" s="30"/>
      <c r="IW306" s="30"/>
      <c r="IX306" s="30"/>
      <c r="IY306" s="30"/>
      <c r="IZ306" s="30"/>
      <c r="JA306" s="30"/>
      <c r="JB306" s="30"/>
      <c r="JC306" s="30"/>
      <c r="JD306" s="30"/>
      <c r="JE306" s="30"/>
      <c r="JF306" s="30"/>
      <c r="JG306" s="30"/>
      <c r="JH306" s="30"/>
      <c r="JI306" s="30"/>
      <c r="JJ306" s="30"/>
      <c r="JK306" s="30"/>
      <c r="JL306" s="30"/>
      <c r="JM306" s="30"/>
      <c r="JN306" s="30"/>
      <c r="JO306" s="30"/>
      <c r="JP306" s="30"/>
      <c r="JQ306" s="30"/>
      <c r="JR306" s="30"/>
      <c r="JS306" s="30"/>
      <c r="JT306" s="30"/>
      <c r="JU306" s="30"/>
      <c r="JV306" s="30"/>
      <c r="JW306" s="30"/>
      <c r="JX306" s="30"/>
      <c r="JY306" s="30"/>
      <c r="JZ306" s="30"/>
      <c r="KA306" s="30"/>
      <c r="KB306" s="30"/>
      <c r="KC306" s="30"/>
      <c r="KD306" s="30"/>
      <c r="KE306" s="30"/>
      <c r="KF306" s="30"/>
      <c r="KG306" s="30"/>
      <c r="KH306" s="30"/>
      <c r="KI306" s="30"/>
      <c r="KJ306" s="30"/>
      <c r="KK306" s="30"/>
      <c r="KL306" s="30"/>
      <c r="KM306" s="30"/>
      <c r="KN306" s="30"/>
      <c r="KO306" s="30"/>
      <c r="KP306" s="30"/>
      <c r="KQ306" s="30"/>
      <c r="KR306" s="30"/>
      <c r="KS306" s="30"/>
      <c r="KT306" s="30"/>
      <c r="KU306" s="30"/>
      <c r="KV306" s="30"/>
      <c r="KW306" s="30"/>
      <c r="KX306" s="30"/>
      <c r="KY306" s="30"/>
      <c r="KZ306" s="30"/>
      <c r="LA306" s="30"/>
      <c r="LB306" s="30"/>
      <c r="LC306" s="30"/>
      <c r="LD306" s="30"/>
      <c r="LE306" s="30"/>
      <c r="LF306" s="30"/>
      <c r="LG306" s="30"/>
      <c r="LH306" s="30"/>
      <c r="LI306" s="30"/>
      <c r="LJ306" s="30"/>
      <c r="LK306" s="30"/>
      <c r="LL306" s="30"/>
      <c r="LM306" s="30"/>
      <c r="LN306" s="30"/>
      <c r="LO306" s="30"/>
      <c r="LP306" s="30"/>
      <c r="LQ306" s="30"/>
      <c r="LR306" s="30"/>
      <c r="LS306" s="30"/>
      <c r="LT306" s="30"/>
      <c r="LU306" s="30"/>
      <c r="LV306" s="30"/>
      <c r="LW306" s="30"/>
      <c r="LX306" s="30"/>
      <c r="LY306" s="30"/>
      <c r="LZ306" s="30"/>
      <c r="MA306" s="30"/>
      <c r="MB306" s="30"/>
      <c r="MC306" s="30"/>
      <c r="MD306" s="30"/>
      <c r="ME306" s="30"/>
      <c r="MF306" s="30"/>
      <c r="MG306" s="30"/>
      <c r="MH306" s="30"/>
      <c r="MI306" s="30"/>
      <c r="MJ306" s="30"/>
      <c r="MK306" s="30"/>
      <c r="ML306" s="30"/>
      <c r="MM306" s="30"/>
      <c r="MN306" s="30"/>
      <c r="MO306" s="30"/>
      <c r="MP306" s="30"/>
      <c r="MQ306" s="30"/>
      <c r="MR306" s="30"/>
      <c r="MS306" s="30"/>
      <c r="MT306" s="30"/>
      <c r="MU306" s="30"/>
      <c r="MV306" s="30"/>
      <c r="MW306" s="30"/>
      <c r="MX306" s="30"/>
      <c r="MY306" s="30"/>
      <c r="MZ306" s="30"/>
      <c r="NA306" s="30"/>
      <c r="NB306" s="30"/>
      <c r="NC306" s="30"/>
      <c r="ND306" s="30"/>
      <c r="NE306" s="30"/>
      <c r="NF306" s="30"/>
      <c r="NG306" s="30"/>
      <c r="NH306" s="30"/>
      <c r="NI306" s="30"/>
      <c r="NJ306" s="30"/>
      <c r="NK306" s="30"/>
      <c r="NL306" s="30"/>
      <c r="NM306" s="30"/>
      <c r="NN306" s="30"/>
      <c r="NO306" s="30"/>
      <c r="NP306" s="30"/>
      <c r="NQ306" s="30"/>
      <c r="NR306" s="30"/>
      <c r="NS306" s="30"/>
      <c r="NT306" s="30"/>
      <c r="NU306" s="30"/>
      <c r="NV306" s="30"/>
      <c r="NW306" s="30"/>
      <c r="NX306" s="30"/>
      <c r="NY306" s="30"/>
      <c r="NZ306" s="30"/>
      <c r="OA306" s="30"/>
      <c r="OB306" s="30"/>
      <c r="OC306" s="30"/>
      <c r="OD306" s="30"/>
      <c r="OE306" s="30"/>
      <c r="OF306" s="30"/>
      <c r="OG306" s="30"/>
      <c r="OH306" s="30"/>
      <c r="OI306" s="30"/>
      <c r="OJ306" s="30"/>
      <c r="OK306" s="30"/>
      <c r="OL306" s="30"/>
      <c r="OM306" s="30"/>
      <c r="ON306" s="30"/>
      <c r="OO306" s="30"/>
      <c r="OP306" s="30"/>
      <c r="OQ306" s="30"/>
      <c r="OR306" s="30"/>
      <c r="OS306" s="30"/>
      <c r="OT306" s="30"/>
      <c r="OU306" s="30"/>
      <c r="OV306" s="30"/>
      <c r="OW306" s="30"/>
      <c r="OX306" s="30"/>
      <c r="OY306" s="30"/>
      <c r="OZ306" s="30"/>
      <c r="PA306" s="30"/>
      <c r="PB306" s="30"/>
      <c r="PC306" s="30"/>
      <c r="PD306" s="30"/>
      <c r="PE306" s="30"/>
      <c r="PF306" s="30"/>
      <c r="PG306" s="30"/>
      <c r="PH306" s="30"/>
      <c r="PI306" s="30"/>
      <c r="PJ306" s="30"/>
      <c r="PK306" s="30"/>
      <c r="PL306" s="30"/>
      <c r="PM306" s="30"/>
      <c r="PN306" s="30"/>
      <c r="PO306" s="30"/>
      <c r="PP306" s="30"/>
      <c r="PQ306" s="30"/>
      <c r="PR306" s="30"/>
      <c r="PS306" s="30"/>
      <c r="PT306" s="30"/>
      <c r="PU306" s="30"/>
      <c r="PV306" s="30"/>
      <c r="PW306" s="30"/>
      <c r="PX306" s="30"/>
      <c r="PY306" s="30"/>
      <c r="PZ306" s="30"/>
      <c r="QA306" s="30"/>
      <c r="QB306" s="30"/>
      <c r="QC306" s="30"/>
      <c r="QD306" s="30"/>
      <c r="QE306" s="30"/>
      <c r="QF306" s="30"/>
      <c r="QG306" s="30"/>
      <c r="QH306" s="30"/>
      <c r="QI306" s="30"/>
      <c r="QJ306" s="30"/>
      <c r="QK306" s="30"/>
      <c r="QL306" s="30"/>
      <c r="QM306" s="30"/>
      <c r="QN306" s="30"/>
      <c r="QO306" s="30"/>
      <c r="QP306" s="30"/>
      <c r="QQ306" s="30"/>
      <c r="QR306" s="30"/>
      <c r="QS306" s="30"/>
      <c r="QT306" s="30"/>
      <c r="QU306" s="30"/>
      <c r="QV306" s="30"/>
      <c r="QW306" s="30"/>
      <c r="QX306" s="30"/>
      <c r="QY306" s="30"/>
      <c r="QZ306" s="30"/>
      <c r="RA306" s="30"/>
      <c r="RB306" s="30"/>
      <c r="RC306" s="30"/>
      <c r="RD306" s="30"/>
      <c r="RE306" s="30"/>
      <c r="RF306" s="30"/>
      <c r="RG306" s="30"/>
      <c r="RH306" s="30"/>
      <c r="RI306" s="30"/>
      <c r="RJ306" s="30"/>
      <c r="RK306" s="30"/>
      <c r="RL306" s="30"/>
      <c r="RM306" s="30"/>
      <c r="RN306" s="30"/>
      <c r="RO306" s="30"/>
      <c r="RP306" s="30"/>
      <c r="RQ306" s="30"/>
      <c r="RR306" s="30"/>
      <c r="RS306" s="30"/>
      <c r="RT306" s="30"/>
      <c r="RU306" s="30"/>
      <c r="RV306" s="30"/>
      <c r="RW306" s="30"/>
      <c r="RX306" s="30"/>
      <c r="RY306" s="30"/>
      <c r="RZ306" s="30"/>
      <c r="SA306" s="30"/>
      <c r="SB306" s="30"/>
      <c r="SC306" s="30"/>
      <c r="SD306" s="30"/>
      <c r="SE306" s="30"/>
      <c r="SF306" s="30"/>
      <c r="SG306" s="30"/>
      <c r="SH306" s="30"/>
      <c r="SI306" s="30"/>
      <c r="SJ306" s="30"/>
      <c r="SK306" s="30"/>
      <c r="SL306" s="30"/>
      <c r="SM306" s="30"/>
      <c r="SN306" s="30"/>
      <c r="SO306" s="30"/>
      <c r="SP306" s="30"/>
      <c r="SQ306" s="30"/>
      <c r="SR306" s="30"/>
      <c r="SS306" s="30"/>
      <c r="ST306" s="30"/>
      <c r="SU306" s="30"/>
      <c r="SV306" s="30"/>
      <c r="SW306" s="30"/>
      <c r="SX306" s="30"/>
      <c r="SY306" s="30"/>
      <c r="SZ306" s="30"/>
      <c r="TA306" s="30"/>
      <c r="TB306" s="30"/>
      <c r="TC306" s="30"/>
      <c r="TD306" s="30"/>
      <c r="TE306" s="30"/>
    </row>
    <row r="307" spans="1:525" s="22" customFormat="1" ht="126" hidden="1" customHeight="1" x14ac:dyDescent="0.25">
      <c r="A307" s="56" t="s">
        <v>364</v>
      </c>
      <c r="B307" s="84">
        <v>7691</v>
      </c>
      <c r="C307" s="37" t="s">
        <v>81</v>
      </c>
      <c r="D307" s="57" t="s">
        <v>309</v>
      </c>
      <c r="E307" s="135">
        <f t="shared" si="150"/>
        <v>0</v>
      </c>
      <c r="F307" s="135"/>
      <c r="G307" s="135"/>
      <c r="H307" s="135"/>
      <c r="I307" s="135"/>
      <c r="J307" s="135">
        <f t="shared" si="153"/>
        <v>0</v>
      </c>
      <c r="K307" s="135"/>
      <c r="L307" s="137"/>
      <c r="M307" s="135"/>
      <c r="N307" s="135"/>
      <c r="O307" s="135"/>
      <c r="P307" s="135">
        <f t="shared" si="151"/>
        <v>0</v>
      </c>
      <c r="Q307" s="178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</row>
    <row r="308" spans="1:525" s="22" customFormat="1" ht="31.5" hidden="1" customHeight="1" x14ac:dyDescent="0.25">
      <c r="A308" s="56" t="s">
        <v>507</v>
      </c>
      <c r="B308" s="84">
        <v>9750</v>
      </c>
      <c r="C308" s="56" t="s">
        <v>44</v>
      </c>
      <c r="D308" s="57" t="s">
        <v>508</v>
      </c>
      <c r="E308" s="135">
        <f t="shared" ref="E308" si="158">F308+I308</f>
        <v>0</v>
      </c>
      <c r="F308" s="135"/>
      <c r="G308" s="135"/>
      <c r="H308" s="135"/>
      <c r="I308" s="135"/>
      <c r="J308" s="135">
        <f t="shared" ref="J308" si="159">L308+O308</f>
        <v>0</v>
      </c>
      <c r="K308" s="135"/>
      <c r="L308" s="137"/>
      <c r="M308" s="135"/>
      <c r="N308" s="135"/>
      <c r="O308" s="135"/>
      <c r="P308" s="135">
        <f t="shared" ref="P308" si="160">E308+J308</f>
        <v>0</v>
      </c>
      <c r="Q308" s="178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</row>
    <row r="309" spans="1:525" s="27" customFormat="1" ht="33.75" customHeight="1" x14ac:dyDescent="0.25">
      <c r="A309" s="96" t="s">
        <v>204</v>
      </c>
      <c r="B309" s="98"/>
      <c r="C309" s="98"/>
      <c r="D309" s="93" t="s">
        <v>39</v>
      </c>
      <c r="E309" s="133">
        <f>E310</f>
        <v>12732400</v>
      </c>
      <c r="F309" s="133">
        <f t="shared" ref="F309:J309" si="161">F310</f>
        <v>9582400</v>
      </c>
      <c r="G309" s="133">
        <f t="shared" si="161"/>
        <v>7116800</v>
      </c>
      <c r="H309" s="133">
        <f t="shared" si="161"/>
        <v>164400</v>
      </c>
      <c r="I309" s="133">
        <f t="shared" si="161"/>
        <v>3150000</v>
      </c>
      <c r="J309" s="133">
        <f t="shared" si="161"/>
        <v>937482</v>
      </c>
      <c r="K309" s="133">
        <f t="shared" ref="K309" si="162">K310</f>
        <v>0</v>
      </c>
      <c r="L309" s="133">
        <f t="shared" ref="L309" si="163">L310</f>
        <v>937482</v>
      </c>
      <c r="M309" s="133">
        <f t="shared" ref="M309" si="164">M310</f>
        <v>0</v>
      </c>
      <c r="N309" s="133">
        <f t="shared" ref="N309" si="165">N310</f>
        <v>0</v>
      </c>
      <c r="O309" s="133">
        <f t="shared" ref="O309:P309" si="166">O310</f>
        <v>0</v>
      </c>
      <c r="P309" s="133">
        <f t="shared" si="166"/>
        <v>13669882</v>
      </c>
      <c r="Q309" s="178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  <c r="IM309" s="32"/>
      <c r="IN309" s="32"/>
      <c r="IO309" s="32"/>
      <c r="IP309" s="32"/>
      <c r="IQ309" s="32"/>
      <c r="IR309" s="32"/>
      <c r="IS309" s="32"/>
      <c r="IT309" s="32"/>
      <c r="IU309" s="32"/>
      <c r="IV309" s="32"/>
      <c r="IW309" s="32"/>
      <c r="IX309" s="32"/>
      <c r="IY309" s="32"/>
      <c r="IZ309" s="32"/>
      <c r="JA309" s="32"/>
      <c r="JB309" s="32"/>
      <c r="JC309" s="32"/>
      <c r="JD309" s="32"/>
      <c r="JE309" s="32"/>
      <c r="JF309" s="32"/>
      <c r="JG309" s="32"/>
      <c r="JH309" s="32"/>
      <c r="JI309" s="32"/>
      <c r="JJ309" s="32"/>
      <c r="JK309" s="32"/>
      <c r="JL309" s="32"/>
      <c r="JM309" s="32"/>
      <c r="JN309" s="32"/>
      <c r="JO309" s="32"/>
      <c r="JP309" s="32"/>
      <c r="JQ309" s="32"/>
      <c r="JR309" s="32"/>
      <c r="JS309" s="32"/>
      <c r="JT309" s="32"/>
      <c r="JU309" s="32"/>
      <c r="JV309" s="32"/>
      <c r="JW309" s="32"/>
      <c r="JX309" s="32"/>
      <c r="JY309" s="32"/>
      <c r="JZ309" s="32"/>
      <c r="KA309" s="32"/>
      <c r="KB309" s="32"/>
      <c r="KC309" s="32"/>
      <c r="KD309" s="32"/>
      <c r="KE309" s="32"/>
      <c r="KF309" s="32"/>
      <c r="KG309" s="32"/>
      <c r="KH309" s="32"/>
      <c r="KI309" s="32"/>
      <c r="KJ309" s="32"/>
      <c r="KK309" s="32"/>
      <c r="KL309" s="32"/>
      <c r="KM309" s="32"/>
      <c r="KN309" s="32"/>
      <c r="KO309" s="32"/>
      <c r="KP309" s="32"/>
      <c r="KQ309" s="32"/>
      <c r="KR309" s="32"/>
      <c r="KS309" s="32"/>
      <c r="KT309" s="32"/>
      <c r="KU309" s="32"/>
      <c r="KV309" s="32"/>
      <c r="KW309" s="32"/>
      <c r="KX309" s="32"/>
      <c r="KY309" s="32"/>
      <c r="KZ309" s="32"/>
      <c r="LA309" s="32"/>
      <c r="LB309" s="32"/>
      <c r="LC309" s="32"/>
      <c r="LD309" s="32"/>
      <c r="LE309" s="32"/>
      <c r="LF309" s="32"/>
      <c r="LG309" s="32"/>
      <c r="LH309" s="32"/>
      <c r="LI309" s="32"/>
      <c r="LJ309" s="32"/>
      <c r="LK309" s="32"/>
      <c r="LL309" s="32"/>
      <c r="LM309" s="32"/>
      <c r="LN309" s="32"/>
      <c r="LO309" s="32"/>
      <c r="LP309" s="32"/>
      <c r="LQ309" s="32"/>
      <c r="LR309" s="32"/>
      <c r="LS309" s="32"/>
      <c r="LT309" s="32"/>
      <c r="LU309" s="32"/>
      <c r="LV309" s="32"/>
      <c r="LW309" s="32"/>
      <c r="LX309" s="32"/>
      <c r="LY309" s="32"/>
      <c r="LZ309" s="32"/>
      <c r="MA309" s="32"/>
      <c r="MB309" s="32"/>
      <c r="MC309" s="32"/>
      <c r="MD309" s="32"/>
      <c r="ME309" s="32"/>
      <c r="MF309" s="32"/>
      <c r="MG309" s="32"/>
      <c r="MH309" s="32"/>
      <c r="MI309" s="32"/>
      <c r="MJ309" s="32"/>
      <c r="MK309" s="32"/>
      <c r="ML309" s="32"/>
      <c r="MM309" s="32"/>
      <c r="MN309" s="32"/>
      <c r="MO309" s="32"/>
      <c r="MP309" s="32"/>
      <c r="MQ309" s="32"/>
      <c r="MR309" s="32"/>
      <c r="MS309" s="32"/>
      <c r="MT309" s="32"/>
      <c r="MU309" s="32"/>
      <c r="MV309" s="32"/>
      <c r="MW309" s="32"/>
      <c r="MX309" s="32"/>
      <c r="MY309" s="32"/>
      <c r="MZ309" s="32"/>
      <c r="NA309" s="32"/>
      <c r="NB309" s="32"/>
      <c r="NC309" s="32"/>
      <c r="ND309" s="32"/>
      <c r="NE309" s="32"/>
      <c r="NF309" s="32"/>
      <c r="NG309" s="32"/>
      <c r="NH309" s="32"/>
      <c r="NI309" s="32"/>
      <c r="NJ309" s="32"/>
      <c r="NK309" s="32"/>
      <c r="NL309" s="32"/>
      <c r="NM309" s="32"/>
      <c r="NN309" s="32"/>
      <c r="NO309" s="32"/>
      <c r="NP309" s="32"/>
      <c r="NQ309" s="32"/>
      <c r="NR309" s="32"/>
      <c r="NS309" s="32"/>
      <c r="NT309" s="32"/>
      <c r="NU309" s="32"/>
      <c r="NV309" s="32"/>
      <c r="NW309" s="32"/>
      <c r="NX309" s="32"/>
      <c r="NY309" s="32"/>
      <c r="NZ309" s="32"/>
      <c r="OA309" s="32"/>
      <c r="OB309" s="32"/>
      <c r="OC309" s="32"/>
      <c r="OD309" s="32"/>
      <c r="OE309" s="32"/>
      <c r="OF309" s="32"/>
      <c r="OG309" s="32"/>
      <c r="OH309" s="32"/>
      <c r="OI309" s="32"/>
      <c r="OJ309" s="32"/>
      <c r="OK309" s="32"/>
      <c r="OL309" s="32"/>
      <c r="OM309" s="32"/>
      <c r="ON309" s="32"/>
      <c r="OO309" s="32"/>
      <c r="OP309" s="32"/>
      <c r="OQ309" s="32"/>
      <c r="OR309" s="32"/>
      <c r="OS309" s="32"/>
      <c r="OT309" s="32"/>
      <c r="OU309" s="32"/>
      <c r="OV309" s="32"/>
      <c r="OW309" s="32"/>
      <c r="OX309" s="32"/>
      <c r="OY309" s="32"/>
      <c r="OZ309" s="32"/>
      <c r="PA309" s="32"/>
      <c r="PB309" s="32"/>
      <c r="PC309" s="32"/>
      <c r="PD309" s="32"/>
      <c r="PE309" s="32"/>
      <c r="PF309" s="32"/>
      <c r="PG309" s="32"/>
      <c r="PH309" s="32"/>
      <c r="PI309" s="32"/>
      <c r="PJ309" s="32"/>
      <c r="PK309" s="32"/>
      <c r="PL309" s="32"/>
      <c r="PM309" s="32"/>
      <c r="PN309" s="32"/>
      <c r="PO309" s="32"/>
      <c r="PP309" s="32"/>
      <c r="PQ309" s="32"/>
      <c r="PR309" s="32"/>
      <c r="PS309" s="32"/>
      <c r="PT309" s="32"/>
      <c r="PU309" s="32"/>
      <c r="PV309" s="32"/>
      <c r="PW309" s="32"/>
      <c r="PX309" s="32"/>
      <c r="PY309" s="32"/>
      <c r="PZ309" s="32"/>
      <c r="QA309" s="32"/>
      <c r="QB309" s="32"/>
      <c r="QC309" s="32"/>
      <c r="QD309" s="32"/>
      <c r="QE309" s="32"/>
      <c r="QF309" s="32"/>
      <c r="QG309" s="32"/>
      <c r="QH309" s="32"/>
      <c r="QI309" s="32"/>
      <c r="QJ309" s="32"/>
      <c r="QK309" s="32"/>
      <c r="QL309" s="32"/>
      <c r="QM309" s="32"/>
      <c r="QN309" s="32"/>
      <c r="QO309" s="32"/>
      <c r="QP309" s="32"/>
      <c r="QQ309" s="32"/>
      <c r="QR309" s="32"/>
      <c r="QS309" s="32"/>
      <c r="QT309" s="32"/>
      <c r="QU309" s="32"/>
      <c r="QV309" s="32"/>
      <c r="QW309" s="32"/>
      <c r="QX309" s="32"/>
      <c r="QY309" s="32"/>
      <c r="QZ309" s="32"/>
      <c r="RA309" s="32"/>
      <c r="RB309" s="32"/>
      <c r="RC309" s="32"/>
      <c r="RD309" s="32"/>
      <c r="RE309" s="32"/>
      <c r="RF309" s="32"/>
      <c r="RG309" s="32"/>
      <c r="RH309" s="32"/>
      <c r="RI309" s="32"/>
      <c r="RJ309" s="32"/>
      <c r="RK309" s="32"/>
      <c r="RL309" s="32"/>
      <c r="RM309" s="32"/>
      <c r="RN309" s="32"/>
      <c r="RO309" s="32"/>
      <c r="RP309" s="32"/>
      <c r="RQ309" s="32"/>
      <c r="RR309" s="32"/>
      <c r="RS309" s="32"/>
      <c r="RT309" s="32"/>
      <c r="RU309" s="32"/>
      <c r="RV309" s="32"/>
      <c r="RW309" s="32"/>
      <c r="RX309" s="32"/>
      <c r="RY309" s="32"/>
      <c r="RZ309" s="32"/>
      <c r="SA309" s="32"/>
      <c r="SB309" s="32"/>
      <c r="SC309" s="32"/>
      <c r="SD309" s="32"/>
      <c r="SE309" s="32"/>
      <c r="SF309" s="32"/>
      <c r="SG309" s="32"/>
      <c r="SH309" s="32"/>
      <c r="SI309" s="32"/>
      <c r="SJ309" s="32"/>
      <c r="SK309" s="32"/>
      <c r="SL309" s="32"/>
      <c r="SM309" s="32"/>
      <c r="SN309" s="32"/>
      <c r="SO309" s="32"/>
      <c r="SP309" s="32"/>
      <c r="SQ309" s="32"/>
      <c r="SR309" s="32"/>
      <c r="SS309" s="32"/>
      <c r="ST309" s="32"/>
      <c r="SU309" s="32"/>
      <c r="SV309" s="32"/>
      <c r="SW309" s="32"/>
      <c r="SX309" s="32"/>
      <c r="SY309" s="32"/>
      <c r="SZ309" s="32"/>
      <c r="TA309" s="32"/>
      <c r="TB309" s="32"/>
      <c r="TC309" s="32"/>
      <c r="TD309" s="32"/>
      <c r="TE309" s="32"/>
    </row>
    <row r="310" spans="1:525" s="34" customFormat="1" ht="35.25" customHeight="1" x14ac:dyDescent="0.25">
      <c r="A310" s="86" t="s">
        <v>205</v>
      </c>
      <c r="B310" s="95"/>
      <c r="C310" s="95"/>
      <c r="D310" s="70" t="s">
        <v>39</v>
      </c>
      <c r="E310" s="134">
        <f>E311+E312+E314+E315+E316+E313</f>
        <v>12732400</v>
      </c>
      <c r="F310" s="134">
        <f t="shared" ref="F310:P310" si="167">F311+F312+F314+F315+F316+F313</f>
        <v>9582400</v>
      </c>
      <c r="G310" s="134">
        <f t="shared" si="167"/>
        <v>7116800</v>
      </c>
      <c r="H310" s="134">
        <f t="shared" si="167"/>
        <v>164400</v>
      </c>
      <c r="I310" s="134">
        <f t="shared" si="167"/>
        <v>3150000</v>
      </c>
      <c r="J310" s="134">
        <f t="shared" si="167"/>
        <v>937482</v>
      </c>
      <c r="K310" s="134">
        <f t="shared" si="167"/>
        <v>0</v>
      </c>
      <c r="L310" s="134">
        <f t="shared" si="167"/>
        <v>937482</v>
      </c>
      <c r="M310" s="134">
        <f t="shared" si="167"/>
        <v>0</v>
      </c>
      <c r="N310" s="134">
        <f t="shared" si="167"/>
        <v>0</v>
      </c>
      <c r="O310" s="134">
        <f t="shared" si="167"/>
        <v>0</v>
      </c>
      <c r="P310" s="134">
        <f t="shared" si="167"/>
        <v>13669882</v>
      </c>
      <c r="Q310" s="178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  <c r="DB310" s="33"/>
      <c r="DC310" s="33"/>
      <c r="DD310" s="33"/>
      <c r="DE310" s="33"/>
      <c r="DF310" s="33"/>
      <c r="DG310" s="33"/>
      <c r="DH310" s="33"/>
      <c r="DI310" s="33"/>
      <c r="DJ310" s="33"/>
      <c r="DK310" s="33"/>
      <c r="DL310" s="33"/>
      <c r="DM310" s="33"/>
      <c r="DN310" s="33"/>
      <c r="DO310" s="33"/>
      <c r="DP310" s="33"/>
      <c r="DQ310" s="33"/>
      <c r="DR310" s="33"/>
      <c r="DS310" s="33"/>
      <c r="DT310" s="33"/>
      <c r="DU310" s="33"/>
      <c r="DV310" s="33"/>
      <c r="DW310" s="33"/>
      <c r="DX310" s="33"/>
      <c r="DY310" s="33"/>
      <c r="DZ310" s="33"/>
      <c r="EA310" s="33"/>
      <c r="EB310" s="33"/>
      <c r="EC310" s="33"/>
      <c r="ED310" s="33"/>
      <c r="EE310" s="33"/>
      <c r="EF310" s="33"/>
      <c r="EG310" s="33"/>
      <c r="EH310" s="33"/>
      <c r="EI310" s="33"/>
      <c r="EJ310" s="33"/>
      <c r="EK310" s="33"/>
      <c r="EL310" s="33"/>
      <c r="EM310" s="33"/>
      <c r="EN310" s="33"/>
      <c r="EO310" s="33"/>
      <c r="EP310" s="33"/>
      <c r="EQ310" s="33"/>
      <c r="ER310" s="33"/>
      <c r="ES310" s="33"/>
      <c r="ET310" s="33"/>
      <c r="EU310" s="33"/>
      <c r="EV310" s="33"/>
      <c r="EW310" s="33"/>
      <c r="EX310" s="33"/>
      <c r="EY310" s="33"/>
      <c r="EZ310" s="33"/>
      <c r="FA310" s="33"/>
      <c r="FB310" s="33"/>
      <c r="FC310" s="33"/>
      <c r="FD310" s="33"/>
      <c r="FE310" s="33"/>
      <c r="FF310" s="33"/>
      <c r="FG310" s="33"/>
      <c r="FH310" s="33"/>
      <c r="FI310" s="33"/>
      <c r="FJ310" s="33"/>
      <c r="FK310" s="33"/>
      <c r="FL310" s="33"/>
      <c r="FM310" s="33"/>
      <c r="FN310" s="33"/>
      <c r="FO310" s="33"/>
      <c r="FP310" s="33"/>
      <c r="FQ310" s="33"/>
      <c r="FR310" s="33"/>
      <c r="FS310" s="33"/>
      <c r="FT310" s="33"/>
      <c r="FU310" s="33"/>
      <c r="FV310" s="33"/>
      <c r="FW310" s="33"/>
      <c r="FX310" s="33"/>
      <c r="FY310" s="33"/>
      <c r="FZ310" s="33"/>
      <c r="GA310" s="33"/>
      <c r="GB310" s="33"/>
      <c r="GC310" s="33"/>
      <c r="GD310" s="33"/>
      <c r="GE310" s="33"/>
      <c r="GF310" s="33"/>
      <c r="GG310" s="33"/>
      <c r="GH310" s="33"/>
      <c r="GI310" s="33"/>
      <c r="GJ310" s="33"/>
      <c r="GK310" s="33"/>
      <c r="GL310" s="33"/>
      <c r="GM310" s="33"/>
      <c r="GN310" s="33"/>
      <c r="GO310" s="33"/>
      <c r="GP310" s="33"/>
      <c r="GQ310" s="33"/>
      <c r="GR310" s="33"/>
      <c r="GS310" s="33"/>
      <c r="GT310" s="33"/>
      <c r="GU310" s="33"/>
      <c r="GV310" s="33"/>
      <c r="GW310" s="33"/>
      <c r="GX310" s="33"/>
      <c r="GY310" s="33"/>
      <c r="GZ310" s="33"/>
      <c r="HA310" s="33"/>
      <c r="HB310" s="33"/>
      <c r="HC310" s="33"/>
      <c r="HD310" s="33"/>
      <c r="HE310" s="33"/>
      <c r="HF310" s="33"/>
      <c r="HG310" s="33"/>
      <c r="HH310" s="33"/>
      <c r="HI310" s="33"/>
      <c r="HJ310" s="33"/>
      <c r="HK310" s="33"/>
      <c r="HL310" s="33"/>
      <c r="HM310" s="33"/>
      <c r="HN310" s="33"/>
      <c r="HO310" s="33"/>
      <c r="HP310" s="33"/>
      <c r="HQ310" s="33"/>
      <c r="HR310" s="33"/>
      <c r="HS310" s="33"/>
      <c r="HT310" s="33"/>
      <c r="HU310" s="33"/>
      <c r="HV310" s="33"/>
      <c r="HW310" s="33"/>
      <c r="HX310" s="33"/>
      <c r="HY310" s="33"/>
      <c r="HZ310" s="33"/>
      <c r="IA310" s="33"/>
      <c r="IB310" s="33"/>
      <c r="IC310" s="33"/>
      <c r="ID310" s="33"/>
      <c r="IE310" s="33"/>
      <c r="IF310" s="33"/>
      <c r="IG310" s="33"/>
      <c r="IH310" s="33"/>
      <c r="II310" s="33"/>
      <c r="IJ310" s="33"/>
      <c r="IK310" s="33"/>
      <c r="IL310" s="33"/>
      <c r="IM310" s="33"/>
      <c r="IN310" s="33"/>
      <c r="IO310" s="33"/>
      <c r="IP310" s="33"/>
      <c r="IQ310" s="33"/>
      <c r="IR310" s="33"/>
      <c r="IS310" s="33"/>
      <c r="IT310" s="33"/>
      <c r="IU310" s="33"/>
      <c r="IV310" s="33"/>
      <c r="IW310" s="33"/>
      <c r="IX310" s="33"/>
      <c r="IY310" s="33"/>
      <c r="IZ310" s="33"/>
      <c r="JA310" s="33"/>
      <c r="JB310" s="33"/>
      <c r="JC310" s="33"/>
      <c r="JD310" s="33"/>
      <c r="JE310" s="33"/>
      <c r="JF310" s="33"/>
      <c r="JG310" s="33"/>
      <c r="JH310" s="33"/>
      <c r="JI310" s="33"/>
      <c r="JJ310" s="33"/>
      <c r="JK310" s="33"/>
      <c r="JL310" s="33"/>
      <c r="JM310" s="33"/>
      <c r="JN310" s="33"/>
      <c r="JO310" s="33"/>
      <c r="JP310" s="33"/>
      <c r="JQ310" s="33"/>
      <c r="JR310" s="33"/>
      <c r="JS310" s="33"/>
      <c r="JT310" s="33"/>
      <c r="JU310" s="33"/>
      <c r="JV310" s="33"/>
      <c r="JW310" s="33"/>
      <c r="JX310" s="33"/>
      <c r="JY310" s="33"/>
      <c r="JZ310" s="33"/>
      <c r="KA310" s="33"/>
      <c r="KB310" s="33"/>
      <c r="KC310" s="33"/>
      <c r="KD310" s="33"/>
      <c r="KE310" s="33"/>
      <c r="KF310" s="33"/>
      <c r="KG310" s="33"/>
      <c r="KH310" s="33"/>
      <c r="KI310" s="33"/>
      <c r="KJ310" s="33"/>
      <c r="KK310" s="33"/>
      <c r="KL310" s="33"/>
      <c r="KM310" s="33"/>
      <c r="KN310" s="33"/>
      <c r="KO310" s="33"/>
      <c r="KP310" s="33"/>
      <c r="KQ310" s="33"/>
      <c r="KR310" s="33"/>
      <c r="KS310" s="33"/>
      <c r="KT310" s="33"/>
      <c r="KU310" s="33"/>
      <c r="KV310" s="33"/>
      <c r="KW310" s="33"/>
      <c r="KX310" s="33"/>
      <c r="KY310" s="33"/>
      <c r="KZ310" s="33"/>
      <c r="LA310" s="33"/>
      <c r="LB310" s="33"/>
      <c r="LC310" s="33"/>
      <c r="LD310" s="33"/>
      <c r="LE310" s="33"/>
      <c r="LF310" s="33"/>
      <c r="LG310" s="33"/>
      <c r="LH310" s="33"/>
      <c r="LI310" s="33"/>
      <c r="LJ310" s="33"/>
      <c r="LK310" s="33"/>
      <c r="LL310" s="33"/>
      <c r="LM310" s="33"/>
      <c r="LN310" s="33"/>
      <c r="LO310" s="33"/>
      <c r="LP310" s="33"/>
      <c r="LQ310" s="33"/>
      <c r="LR310" s="33"/>
      <c r="LS310" s="33"/>
      <c r="LT310" s="33"/>
      <c r="LU310" s="33"/>
      <c r="LV310" s="33"/>
      <c r="LW310" s="33"/>
      <c r="LX310" s="33"/>
      <c r="LY310" s="33"/>
      <c r="LZ310" s="33"/>
      <c r="MA310" s="33"/>
      <c r="MB310" s="33"/>
      <c r="MC310" s="33"/>
      <c r="MD310" s="33"/>
      <c r="ME310" s="33"/>
      <c r="MF310" s="33"/>
      <c r="MG310" s="33"/>
      <c r="MH310" s="33"/>
      <c r="MI310" s="33"/>
      <c r="MJ310" s="33"/>
      <c r="MK310" s="33"/>
      <c r="ML310" s="33"/>
      <c r="MM310" s="33"/>
      <c r="MN310" s="33"/>
      <c r="MO310" s="33"/>
      <c r="MP310" s="33"/>
      <c r="MQ310" s="33"/>
      <c r="MR310" s="33"/>
      <c r="MS310" s="33"/>
      <c r="MT310" s="33"/>
      <c r="MU310" s="33"/>
      <c r="MV310" s="33"/>
      <c r="MW310" s="33"/>
      <c r="MX310" s="33"/>
      <c r="MY310" s="33"/>
      <c r="MZ310" s="33"/>
      <c r="NA310" s="33"/>
      <c r="NB310" s="33"/>
      <c r="NC310" s="33"/>
      <c r="ND310" s="33"/>
      <c r="NE310" s="33"/>
      <c r="NF310" s="33"/>
      <c r="NG310" s="33"/>
      <c r="NH310" s="33"/>
      <c r="NI310" s="33"/>
      <c r="NJ310" s="33"/>
      <c r="NK310" s="33"/>
      <c r="NL310" s="33"/>
      <c r="NM310" s="33"/>
      <c r="NN310" s="33"/>
      <c r="NO310" s="33"/>
      <c r="NP310" s="33"/>
      <c r="NQ310" s="33"/>
      <c r="NR310" s="33"/>
      <c r="NS310" s="33"/>
      <c r="NT310" s="33"/>
      <c r="NU310" s="33"/>
      <c r="NV310" s="33"/>
      <c r="NW310" s="33"/>
      <c r="NX310" s="33"/>
      <c r="NY310" s="33"/>
      <c r="NZ310" s="33"/>
      <c r="OA310" s="33"/>
      <c r="OB310" s="33"/>
      <c r="OC310" s="33"/>
      <c r="OD310" s="33"/>
      <c r="OE310" s="33"/>
      <c r="OF310" s="33"/>
      <c r="OG310" s="33"/>
      <c r="OH310" s="33"/>
      <c r="OI310" s="33"/>
      <c r="OJ310" s="33"/>
      <c r="OK310" s="33"/>
      <c r="OL310" s="33"/>
      <c r="OM310" s="33"/>
      <c r="ON310" s="33"/>
      <c r="OO310" s="33"/>
      <c r="OP310" s="33"/>
      <c r="OQ310" s="33"/>
      <c r="OR310" s="33"/>
      <c r="OS310" s="33"/>
      <c r="OT310" s="33"/>
      <c r="OU310" s="33"/>
      <c r="OV310" s="33"/>
      <c r="OW310" s="33"/>
      <c r="OX310" s="33"/>
      <c r="OY310" s="33"/>
      <c r="OZ310" s="33"/>
      <c r="PA310" s="33"/>
      <c r="PB310" s="33"/>
      <c r="PC310" s="33"/>
      <c r="PD310" s="33"/>
      <c r="PE310" s="33"/>
      <c r="PF310" s="33"/>
      <c r="PG310" s="33"/>
      <c r="PH310" s="33"/>
      <c r="PI310" s="33"/>
      <c r="PJ310" s="33"/>
      <c r="PK310" s="33"/>
      <c r="PL310" s="33"/>
      <c r="PM310" s="33"/>
      <c r="PN310" s="33"/>
      <c r="PO310" s="33"/>
      <c r="PP310" s="33"/>
      <c r="PQ310" s="33"/>
      <c r="PR310" s="33"/>
      <c r="PS310" s="33"/>
      <c r="PT310" s="33"/>
      <c r="PU310" s="33"/>
      <c r="PV310" s="33"/>
      <c r="PW310" s="33"/>
      <c r="PX310" s="33"/>
      <c r="PY310" s="33"/>
      <c r="PZ310" s="33"/>
      <c r="QA310" s="33"/>
      <c r="QB310" s="33"/>
      <c r="QC310" s="33"/>
      <c r="QD310" s="33"/>
      <c r="QE310" s="33"/>
      <c r="QF310" s="33"/>
      <c r="QG310" s="33"/>
      <c r="QH310" s="33"/>
      <c r="QI310" s="33"/>
      <c r="QJ310" s="33"/>
      <c r="QK310" s="33"/>
      <c r="QL310" s="33"/>
      <c r="QM310" s="33"/>
      <c r="QN310" s="33"/>
      <c r="QO310" s="33"/>
      <c r="QP310" s="33"/>
      <c r="QQ310" s="33"/>
      <c r="QR310" s="33"/>
      <c r="QS310" s="33"/>
      <c r="QT310" s="33"/>
      <c r="QU310" s="33"/>
      <c r="QV310" s="33"/>
      <c r="QW310" s="33"/>
      <c r="QX310" s="33"/>
      <c r="QY310" s="33"/>
      <c r="QZ310" s="33"/>
      <c r="RA310" s="33"/>
      <c r="RB310" s="33"/>
      <c r="RC310" s="33"/>
      <c r="RD310" s="33"/>
      <c r="RE310" s="33"/>
      <c r="RF310" s="33"/>
      <c r="RG310" s="33"/>
      <c r="RH310" s="33"/>
      <c r="RI310" s="33"/>
      <c r="RJ310" s="33"/>
      <c r="RK310" s="33"/>
      <c r="RL310" s="33"/>
      <c r="RM310" s="33"/>
      <c r="RN310" s="33"/>
      <c r="RO310" s="33"/>
      <c r="RP310" s="33"/>
      <c r="RQ310" s="33"/>
      <c r="RR310" s="33"/>
      <c r="RS310" s="33"/>
      <c r="RT310" s="33"/>
      <c r="RU310" s="33"/>
      <c r="RV310" s="33"/>
      <c r="RW310" s="33"/>
      <c r="RX310" s="33"/>
      <c r="RY310" s="33"/>
      <c r="RZ310" s="33"/>
      <c r="SA310" s="33"/>
      <c r="SB310" s="33"/>
      <c r="SC310" s="33"/>
      <c r="SD310" s="33"/>
      <c r="SE310" s="33"/>
      <c r="SF310" s="33"/>
      <c r="SG310" s="33"/>
      <c r="SH310" s="33"/>
      <c r="SI310" s="33"/>
      <c r="SJ310" s="33"/>
      <c r="SK310" s="33"/>
      <c r="SL310" s="33"/>
      <c r="SM310" s="33"/>
      <c r="SN310" s="33"/>
      <c r="SO310" s="33"/>
      <c r="SP310" s="33"/>
      <c r="SQ310" s="33"/>
      <c r="SR310" s="33"/>
      <c r="SS310" s="33"/>
      <c r="ST310" s="33"/>
      <c r="SU310" s="33"/>
      <c r="SV310" s="33"/>
      <c r="SW310" s="33"/>
      <c r="SX310" s="33"/>
      <c r="SY310" s="33"/>
      <c r="SZ310" s="33"/>
      <c r="TA310" s="33"/>
      <c r="TB310" s="33"/>
      <c r="TC310" s="33"/>
      <c r="TD310" s="33"/>
      <c r="TE310" s="33"/>
    </row>
    <row r="311" spans="1:525" s="22" customFormat="1" ht="47.25" x14ac:dyDescent="0.25">
      <c r="A311" s="56" t="s">
        <v>206</v>
      </c>
      <c r="B311" s="84" t="str">
        <f>'дод 7'!A14</f>
        <v>0160</v>
      </c>
      <c r="C311" s="84" t="str">
        <f>'дод 7'!B14</f>
        <v>0111</v>
      </c>
      <c r="D311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311" s="135">
        <f t="shared" ref="E311:E316" si="168">F311+I311</f>
        <v>9199900</v>
      </c>
      <c r="F311" s="135">
        <f>9916700-716800</f>
        <v>9199900</v>
      </c>
      <c r="G311" s="135">
        <f>7704300-587500</f>
        <v>7116800</v>
      </c>
      <c r="H311" s="135">
        <v>164400</v>
      </c>
      <c r="I311" s="135"/>
      <c r="J311" s="135">
        <f t="shared" si="153"/>
        <v>0</v>
      </c>
      <c r="K311" s="135"/>
      <c r="L311" s="135"/>
      <c r="M311" s="135"/>
      <c r="N311" s="135"/>
      <c r="O311" s="135"/>
      <c r="P311" s="135">
        <f t="shared" ref="P311:P316" si="169">E311+J311</f>
        <v>9199900</v>
      </c>
      <c r="Q311" s="178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</row>
    <row r="312" spans="1:525" s="22" customFormat="1" ht="31.5" x14ac:dyDescent="0.25">
      <c r="A312" s="56" t="s">
        <v>306</v>
      </c>
      <c r="B312" s="84" t="str">
        <f>'дод 7'!A168</f>
        <v>6090</v>
      </c>
      <c r="C312" s="84" t="str">
        <f>'дод 7'!B168</f>
        <v>0640</v>
      </c>
      <c r="D312" s="57" t="str">
        <f>'дод 7'!C168</f>
        <v>Інша діяльність у сфері житлово-комунального господарства</v>
      </c>
      <c r="E312" s="135">
        <f t="shared" si="168"/>
        <v>135000</v>
      </c>
      <c r="F312" s="135">
        <v>135000</v>
      </c>
      <c r="G312" s="135"/>
      <c r="H312" s="135"/>
      <c r="I312" s="135"/>
      <c r="J312" s="135">
        <f t="shared" si="153"/>
        <v>0</v>
      </c>
      <c r="K312" s="135"/>
      <c r="L312" s="135"/>
      <c r="M312" s="135"/>
      <c r="N312" s="135"/>
      <c r="O312" s="135"/>
      <c r="P312" s="135">
        <f t="shared" si="169"/>
        <v>135000</v>
      </c>
      <c r="Q312" s="178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</row>
    <row r="313" spans="1:525" s="22" customFormat="1" ht="31.5" x14ac:dyDescent="0.25">
      <c r="A313" s="56" t="s">
        <v>583</v>
      </c>
      <c r="B313" s="84">
        <v>7340</v>
      </c>
      <c r="C313" s="56" t="s">
        <v>110</v>
      </c>
      <c r="D313" s="57" t="str">
        <f>'дод 7'!C187</f>
        <v>Проектування, реставрація та охорона пам'яток архітектури</v>
      </c>
      <c r="E313" s="135">
        <f t="shared" si="168"/>
        <v>247500</v>
      </c>
      <c r="F313" s="135">
        <v>247500</v>
      </c>
      <c r="G313" s="135"/>
      <c r="H313" s="135"/>
      <c r="I313" s="135"/>
      <c r="J313" s="135">
        <f t="shared" si="153"/>
        <v>0</v>
      </c>
      <c r="K313" s="135"/>
      <c r="L313" s="135"/>
      <c r="M313" s="135"/>
      <c r="N313" s="135"/>
      <c r="O313" s="135"/>
      <c r="P313" s="135">
        <f t="shared" si="169"/>
        <v>247500</v>
      </c>
      <c r="Q313" s="178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</row>
    <row r="314" spans="1:525" s="22" customFormat="1" ht="31.5" hidden="1" customHeight="1" x14ac:dyDescent="0.25">
      <c r="A314" s="56" t="s">
        <v>445</v>
      </c>
      <c r="B314" s="56" t="s">
        <v>446</v>
      </c>
      <c r="C314" s="56" t="s">
        <v>110</v>
      </c>
      <c r="D314" s="57" t="s">
        <v>447</v>
      </c>
      <c r="E314" s="135">
        <f t="shared" si="168"/>
        <v>0</v>
      </c>
      <c r="F314" s="135"/>
      <c r="G314" s="135"/>
      <c r="H314" s="135"/>
      <c r="I314" s="135"/>
      <c r="J314" s="135">
        <f t="shared" si="153"/>
        <v>0</v>
      </c>
      <c r="K314" s="135">
        <f>900000-900000</f>
        <v>0</v>
      </c>
      <c r="L314" s="135"/>
      <c r="M314" s="135"/>
      <c r="N314" s="135"/>
      <c r="O314" s="135">
        <f>900000-900000</f>
        <v>0</v>
      </c>
      <c r="P314" s="135">
        <f t="shared" si="169"/>
        <v>0</v>
      </c>
      <c r="Q314" s="178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</row>
    <row r="315" spans="1:525" s="22" customFormat="1" ht="31.5" x14ac:dyDescent="0.25">
      <c r="A315" s="56" t="s">
        <v>530</v>
      </c>
      <c r="B315" s="56" t="s">
        <v>531</v>
      </c>
      <c r="C315" s="56" t="s">
        <v>81</v>
      </c>
      <c r="D315" s="57" t="str">
        <f>'дод 7'!C195</f>
        <v>Реалізація інших заходів щодо соціально-економічного розвитку територій</v>
      </c>
      <c r="E315" s="135">
        <f t="shared" si="168"/>
        <v>3150000</v>
      </c>
      <c r="F315" s="135"/>
      <c r="G315" s="135"/>
      <c r="H315" s="135"/>
      <c r="I315" s="135">
        <v>3150000</v>
      </c>
      <c r="J315" s="135">
        <f t="shared" ref="J315" si="170">L315+O315</f>
        <v>0</v>
      </c>
      <c r="K315" s="135"/>
      <c r="L315" s="135"/>
      <c r="M315" s="135"/>
      <c r="N315" s="135"/>
      <c r="O315" s="135"/>
      <c r="P315" s="135">
        <f t="shared" si="169"/>
        <v>3150000</v>
      </c>
      <c r="Q315" s="178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</row>
    <row r="316" spans="1:525" s="22" customFormat="1" ht="132.75" customHeight="1" x14ac:dyDescent="0.25">
      <c r="A316" s="89" t="s">
        <v>294</v>
      </c>
      <c r="B316" s="42" t="str">
        <f>'дод 7'!A224</f>
        <v>7691</v>
      </c>
      <c r="C316" s="42" t="str">
        <f>'дод 7'!B224</f>
        <v>0490</v>
      </c>
      <c r="D316" s="36" t="str">
        <f>'дод 7'!C224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16" s="135">
        <f t="shared" si="168"/>
        <v>0</v>
      </c>
      <c r="F316" s="135"/>
      <c r="G316" s="135"/>
      <c r="H316" s="135"/>
      <c r="I316" s="135"/>
      <c r="J316" s="135">
        <f t="shared" si="153"/>
        <v>937482</v>
      </c>
      <c r="K316" s="135"/>
      <c r="L316" s="135">
        <v>937482</v>
      </c>
      <c r="M316" s="135"/>
      <c r="N316" s="135"/>
      <c r="O316" s="135"/>
      <c r="P316" s="135">
        <f t="shared" si="169"/>
        <v>937482</v>
      </c>
      <c r="Q316" s="178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</row>
    <row r="317" spans="1:525" s="27" customFormat="1" ht="48" customHeight="1" x14ac:dyDescent="0.25">
      <c r="A317" s="96" t="s">
        <v>209</v>
      </c>
      <c r="B317" s="98"/>
      <c r="C317" s="98"/>
      <c r="D317" s="93" t="s">
        <v>41</v>
      </c>
      <c r="E317" s="133">
        <f>E318</f>
        <v>4072600</v>
      </c>
      <c r="F317" s="133">
        <f t="shared" ref="F317:J318" si="171">F318</f>
        <v>4072600</v>
      </c>
      <c r="G317" s="133">
        <f t="shared" si="171"/>
        <v>3052200</v>
      </c>
      <c r="H317" s="133">
        <f t="shared" si="171"/>
        <v>88100</v>
      </c>
      <c r="I317" s="133">
        <f t="shared" si="171"/>
        <v>0</v>
      </c>
      <c r="J317" s="133">
        <f t="shared" si="171"/>
        <v>0</v>
      </c>
      <c r="K317" s="133">
        <f t="shared" ref="K317:K318" si="172">K318</f>
        <v>0</v>
      </c>
      <c r="L317" s="133">
        <f t="shared" ref="L317:L318" si="173">L318</f>
        <v>0</v>
      </c>
      <c r="M317" s="133">
        <f t="shared" ref="M317:M318" si="174">M318</f>
        <v>0</v>
      </c>
      <c r="N317" s="133">
        <f t="shared" ref="N317:N318" si="175">N318</f>
        <v>0</v>
      </c>
      <c r="O317" s="133">
        <f t="shared" ref="O317:P318" si="176">O318</f>
        <v>0</v>
      </c>
      <c r="P317" s="133">
        <f t="shared" si="176"/>
        <v>4072600</v>
      </c>
      <c r="Q317" s="178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  <c r="GH317" s="32"/>
      <c r="GI317" s="32"/>
      <c r="GJ317" s="32"/>
      <c r="GK317" s="32"/>
      <c r="GL317" s="32"/>
      <c r="GM317" s="32"/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  <c r="IC317" s="32"/>
      <c r="ID317" s="32"/>
      <c r="IE317" s="32"/>
      <c r="IF317" s="32"/>
      <c r="IG317" s="32"/>
      <c r="IH317" s="32"/>
      <c r="II317" s="32"/>
      <c r="IJ317" s="32"/>
      <c r="IK317" s="32"/>
      <c r="IL317" s="32"/>
      <c r="IM317" s="32"/>
      <c r="IN317" s="32"/>
      <c r="IO317" s="32"/>
      <c r="IP317" s="32"/>
      <c r="IQ317" s="32"/>
      <c r="IR317" s="32"/>
      <c r="IS317" s="32"/>
      <c r="IT317" s="32"/>
      <c r="IU317" s="32"/>
      <c r="IV317" s="32"/>
      <c r="IW317" s="32"/>
      <c r="IX317" s="32"/>
      <c r="IY317" s="32"/>
      <c r="IZ317" s="32"/>
      <c r="JA317" s="32"/>
      <c r="JB317" s="32"/>
      <c r="JC317" s="32"/>
      <c r="JD317" s="32"/>
      <c r="JE317" s="32"/>
      <c r="JF317" s="32"/>
      <c r="JG317" s="32"/>
      <c r="JH317" s="32"/>
      <c r="JI317" s="32"/>
      <c r="JJ317" s="32"/>
      <c r="JK317" s="32"/>
      <c r="JL317" s="32"/>
      <c r="JM317" s="32"/>
      <c r="JN317" s="32"/>
      <c r="JO317" s="32"/>
      <c r="JP317" s="32"/>
      <c r="JQ317" s="32"/>
      <c r="JR317" s="32"/>
      <c r="JS317" s="32"/>
      <c r="JT317" s="32"/>
      <c r="JU317" s="32"/>
      <c r="JV317" s="32"/>
      <c r="JW317" s="32"/>
      <c r="JX317" s="32"/>
      <c r="JY317" s="32"/>
      <c r="JZ317" s="32"/>
      <c r="KA317" s="32"/>
      <c r="KB317" s="32"/>
      <c r="KC317" s="32"/>
      <c r="KD317" s="32"/>
      <c r="KE317" s="32"/>
      <c r="KF317" s="32"/>
      <c r="KG317" s="32"/>
      <c r="KH317" s="32"/>
      <c r="KI317" s="32"/>
      <c r="KJ317" s="32"/>
      <c r="KK317" s="32"/>
      <c r="KL317" s="32"/>
      <c r="KM317" s="32"/>
      <c r="KN317" s="32"/>
      <c r="KO317" s="32"/>
      <c r="KP317" s="32"/>
      <c r="KQ317" s="32"/>
      <c r="KR317" s="32"/>
      <c r="KS317" s="32"/>
      <c r="KT317" s="32"/>
      <c r="KU317" s="32"/>
      <c r="KV317" s="32"/>
      <c r="KW317" s="32"/>
      <c r="KX317" s="32"/>
      <c r="KY317" s="32"/>
      <c r="KZ317" s="32"/>
      <c r="LA317" s="32"/>
      <c r="LB317" s="32"/>
      <c r="LC317" s="32"/>
      <c r="LD317" s="32"/>
      <c r="LE317" s="32"/>
      <c r="LF317" s="32"/>
      <c r="LG317" s="32"/>
      <c r="LH317" s="32"/>
      <c r="LI317" s="32"/>
      <c r="LJ317" s="32"/>
      <c r="LK317" s="32"/>
      <c r="LL317" s="32"/>
      <c r="LM317" s="32"/>
      <c r="LN317" s="32"/>
      <c r="LO317" s="32"/>
      <c r="LP317" s="32"/>
      <c r="LQ317" s="32"/>
      <c r="LR317" s="32"/>
      <c r="LS317" s="32"/>
      <c r="LT317" s="32"/>
      <c r="LU317" s="32"/>
      <c r="LV317" s="32"/>
      <c r="LW317" s="32"/>
      <c r="LX317" s="32"/>
      <c r="LY317" s="32"/>
      <c r="LZ317" s="32"/>
      <c r="MA317" s="32"/>
      <c r="MB317" s="32"/>
      <c r="MC317" s="32"/>
      <c r="MD317" s="32"/>
      <c r="ME317" s="32"/>
      <c r="MF317" s="32"/>
      <c r="MG317" s="32"/>
      <c r="MH317" s="32"/>
      <c r="MI317" s="32"/>
      <c r="MJ317" s="32"/>
      <c r="MK317" s="32"/>
      <c r="ML317" s="32"/>
      <c r="MM317" s="32"/>
      <c r="MN317" s="32"/>
      <c r="MO317" s="32"/>
      <c r="MP317" s="32"/>
      <c r="MQ317" s="32"/>
      <c r="MR317" s="32"/>
      <c r="MS317" s="32"/>
      <c r="MT317" s="32"/>
      <c r="MU317" s="32"/>
      <c r="MV317" s="32"/>
      <c r="MW317" s="32"/>
      <c r="MX317" s="32"/>
      <c r="MY317" s="32"/>
      <c r="MZ317" s="32"/>
      <c r="NA317" s="32"/>
      <c r="NB317" s="32"/>
      <c r="NC317" s="32"/>
      <c r="ND317" s="32"/>
      <c r="NE317" s="32"/>
      <c r="NF317" s="32"/>
      <c r="NG317" s="32"/>
      <c r="NH317" s="32"/>
      <c r="NI317" s="32"/>
      <c r="NJ317" s="32"/>
      <c r="NK317" s="32"/>
      <c r="NL317" s="32"/>
      <c r="NM317" s="32"/>
      <c r="NN317" s="32"/>
      <c r="NO317" s="32"/>
      <c r="NP317" s="32"/>
      <c r="NQ317" s="32"/>
      <c r="NR317" s="32"/>
      <c r="NS317" s="32"/>
      <c r="NT317" s="32"/>
      <c r="NU317" s="32"/>
      <c r="NV317" s="32"/>
      <c r="NW317" s="32"/>
      <c r="NX317" s="32"/>
      <c r="NY317" s="32"/>
      <c r="NZ317" s="32"/>
      <c r="OA317" s="32"/>
      <c r="OB317" s="32"/>
      <c r="OC317" s="32"/>
      <c r="OD317" s="32"/>
      <c r="OE317" s="32"/>
      <c r="OF317" s="32"/>
      <c r="OG317" s="32"/>
      <c r="OH317" s="32"/>
      <c r="OI317" s="32"/>
      <c r="OJ317" s="32"/>
      <c r="OK317" s="32"/>
      <c r="OL317" s="32"/>
      <c r="OM317" s="32"/>
      <c r="ON317" s="32"/>
      <c r="OO317" s="32"/>
      <c r="OP317" s="32"/>
      <c r="OQ317" s="32"/>
      <c r="OR317" s="32"/>
      <c r="OS317" s="32"/>
      <c r="OT317" s="32"/>
      <c r="OU317" s="32"/>
      <c r="OV317" s="32"/>
      <c r="OW317" s="32"/>
      <c r="OX317" s="32"/>
      <c r="OY317" s="32"/>
      <c r="OZ317" s="32"/>
      <c r="PA317" s="32"/>
      <c r="PB317" s="32"/>
      <c r="PC317" s="32"/>
      <c r="PD317" s="32"/>
      <c r="PE317" s="32"/>
      <c r="PF317" s="32"/>
      <c r="PG317" s="32"/>
      <c r="PH317" s="32"/>
      <c r="PI317" s="32"/>
      <c r="PJ317" s="32"/>
      <c r="PK317" s="32"/>
      <c r="PL317" s="32"/>
      <c r="PM317" s="32"/>
      <c r="PN317" s="32"/>
      <c r="PO317" s="32"/>
      <c r="PP317" s="32"/>
      <c r="PQ317" s="32"/>
      <c r="PR317" s="32"/>
      <c r="PS317" s="32"/>
      <c r="PT317" s="32"/>
      <c r="PU317" s="32"/>
      <c r="PV317" s="32"/>
      <c r="PW317" s="32"/>
      <c r="PX317" s="32"/>
      <c r="PY317" s="32"/>
      <c r="PZ317" s="32"/>
      <c r="QA317" s="32"/>
      <c r="QB317" s="32"/>
      <c r="QC317" s="32"/>
      <c r="QD317" s="32"/>
      <c r="QE317" s="32"/>
      <c r="QF317" s="32"/>
      <c r="QG317" s="32"/>
      <c r="QH317" s="32"/>
      <c r="QI317" s="32"/>
      <c r="QJ317" s="32"/>
      <c r="QK317" s="32"/>
      <c r="QL317" s="32"/>
      <c r="QM317" s="32"/>
      <c r="QN317" s="32"/>
      <c r="QO317" s="32"/>
      <c r="QP317" s="32"/>
      <c r="QQ317" s="32"/>
      <c r="QR317" s="32"/>
      <c r="QS317" s="32"/>
      <c r="QT317" s="32"/>
      <c r="QU317" s="32"/>
      <c r="QV317" s="32"/>
      <c r="QW317" s="32"/>
      <c r="QX317" s="32"/>
      <c r="QY317" s="32"/>
      <c r="QZ317" s="32"/>
      <c r="RA317" s="32"/>
      <c r="RB317" s="32"/>
      <c r="RC317" s="32"/>
      <c r="RD317" s="32"/>
      <c r="RE317" s="32"/>
      <c r="RF317" s="32"/>
      <c r="RG317" s="32"/>
      <c r="RH317" s="32"/>
      <c r="RI317" s="32"/>
      <c r="RJ317" s="32"/>
      <c r="RK317" s="32"/>
      <c r="RL317" s="32"/>
      <c r="RM317" s="32"/>
      <c r="RN317" s="32"/>
      <c r="RO317" s="32"/>
      <c r="RP317" s="32"/>
      <c r="RQ317" s="32"/>
      <c r="RR317" s="32"/>
      <c r="RS317" s="32"/>
      <c r="RT317" s="32"/>
      <c r="RU317" s="32"/>
      <c r="RV317" s="32"/>
      <c r="RW317" s="32"/>
      <c r="RX317" s="32"/>
      <c r="RY317" s="32"/>
      <c r="RZ317" s="32"/>
      <c r="SA317" s="32"/>
      <c r="SB317" s="32"/>
      <c r="SC317" s="32"/>
      <c r="SD317" s="32"/>
      <c r="SE317" s="32"/>
      <c r="SF317" s="32"/>
      <c r="SG317" s="32"/>
      <c r="SH317" s="32"/>
      <c r="SI317" s="32"/>
      <c r="SJ317" s="32"/>
      <c r="SK317" s="32"/>
      <c r="SL317" s="32"/>
      <c r="SM317" s="32"/>
      <c r="SN317" s="32"/>
      <c r="SO317" s="32"/>
      <c r="SP317" s="32"/>
      <c r="SQ317" s="32"/>
      <c r="SR317" s="32"/>
      <c r="SS317" s="32"/>
      <c r="ST317" s="32"/>
      <c r="SU317" s="32"/>
      <c r="SV317" s="32"/>
      <c r="SW317" s="32"/>
      <c r="SX317" s="32"/>
      <c r="SY317" s="32"/>
      <c r="SZ317" s="32"/>
      <c r="TA317" s="32"/>
      <c r="TB317" s="32"/>
      <c r="TC317" s="32"/>
      <c r="TD317" s="32"/>
      <c r="TE317" s="32"/>
    </row>
    <row r="318" spans="1:525" s="34" customFormat="1" ht="35.25" customHeight="1" x14ac:dyDescent="0.25">
      <c r="A318" s="86" t="s">
        <v>207</v>
      </c>
      <c r="B318" s="95"/>
      <c r="C318" s="95"/>
      <c r="D318" s="70" t="s">
        <v>41</v>
      </c>
      <c r="E318" s="134">
        <f>E319</f>
        <v>4072600</v>
      </c>
      <c r="F318" s="134">
        <f t="shared" si="171"/>
        <v>4072600</v>
      </c>
      <c r="G318" s="134">
        <f t="shared" si="171"/>
        <v>3052200</v>
      </c>
      <c r="H318" s="134">
        <f t="shared" si="171"/>
        <v>88100</v>
      </c>
      <c r="I318" s="134">
        <f t="shared" si="171"/>
        <v>0</v>
      </c>
      <c r="J318" s="134">
        <f t="shared" si="171"/>
        <v>0</v>
      </c>
      <c r="K318" s="134">
        <f t="shared" si="172"/>
        <v>0</v>
      </c>
      <c r="L318" s="134">
        <f t="shared" si="173"/>
        <v>0</v>
      </c>
      <c r="M318" s="134">
        <f t="shared" si="174"/>
        <v>0</v>
      </c>
      <c r="N318" s="134">
        <f t="shared" si="175"/>
        <v>0</v>
      </c>
      <c r="O318" s="134">
        <f t="shared" si="176"/>
        <v>0</v>
      </c>
      <c r="P318" s="134">
        <f t="shared" si="176"/>
        <v>4072600</v>
      </c>
      <c r="Q318" s="178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  <c r="GB318" s="33"/>
      <c r="GC318" s="33"/>
      <c r="GD318" s="33"/>
      <c r="GE318" s="33"/>
      <c r="GF318" s="33"/>
      <c r="GG318" s="33"/>
      <c r="GH318" s="33"/>
      <c r="GI318" s="33"/>
      <c r="GJ318" s="33"/>
      <c r="GK318" s="33"/>
      <c r="GL318" s="33"/>
      <c r="GM318" s="33"/>
      <c r="GN318" s="33"/>
      <c r="GO318" s="33"/>
      <c r="GP318" s="33"/>
      <c r="GQ318" s="33"/>
      <c r="GR318" s="33"/>
      <c r="GS318" s="33"/>
      <c r="GT318" s="33"/>
      <c r="GU318" s="33"/>
      <c r="GV318" s="33"/>
      <c r="GW318" s="33"/>
      <c r="GX318" s="33"/>
      <c r="GY318" s="33"/>
      <c r="GZ318" s="33"/>
      <c r="HA318" s="33"/>
      <c r="HB318" s="33"/>
      <c r="HC318" s="33"/>
      <c r="HD318" s="33"/>
      <c r="HE318" s="33"/>
      <c r="HF318" s="33"/>
      <c r="HG318" s="33"/>
      <c r="HH318" s="33"/>
      <c r="HI318" s="33"/>
      <c r="HJ318" s="33"/>
      <c r="HK318" s="33"/>
      <c r="HL318" s="33"/>
      <c r="HM318" s="33"/>
      <c r="HN318" s="33"/>
      <c r="HO318" s="33"/>
      <c r="HP318" s="33"/>
      <c r="HQ318" s="33"/>
      <c r="HR318" s="33"/>
      <c r="HS318" s="33"/>
      <c r="HT318" s="33"/>
      <c r="HU318" s="33"/>
      <c r="HV318" s="33"/>
      <c r="HW318" s="33"/>
      <c r="HX318" s="33"/>
      <c r="HY318" s="33"/>
      <c r="HZ318" s="33"/>
      <c r="IA318" s="33"/>
      <c r="IB318" s="33"/>
      <c r="IC318" s="33"/>
      <c r="ID318" s="33"/>
      <c r="IE318" s="33"/>
      <c r="IF318" s="33"/>
      <c r="IG318" s="33"/>
      <c r="IH318" s="33"/>
      <c r="II318" s="33"/>
      <c r="IJ318" s="33"/>
      <c r="IK318" s="33"/>
      <c r="IL318" s="33"/>
      <c r="IM318" s="33"/>
      <c r="IN318" s="33"/>
      <c r="IO318" s="33"/>
      <c r="IP318" s="33"/>
      <c r="IQ318" s="33"/>
      <c r="IR318" s="33"/>
      <c r="IS318" s="33"/>
      <c r="IT318" s="33"/>
      <c r="IU318" s="33"/>
      <c r="IV318" s="33"/>
      <c r="IW318" s="33"/>
      <c r="IX318" s="33"/>
      <c r="IY318" s="33"/>
      <c r="IZ318" s="33"/>
      <c r="JA318" s="33"/>
      <c r="JB318" s="33"/>
      <c r="JC318" s="33"/>
      <c r="JD318" s="33"/>
      <c r="JE318" s="33"/>
      <c r="JF318" s="33"/>
      <c r="JG318" s="33"/>
      <c r="JH318" s="33"/>
      <c r="JI318" s="33"/>
      <c r="JJ318" s="33"/>
      <c r="JK318" s="33"/>
      <c r="JL318" s="33"/>
      <c r="JM318" s="33"/>
      <c r="JN318" s="33"/>
      <c r="JO318" s="33"/>
      <c r="JP318" s="33"/>
      <c r="JQ318" s="33"/>
      <c r="JR318" s="33"/>
      <c r="JS318" s="33"/>
      <c r="JT318" s="33"/>
      <c r="JU318" s="33"/>
      <c r="JV318" s="33"/>
      <c r="JW318" s="33"/>
      <c r="JX318" s="33"/>
      <c r="JY318" s="33"/>
      <c r="JZ318" s="33"/>
      <c r="KA318" s="33"/>
      <c r="KB318" s="33"/>
      <c r="KC318" s="33"/>
      <c r="KD318" s="33"/>
      <c r="KE318" s="33"/>
      <c r="KF318" s="33"/>
      <c r="KG318" s="33"/>
      <c r="KH318" s="33"/>
      <c r="KI318" s="33"/>
      <c r="KJ318" s="33"/>
      <c r="KK318" s="33"/>
      <c r="KL318" s="33"/>
      <c r="KM318" s="33"/>
      <c r="KN318" s="33"/>
      <c r="KO318" s="33"/>
      <c r="KP318" s="33"/>
      <c r="KQ318" s="33"/>
      <c r="KR318" s="33"/>
      <c r="KS318" s="33"/>
      <c r="KT318" s="33"/>
      <c r="KU318" s="33"/>
      <c r="KV318" s="33"/>
      <c r="KW318" s="33"/>
      <c r="KX318" s="33"/>
      <c r="KY318" s="33"/>
      <c r="KZ318" s="33"/>
      <c r="LA318" s="33"/>
      <c r="LB318" s="33"/>
      <c r="LC318" s="33"/>
      <c r="LD318" s="33"/>
      <c r="LE318" s="33"/>
      <c r="LF318" s="33"/>
      <c r="LG318" s="33"/>
      <c r="LH318" s="33"/>
      <c r="LI318" s="33"/>
      <c r="LJ318" s="33"/>
      <c r="LK318" s="33"/>
      <c r="LL318" s="33"/>
      <c r="LM318" s="33"/>
      <c r="LN318" s="33"/>
      <c r="LO318" s="33"/>
      <c r="LP318" s="33"/>
      <c r="LQ318" s="33"/>
      <c r="LR318" s="33"/>
      <c r="LS318" s="33"/>
      <c r="LT318" s="33"/>
      <c r="LU318" s="33"/>
      <c r="LV318" s="33"/>
      <c r="LW318" s="33"/>
      <c r="LX318" s="33"/>
      <c r="LY318" s="33"/>
      <c r="LZ318" s="33"/>
      <c r="MA318" s="33"/>
      <c r="MB318" s="33"/>
      <c r="MC318" s="33"/>
      <c r="MD318" s="33"/>
      <c r="ME318" s="33"/>
      <c r="MF318" s="33"/>
      <c r="MG318" s="33"/>
      <c r="MH318" s="33"/>
      <c r="MI318" s="33"/>
      <c r="MJ318" s="33"/>
      <c r="MK318" s="33"/>
      <c r="ML318" s="33"/>
      <c r="MM318" s="33"/>
      <c r="MN318" s="33"/>
      <c r="MO318" s="33"/>
      <c r="MP318" s="33"/>
      <c r="MQ318" s="33"/>
      <c r="MR318" s="33"/>
      <c r="MS318" s="33"/>
      <c r="MT318" s="33"/>
      <c r="MU318" s="33"/>
      <c r="MV318" s="33"/>
      <c r="MW318" s="33"/>
      <c r="MX318" s="33"/>
      <c r="MY318" s="33"/>
      <c r="MZ318" s="33"/>
      <c r="NA318" s="33"/>
      <c r="NB318" s="33"/>
      <c r="NC318" s="33"/>
      <c r="ND318" s="33"/>
      <c r="NE318" s="33"/>
      <c r="NF318" s="33"/>
      <c r="NG318" s="33"/>
      <c r="NH318" s="33"/>
      <c r="NI318" s="33"/>
      <c r="NJ318" s="33"/>
      <c r="NK318" s="33"/>
      <c r="NL318" s="33"/>
      <c r="NM318" s="33"/>
      <c r="NN318" s="33"/>
      <c r="NO318" s="33"/>
      <c r="NP318" s="33"/>
      <c r="NQ318" s="33"/>
      <c r="NR318" s="33"/>
      <c r="NS318" s="33"/>
      <c r="NT318" s="33"/>
      <c r="NU318" s="33"/>
      <c r="NV318" s="33"/>
      <c r="NW318" s="33"/>
      <c r="NX318" s="33"/>
      <c r="NY318" s="33"/>
      <c r="NZ318" s="33"/>
      <c r="OA318" s="33"/>
      <c r="OB318" s="33"/>
      <c r="OC318" s="33"/>
      <c r="OD318" s="33"/>
      <c r="OE318" s="33"/>
      <c r="OF318" s="33"/>
      <c r="OG318" s="33"/>
      <c r="OH318" s="33"/>
      <c r="OI318" s="33"/>
      <c r="OJ318" s="33"/>
      <c r="OK318" s="33"/>
      <c r="OL318" s="33"/>
      <c r="OM318" s="33"/>
      <c r="ON318" s="33"/>
      <c r="OO318" s="33"/>
      <c r="OP318" s="33"/>
      <c r="OQ318" s="33"/>
      <c r="OR318" s="33"/>
      <c r="OS318" s="33"/>
      <c r="OT318" s="33"/>
      <c r="OU318" s="33"/>
      <c r="OV318" s="33"/>
      <c r="OW318" s="33"/>
      <c r="OX318" s="33"/>
      <c r="OY318" s="33"/>
      <c r="OZ318" s="33"/>
      <c r="PA318" s="33"/>
      <c r="PB318" s="33"/>
      <c r="PC318" s="33"/>
      <c r="PD318" s="33"/>
      <c r="PE318" s="33"/>
      <c r="PF318" s="33"/>
      <c r="PG318" s="33"/>
      <c r="PH318" s="33"/>
      <c r="PI318" s="33"/>
      <c r="PJ318" s="33"/>
      <c r="PK318" s="33"/>
      <c r="PL318" s="33"/>
      <c r="PM318" s="33"/>
      <c r="PN318" s="33"/>
      <c r="PO318" s="33"/>
      <c r="PP318" s="33"/>
      <c r="PQ318" s="33"/>
      <c r="PR318" s="33"/>
      <c r="PS318" s="33"/>
      <c r="PT318" s="33"/>
      <c r="PU318" s="33"/>
      <c r="PV318" s="33"/>
      <c r="PW318" s="33"/>
      <c r="PX318" s="33"/>
      <c r="PY318" s="33"/>
      <c r="PZ318" s="33"/>
      <c r="QA318" s="33"/>
      <c r="QB318" s="33"/>
      <c r="QC318" s="33"/>
      <c r="QD318" s="33"/>
      <c r="QE318" s="33"/>
      <c r="QF318" s="33"/>
      <c r="QG318" s="33"/>
      <c r="QH318" s="33"/>
      <c r="QI318" s="33"/>
      <c r="QJ318" s="33"/>
      <c r="QK318" s="33"/>
      <c r="QL318" s="33"/>
      <c r="QM318" s="33"/>
      <c r="QN318" s="33"/>
      <c r="QO318" s="33"/>
      <c r="QP318" s="33"/>
      <c r="QQ318" s="33"/>
      <c r="QR318" s="33"/>
      <c r="QS318" s="33"/>
      <c r="QT318" s="33"/>
      <c r="QU318" s="33"/>
      <c r="QV318" s="33"/>
      <c r="QW318" s="33"/>
      <c r="QX318" s="33"/>
      <c r="QY318" s="33"/>
      <c r="QZ318" s="33"/>
      <c r="RA318" s="33"/>
      <c r="RB318" s="33"/>
      <c r="RC318" s="33"/>
      <c r="RD318" s="33"/>
      <c r="RE318" s="33"/>
      <c r="RF318" s="33"/>
      <c r="RG318" s="33"/>
      <c r="RH318" s="33"/>
      <c r="RI318" s="33"/>
      <c r="RJ318" s="33"/>
      <c r="RK318" s="33"/>
      <c r="RL318" s="33"/>
      <c r="RM318" s="33"/>
      <c r="RN318" s="33"/>
      <c r="RO318" s="33"/>
      <c r="RP318" s="33"/>
      <c r="RQ318" s="33"/>
      <c r="RR318" s="33"/>
      <c r="RS318" s="33"/>
      <c r="RT318" s="33"/>
      <c r="RU318" s="33"/>
      <c r="RV318" s="33"/>
      <c r="RW318" s="33"/>
      <c r="RX318" s="33"/>
      <c r="RY318" s="33"/>
      <c r="RZ318" s="33"/>
      <c r="SA318" s="33"/>
      <c r="SB318" s="33"/>
      <c r="SC318" s="33"/>
      <c r="SD318" s="33"/>
      <c r="SE318" s="33"/>
      <c r="SF318" s="33"/>
      <c r="SG318" s="33"/>
      <c r="SH318" s="33"/>
      <c r="SI318" s="33"/>
      <c r="SJ318" s="33"/>
      <c r="SK318" s="33"/>
      <c r="SL318" s="33"/>
      <c r="SM318" s="33"/>
      <c r="SN318" s="33"/>
      <c r="SO318" s="33"/>
      <c r="SP318" s="33"/>
      <c r="SQ318" s="33"/>
      <c r="SR318" s="33"/>
      <c r="SS318" s="33"/>
      <c r="ST318" s="33"/>
      <c r="SU318" s="33"/>
      <c r="SV318" s="33"/>
      <c r="SW318" s="33"/>
      <c r="SX318" s="33"/>
      <c r="SY318" s="33"/>
      <c r="SZ318" s="33"/>
      <c r="TA318" s="33"/>
      <c r="TB318" s="33"/>
      <c r="TC318" s="33"/>
      <c r="TD318" s="33"/>
      <c r="TE318" s="33"/>
    </row>
    <row r="319" spans="1:525" s="22" customFormat="1" ht="49.5" customHeight="1" x14ac:dyDescent="0.25">
      <c r="A319" s="56" t="s">
        <v>208</v>
      </c>
      <c r="B319" s="84" t="str">
        <f>'дод 7'!A14</f>
        <v>0160</v>
      </c>
      <c r="C319" s="84" t="str">
        <f>'дод 7'!B14</f>
        <v>0111</v>
      </c>
      <c r="D319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319" s="135">
        <f>F319+I319</f>
        <v>4072600</v>
      </c>
      <c r="F319" s="135">
        <f>4535900-2260300+1797000</f>
        <v>4072600</v>
      </c>
      <c r="G319" s="135">
        <f>3431900-1852700+1473000</f>
        <v>3052200</v>
      </c>
      <c r="H319" s="135">
        <v>88100</v>
      </c>
      <c r="I319" s="135"/>
      <c r="J319" s="135">
        <f>L319+O319</f>
        <v>0</v>
      </c>
      <c r="K319" s="135"/>
      <c r="L319" s="135"/>
      <c r="M319" s="135"/>
      <c r="N319" s="135"/>
      <c r="O319" s="135"/>
      <c r="P319" s="135">
        <f>E319+J319</f>
        <v>4072600</v>
      </c>
      <c r="Q319" s="178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  <c r="HQ319" s="23"/>
      <c r="HR319" s="23"/>
      <c r="HS319" s="23"/>
      <c r="HT319" s="23"/>
      <c r="HU319" s="23"/>
      <c r="HV319" s="23"/>
      <c r="HW319" s="23"/>
      <c r="HX319" s="23"/>
      <c r="HY319" s="23"/>
      <c r="HZ319" s="23"/>
      <c r="IA319" s="23"/>
      <c r="IB319" s="23"/>
      <c r="IC319" s="23"/>
      <c r="ID319" s="23"/>
      <c r="IE319" s="23"/>
      <c r="IF319" s="23"/>
      <c r="IG319" s="23"/>
      <c r="IH319" s="23"/>
      <c r="II319" s="23"/>
      <c r="IJ319" s="23"/>
      <c r="IK319" s="23"/>
      <c r="IL319" s="23"/>
      <c r="IM319" s="23"/>
      <c r="IN319" s="23"/>
      <c r="IO319" s="23"/>
      <c r="IP319" s="23"/>
      <c r="IQ319" s="23"/>
      <c r="IR319" s="23"/>
      <c r="IS319" s="23"/>
      <c r="IT319" s="23"/>
      <c r="IU319" s="23"/>
      <c r="IV319" s="23"/>
      <c r="IW319" s="23"/>
      <c r="IX319" s="23"/>
      <c r="IY319" s="23"/>
      <c r="IZ319" s="23"/>
      <c r="JA319" s="23"/>
      <c r="JB319" s="23"/>
      <c r="JC319" s="23"/>
      <c r="JD319" s="23"/>
      <c r="JE319" s="23"/>
      <c r="JF319" s="23"/>
      <c r="JG319" s="23"/>
      <c r="JH319" s="23"/>
      <c r="JI319" s="23"/>
      <c r="JJ319" s="23"/>
      <c r="JK319" s="23"/>
      <c r="JL319" s="23"/>
      <c r="JM319" s="23"/>
      <c r="JN319" s="23"/>
      <c r="JO319" s="23"/>
      <c r="JP319" s="23"/>
      <c r="JQ319" s="23"/>
      <c r="JR319" s="23"/>
      <c r="JS319" s="23"/>
      <c r="JT319" s="23"/>
      <c r="JU319" s="23"/>
      <c r="JV319" s="23"/>
      <c r="JW319" s="23"/>
      <c r="JX319" s="23"/>
      <c r="JY319" s="23"/>
      <c r="JZ319" s="23"/>
      <c r="KA319" s="23"/>
      <c r="KB319" s="23"/>
      <c r="KC319" s="23"/>
      <c r="KD319" s="23"/>
      <c r="KE319" s="23"/>
      <c r="KF319" s="23"/>
      <c r="KG319" s="23"/>
      <c r="KH319" s="23"/>
      <c r="KI319" s="23"/>
      <c r="KJ319" s="23"/>
      <c r="KK319" s="23"/>
      <c r="KL319" s="23"/>
      <c r="KM319" s="23"/>
      <c r="KN319" s="23"/>
      <c r="KO319" s="23"/>
      <c r="KP319" s="23"/>
      <c r="KQ319" s="23"/>
      <c r="KR319" s="23"/>
      <c r="KS319" s="23"/>
      <c r="KT319" s="23"/>
      <c r="KU319" s="23"/>
      <c r="KV319" s="23"/>
      <c r="KW319" s="23"/>
      <c r="KX319" s="23"/>
      <c r="KY319" s="23"/>
      <c r="KZ319" s="23"/>
      <c r="LA319" s="23"/>
      <c r="LB319" s="23"/>
      <c r="LC319" s="23"/>
      <c r="LD319" s="23"/>
      <c r="LE319" s="23"/>
      <c r="LF319" s="23"/>
      <c r="LG319" s="23"/>
      <c r="LH319" s="23"/>
      <c r="LI319" s="23"/>
      <c r="LJ319" s="23"/>
      <c r="LK319" s="23"/>
      <c r="LL319" s="23"/>
      <c r="LM319" s="23"/>
      <c r="LN319" s="23"/>
      <c r="LO319" s="23"/>
      <c r="LP319" s="23"/>
      <c r="LQ319" s="23"/>
      <c r="LR319" s="23"/>
      <c r="LS319" s="23"/>
      <c r="LT319" s="23"/>
      <c r="LU319" s="23"/>
      <c r="LV319" s="23"/>
      <c r="LW319" s="23"/>
      <c r="LX319" s="23"/>
      <c r="LY319" s="23"/>
      <c r="LZ319" s="23"/>
      <c r="MA319" s="23"/>
      <c r="MB319" s="23"/>
      <c r="MC319" s="23"/>
      <c r="MD319" s="23"/>
      <c r="ME319" s="23"/>
      <c r="MF319" s="23"/>
      <c r="MG319" s="23"/>
      <c r="MH319" s="23"/>
      <c r="MI319" s="23"/>
      <c r="MJ319" s="23"/>
      <c r="MK319" s="23"/>
      <c r="ML319" s="23"/>
      <c r="MM319" s="23"/>
      <c r="MN319" s="23"/>
      <c r="MO319" s="23"/>
      <c r="MP319" s="23"/>
      <c r="MQ319" s="23"/>
      <c r="MR319" s="23"/>
      <c r="MS319" s="23"/>
      <c r="MT319" s="23"/>
      <c r="MU319" s="23"/>
      <c r="MV319" s="23"/>
      <c r="MW319" s="23"/>
      <c r="MX319" s="23"/>
      <c r="MY319" s="23"/>
      <c r="MZ319" s="23"/>
      <c r="NA319" s="23"/>
      <c r="NB319" s="23"/>
      <c r="NC319" s="23"/>
      <c r="ND319" s="23"/>
      <c r="NE319" s="23"/>
      <c r="NF319" s="23"/>
      <c r="NG319" s="23"/>
      <c r="NH319" s="23"/>
      <c r="NI319" s="23"/>
      <c r="NJ319" s="23"/>
      <c r="NK319" s="23"/>
      <c r="NL319" s="23"/>
      <c r="NM319" s="23"/>
      <c r="NN319" s="23"/>
      <c r="NO319" s="23"/>
      <c r="NP319" s="23"/>
      <c r="NQ319" s="23"/>
      <c r="NR319" s="23"/>
      <c r="NS319" s="23"/>
      <c r="NT319" s="23"/>
      <c r="NU319" s="23"/>
      <c r="NV319" s="23"/>
      <c r="NW319" s="23"/>
      <c r="NX319" s="23"/>
      <c r="NY319" s="23"/>
      <c r="NZ319" s="23"/>
      <c r="OA319" s="23"/>
      <c r="OB319" s="23"/>
      <c r="OC319" s="23"/>
      <c r="OD319" s="23"/>
      <c r="OE319" s="23"/>
      <c r="OF319" s="23"/>
      <c r="OG319" s="23"/>
      <c r="OH319" s="23"/>
      <c r="OI319" s="23"/>
      <c r="OJ319" s="23"/>
      <c r="OK319" s="23"/>
      <c r="OL319" s="23"/>
      <c r="OM319" s="23"/>
      <c r="ON319" s="23"/>
      <c r="OO319" s="23"/>
      <c r="OP319" s="23"/>
      <c r="OQ319" s="23"/>
      <c r="OR319" s="23"/>
      <c r="OS319" s="23"/>
      <c r="OT319" s="23"/>
      <c r="OU319" s="23"/>
      <c r="OV319" s="23"/>
      <c r="OW319" s="23"/>
      <c r="OX319" s="23"/>
      <c r="OY319" s="23"/>
      <c r="OZ319" s="23"/>
      <c r="PA319" s="23"/>
      <c r="PB319" s="23"/>
      <c r="PC319" s="23"/>
      <c r="PD319" s="23"/>
      <c r="PE319" s="23"/>
      <c r="PF319" s="23"/>
      <c r="PG319" s="23"/>
      <c r="PH319" s="23"/>
      <c r="PI319" s="23"/>
      <c r="PJ319" s="23"/>
      <c r="PK319" s="23"/>
      <c r="PL319" s="23"/>
      <c r="PM319" s="23"/>
      <c r="PN319" s="23"/>
      <c r="PO319" s="23"/>
      <c r="PP319" s="23"/>
      <c r="PQ319" s="23"/>
      <c r="PR319" s="23"/>
      <c r="PS319" s="23"/>
      <c r="PT319" s="23"/>
      <c r="PU319" s="23"/>
      <c r="PV319" s="23"/>
      <c r="PW319" s="23"/>
      <c r="PX319" s="23"/>
      <c r="PY319" s="23"/>
      <c r="PZ319" s="23"/>
      <c r="QA319" s="23"/>
      <c r="QB319" s="23"/>
      <c r="QC319" s="23"/>
      <c r="QD319" s="23"/>
      <c r="QE319" s="23"/>
      <c r="QF319" s="23"/>
      <c r="QG319" s="23"/>
      <c r="QH319" s="23"/>
      <c r="QI319" s="23"/>
      <c r="QJ319" s="23"/>
      <c r="QK319" s="23"/>
      <c r="QL319" s="23"/>
      <c r="QM319" s="23"/>
      <c r="QN319" s="23"/>
      <c r="QO319" s="23"/>
      <c r="QP319" s="23"/>
      <c r="QQ319" s="23"/>
      <c r="QR319" s="23"/>
      <c r="QS319" s="23"/>
      <c r="QT319" s="23"/>
      <c r="QU319" s="23"/>
      <c r="QV319" s="23"/>
      <c r="QW319" s="23"/>
      <c r="QX319" s="23"/>
      <c r="QY319" s="23"/>
      <c r="QZ319" s="23"/>
      <c r="RA319" s="23"/>
      <c r="RB319" s="23"/>
      <c r="RC319" s="23"/>
      <c r="RD319" s="23"/>
      <c r="RE319" s="23"/>
      <c r="RF319" s="23"/>
      <c r="RG319" s="23"/>
      <c r="RH319" s="23"/>
      <c r="RI319" s="23"/>
      <c r="RJ319" s="23"/>
      <c r="RK319" s="23"/>
      <c r="RL319" s="23"/>
      <c r="RM319" s="23"/>
      <c r="RN319" s="23"/>
      <c r="RO319" s="23"/>
      <c r="RP319" s="23"/>
      <c r="RQ319" s="23"/>
      <c r="RR319" s="23"/>
      <c r="RS319" s="23"/>
      <c r="RT319" s="23"/>
      <c r="RU319" s="23"/>
      <c r="RV319" s="23"/>
      <c r="RW319" s="23"/>
      <c r="RX319" s="23"/>
      <c r="RY319" s="23"/>
      <c r="RZ319" s="23"/>
      <c r="SA319" s="23"/>
      <c r="SB319" s="23"/>
      <c r="SC319" s="23"/>
      <c r="SD319" s="23"/>
      <c r="SE319" s="23"/>
      <c r="SF319" s="23"/>
      <c r="SG319" s="23"/>
      <c r="SH319" s="23"/>
      <c r="SI319" s="23"/>
      <c r="SJ319" s="23"/>
      <c r="SK319" s="23"/>
      <c r="SL319" s="23"/>
      <c r="SM319" s="23"/>
      <c r="SN319" s="23"/>
      <c r="SO319" s="23"/>
      <c r="SP319" s="23"/>
      <c r="SQ319" s="23"/>
      <c r="SR319" s="23"/>
      <c r="SS319" s="23"/>
      <c r="ST319" s="23"/>
      <c r="SU319" s="23"/>
      <c r="SV319" s="23"/>
      <c r="SW319" s="23"/>
      <c r="SX319" s="23"/>
      <c r="SY319" s="23"/>
      <c r="SZ319" s="23"/>
      <c r="TA319" s="23"/>
      <c r="TB319" s="23"/>
      <c r="TC319" s="23"/>
      <c r="TD319" s="23"/>
      <c r="TE319" s="23"/>
    </row>
    <row r="320" spans="1:525" s="27" customFormat="1" ht="40.5" customHeight="1" x14ac:dyDescent="0.25">
      <c r="A320" s="96" t="s">
        <v>210</v>
      </c>
      <c r="B320" s="98"/>
      <c r="C320" s="98"/>
      <c r="D320" s="93" t="s">
        <v>38</v>
      </c>
      <c r="E320" s="133">
        <f>E321</f>
        <v>21726000</v>
      </c>
      <c r="F320" s="133">
        <f t="shared" ref="F320:J320" si="177">F321</f>
        <v>21126000</v>
      </c>
      <c r="G320" s="133">
        <f t="shared" si="177"/>
        <v>14273200</v>
      </c>
      <c r="H320" s="133">
        <f t="shared" si="177"/>
        <v>628000</v>
      </c>
      <c r="I320" s="133">
        <f t="shared" si="177"/>
        <v>600000</v>
      </c>
      <c r="J320" s="133">
        <f t="shared" si="177"/>
        <v>175000</v>
      </c>
      <c r="K320" s="133">
        <f t="shared" ref="K320" si="178">K321</f>
        <v>175000</v>
      </c>
      <c r="L320" s="133">
        <f t="shared" ref="L320" si="179">L321</f>
        <v>0</v>
      </c>
      <c r="M320" s="133">
        <f t="shared" ref="M320" si="180">M321</f>
        <v>0</v>
      </c>
      <c r="N320" s="133">
        <f t="shared" ref="N320" si="181">N321</f>
        <v>0</v>
      </c>
      <c r="O320" s="133">
        <f t="shared" ref="O320" si="182">O321</f>
        <v>175000</v>
      </c>
      <c r="P320" s="133">
        <f>P321</f>
        <v>21901000</v>
      </c>
      <c r="Q320" s="178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/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  <c r="FK320" s="32"/>
      <c r="FL320" s="32"/>
      <c r="FM320" s="32"/>
      <c r="FN320" s="32"/>
      <c r="FO320" s="32"/>
      <c r="FP320" s="32"/>
      <c r="FQ320" s="32"/>
      <c r="FR320" s="32"/>
      <c r="FS320" s="32"/>
      <c r="FT320" s="32"/>
      <c r="FU320" s="32"/>
      <c r="FV320" s="32"/>
      <c r="FW320" s="32"/>
      <c r="FX320" s="32"/>
      <c r="FY320" s="32"/>
      <c r="FZ320" s="32"/>
      <c r="GA320" s="32"/>
      <c r="GB320" s="32"/>
      <c r="GC320" s="32"/>
      <c r="GD320" s="32"/>
      <c r="GE320" s="32"/>
      <c r="GF320" s="32"/>
      <c r="GG320" s="32"/>
      <c r="GH320" s="32"/>
      <c r="GI320" s="32"/>
      <c r="GJ320" s="32"/>
      <c r="GK320" s="32"/>
      <c r="GL320" s="32"/>
      <c r="GM320" s="32"/>
      <c r="GN320" s="32"/>
      <c r="GO320" s="32"/>
      <c r="GP320" s="32"/>
      <c r="GQ320" s="32"/>
      <c r="GR320" s="32"/>
      <c r="GS320" s="32"/>
      <c r="GT320" s="32"/>
      <c r="GU320" s="32"/>
      <c r="GV320" s="32"/>
      <c r="GW320" s="32"/>
      <c r="GX320" s="32"/>
      <c r="GY320" s="32"/>
      <c r="GZ320" s="32"/>
      <c r="HA320" s="32"/>
      <c r="HB320" s="32"/>
      <c r="HC320" s="32"/>
      <c r="HD320" s="32"/>
      <c r="HE320" s="32"/>
      <c r="HF320" s="32"/>
      <c r="HG320" s="32"/>
      <c r="HH320" s="32"/>
      <c r="HI320" s="32"/>
      <c r="HJ320" s="32"/>
      <c r="HK320" s="32"/>
      <c r="HL320" s="32"/>
      <c r="HM320" s="32"/>
      <c r="HN320" s="32"/>
      <c r="HO320" s="32"/>
      <c r="HP320" s="32"/>
      <c r="HQ320" s="32"/>
      <c r="HR320" s="32"/>
      <c r="HS320" s="32"/>
      <c r="HT320" s="32"/>
      <c r="HU320" s="32"/>
      <c r="HV320" s="32"/>
      <c r="HW320" s="32"/>
      <c r="HX320" s="32"/>
      <c r="HY320" s="32"/>
      <c r="HZ320" s="32"/>
      <c r="IA320" s="32"/>
      <c r="IB320" s="32"/>
      <c r="IC320" s="32"/>
      <c r="ID320" s="32"/>
      <c r="IE320" s="32"/>
      <c r="IF320" s="32"/>
      <c r="IG320" s="32"/>
      <c r="IH320" s="32"/>
      <c r="II320" s="32"/>
      <c r="IJ320" s="32"/>
      <c r="IK320" s="32"/>
      <c r="IL320" s="32"/>
      <c r="IM320" s="32"/>
      <c r="IN320" s="32"/>
      <c r="IO320" s="32"/>
      <c r="IP320" s="32"/>
      <c r="IQ320" s="32"/>
      <c r="IR320" s="32"/>
      <c r="IS320" s="32"/>
      <c r="IT320" s="32"/>
      <c r="IU320" s="32"/>
      <c r="IV320" s="32"/>
      <c r="IW320" s="32"/>
      <c r="IX320" s="32"/>
      <c r="IY320" s="32"/>
      <c r="IZ320" s="32"/>
      <c r="JA320" s="32"/>
      <c r="JB320" s="32"/>
      <c r="JC320" s="32"/>
      <c r="JD320" s="32"/>
      <c r="JE320" s="32"/>
      <c r="JF320" s="32"/>
      <c r="JG320" s="32"/>
      <c r="JH320" s="32"/>
      <c r="JI320" s="32"/>
      <c r="JJ320" s="32"/>
      <c r="JK320" s="32"/>
      <c r="JL320" s="32"/>
      <c r="JM320" s="32"/>
      <c r="JN320" s="32"/>
      <c r="JO320" s="32"/>
      <c r="JP320" s="32"/>
      <c r="JQ320" s="32"/>
      <c r="JR320" s="32"/>
      <c r="JS320" s="32"/>
      <c r="JT320" s="32"/>
      <c r="JU320" s="32"/>
      <c r="JV320" s="32"/>
      <c r="JW320" s="32"/>
      <c r="JX320" s="32"/>
      <c r="JY320" s="32"/>
      <c r="JZ320" s="32"/>
      <c r="KA320" s="32"/>
      <c r="KB320" s="32"/>
      <c r="KC320" s="32"/>
      <c r="KD320" s="32"/>
      <c r="KE320" s="32"/>
      <c r="KF320" s="32"/>
      <c r="KG320" s="32"/>
      <c r="KH320" s="32"/>
      <c r="KI320" s="32"/>
      <c r="KJ320" s="32"/>
      <c r="KK320" s="32"/>
      <c r="KL320" s="32"/>
      <c r="KM320" s="32"/>
      <c r="KN320" s="32"/>
      <c r="KO320" s="32"/>
      <c r="KP320" s="32"/>
      <c r="KQ320" s="32"/>
      <c r="KR320" s="32"/>
      <c r="KS320" s="32"/>
      <c r="KT320" s="32"/>
      <c r="KU320" s="32"/>
      <c r="KV320" s="32"/>
      <c r="KW320" s="32"/>
      <c r="KX320" s="32"/>
      <c r="KY320" s="32"/>
      <c r="KZ320" s="32"/>
      <c r="LA320" s="32"/>
      <c r="LB320" s="32"/>
      <c r="LC320" s="32"/>
      <c r="LD320" s="32"/>
      <c r="LE320" s="32"/>
      <c r="LF320" s="32"/>
      <c r="LG320" s="32"/>
      <c r="LH320" s="32"/>
      <c r="LI320" s="32"/>
      <c r="LJ320" s="32"/>
      <c r="LK320" s="32"/>
      <c r="LL320" s="32"/>
      <c r="LM320" s="32"/>
      <c r="LN320" s="32"/>
      <c r="LO320" s="32"/>
      <c r="LP320" s="32"/>
      <c r="LQ320" s="32"/>
      <c r="LR320" s="32"/>
      <c r="LS320" s="32"/>
      <c r="LT320" s="32"/>
      <c r="LU320" s="32"/>
      <c r="LV320" s="32"/>
      <c r="LW320" s="32"/>
      <c r="LX320" s="32"/>
      <c r="LY320" s="32"/>
      <c r="LZ320" s="32"/>
      <c r="MA320" s="32"/>
      <c r="MB320" s="32"/>
      <c r="MC320" s="32"/>
      <c r="MD320" s="32"/>
      <c r="ME320" s="32"/>
      <c r="MF320" s="32"/>
      <c r="MG320" s="32"/>
      <c r="MH320" s="32"/>
      <c r="MI320" s="32"/>
      <c r="MJ320" s="32"/>
      <c r="MK320" s="32"/>
      <c r="ML320" s="32"/>
      <c r="MM320" s="32"/>
      <c r="MN320" s="32"/>
      <c r="MO320" s="32"/>
      <c r="MP320" s="32"/>
      <c r="MQ320" s="32"/>
      <c r="MR320" s="32"/>
      <c r="MS320" s="32"/>
      <c r="MT320" s="32"/>
      <c r="MU320" s="32"/>
      <c r="MV320" s="32"/>
      <c r="MW320" s="32"/>
      <c r="MX320" s="32"/>
      <c r="MY320" s="32"/>
      <c r="MZ320" s="32"/>
      <c r="NA320" s="32"/>
      <c r="NB320" s="32"/>
      <c r="NC320" s="32"/>
      <c r="ND320" s="32"/>
      <c r="NE320" s="32"/>
      <c r="NF320" s="32"/>
      <c r="NG320" s="32"/>
      <c r="NH320" s="32"/>
      <c r="NI320" s="32"/>
      <c r="NJ320" s="32"/>
      <c r="NK320" s="32"/>
      <c r="NL320" s="32"/>
      <c r="NM320" s="32"/>
      <c r="NN320" s="32"/>
      <c r="NO320" s="32"/>
      <c r="NP320" s="32"/>
      <c r="NQ320" s="32"/>
      <c r="NR320" s="32"/>
      <c r="NS320" s="32"/>
      <c r="NT320" s="32"/>
      <c r="NU320" s="32"/>
      <c r="NV320" s="32"/>
      <c r="NW320" s="32"/>
      <c r="NX320" s="32"/>
      <c r="NY320" s="32"/>
      <c r="NZ320" s="32"/>
      <c r="OA320" s="32"/>
      <c r="OB320" s="32"/>
      <c r="OC320" s="32"/>
      <c r="OD320" s="32"/>
      <c r="OE320" s="32"/>
      <c r="OF320" s="32"/>
      <c r="OG320" s="32"/>
      <c r="OH320" s="32"/>
      <c r="OI320" s="32"/>
      <c r="OJ320" s="32"/>
      <c r="OK320" s="32"/>
      <c r="OL320" s="32"/>
      <c r="OM320" s="32"/>
      <c r="ON320" s="32"/>
      <c r="OO320" s="32"/>
      <c r="OP320" s="32"/>
      <c r="OQ320" s="32"/>
      <c r="OR320" s="32"/>
      <c r="OS320" s="32"/>
      <c r="OT320" s="32"/>
      <c r="OU320" s="32"/>
      <c r="OV320" s="32"/>
      <c r="OW320" s="32"/>
      <c r="OX320" s="32"/>
      <c r="OY320" s="32"/>
      <c r="OZ320" s="32"/>
      <c r="PA320" s="32"/>
      <c r="PB320" s="32"/>
      <c r="PC320" s="32"/>
      <c r="PD320" s="32"/>
      <c r="PE320" s="32"/>
      <c r="PF320" s="32"/>
      <c r="PG320" s="32"/>
      <c r="PH320" s="32"/>
      <c r="PI320" s="32"/>
      <c r="PJ320" s="32"/>
      <c r="PK320" s="32"/>
      <c r="PL320" s="32"/>
      <c r="PM320" s="32"/>
      <c r="PN320" s="32"/>
      <c r="PO320" s="32"/>
      <c r="PP320" s="32"/>
      <c r="PQ320" s="32"/>
      <c r="PR320" s="32"/>
      <c r="PS320" s="32"/>
      <c r="PT320" s="32"/>
      <c r="PU320" s="32"/>
      <c r="PV320" s="32"/>
      <c r="PW320" s="32"/>
      <c r="PX320" s="32"/>
      <c r="PY320" s="32"/>
      <c r="PZ320" s="32"/>
      <c r="QA320" s="32"/>
      <c r="QB320" s="32"/>
      <c r="QC320" s="32"/>
      <c r="QD320" s="32"/>
      <c r="QE320" s="32"/>
      <c r="QF320" s="32"/>
      <c r="QG320" s="32"/>
      <c r="QH320" s="32"/>
      <c r="QI320" s="32"/>
      <c r="QJ320" s="32"/>
      <c r="QK320" s="32"/>
      <c r="QL320" s="32"/>
      <c r="QM320" s="32"/>
      <c r="QN320" s="32"/>
      <c r="QO320" s="32"/>
      <c r="QP320" s="32"/>
      <c r="QQ320" s="32"/>
      <c r="QR320" s="32"/>
      <c r="QS320" s="32"/>
      <c r="QT320" s="32"/>
      <c r="QU320" s="32"/>
      <c r="QV320" s="32"/>
      <c r="QW320" s="32"/>
      <c r="QX320" s="32"/>
      <c r="QY320" s="32"/>
      <c r="QZ320" s="32"/>
      <c r="RA320" s="32"/>
      <c r="RB320" s="32"/>
      <c r="RC320" s="32"/>
      <c r="RD320" s="32"/>
      <c r="RE320" s="32"/>
      <c r="RF320" s="32"/>
      <c r="RG320" s="32"/>
      <c r="RH320" s="32"/>
      <c r="RI320" s="32"/>
      <c r="RJ320" s="32"/>
      <c r="RK320" s="32"/>
      <c r="RL320" s="32"/>
      <c r="RM320" s="32"/>
      <c r="RN320" s="32"/>
      <c r="RO320" s="32"/>
      <c r="RP320" s="32"/>
      <c r="RQ320" s="32"/>
      <c r="RR320" s="32"/>
      <c r="RS320" s="32"/>
      <c r="RT320" s="32"/>
      <c r="RU320" s="32"/>
      <c r="RV320" s="32"/>
      <c r="RW320" s="32"/>
      <c r="RX320" s="32"/>
      <c r="RY320" s="32"/>
      <c r="RZ320" s="32"/>
      <c r="SA320" s="32"/>
      <c r="SB320" s="32"/>
      <c r="SC320" s="32"/>
      <c r="SD320" s="32"/>
      <c r="SE320" s="32"/>
      <c r="SF320" s="32"/>
      <c r="SG320" s="32"/>
      <c r="SH320" s="32"/>
      <c r="SI320" s="32"/>
      <c r="SJ320" s="32"/>
      <c r="SK320" s="32"/>
      <c r="SL320" s="32"/>
      <c r="SM320" s="32"/>
      <c r="SN320" s="32"/>
      <c r="SO320" s="32"/>
      <c r="SP320" s="32"/>
      <c r="SQ320" s="32"/>
      <c r="SR320" s="32"/>
      <c r="SS320" s="32"/>
      <c r="ST320" s="32"/>
      <c r="SU320" s="32"/>
      <c r="SV320" s="32"/>
      <c r="SW320" s="32"/>
      <c r="SX320" s="32"/>
      <c r="SY320" s="32"/>
      <c r="SZ320" s="32"/>
      <c r="TA320" s="32"/>
      <c r="TB320" s="32"/>
      <c r="TC320" s="32"/>
      <c r="TD320" s="32"/>
      <c r="TE320" s="32"/>
    </row>
    <row r="321" spans="1:525" s="34" customFormat="1" ht="40.5" customHeight="1" x14ac:dyDescent="0.25">
      <c r="A321" s="86" t="s">
        <v>211</v>
      </c>
      <c r="B321" s="95"/>
      <c r="C321" s="95"/>
      <c r="D321" s="70" t="s">
        <v>38</v>
      </c>
      <c r="E321" s="134">
        <f>E322+E323++E324+E325+E326+E327</f>
        <v>21726000</v>
      </c>
      <c r="F321" s="134">
        <f t="shared" ref="F321:P321" si="183">F322+F323++F324+F325+F326+F327</f>
        <v>21126000</v>
      </c>
      <c r="G321" s="134">
        <f t="shared" si="183"/>
        <v>14273200</v>
      </c>
      <c r="H321" s="134">
        <f t="shared" si="183"/>
        <v>628000</v>
      </c>
      <c r="I321" s="134">
        <f t="shared" si="183"/>
        <v>600000</v>
      </c>
      <c r="J321" s="134">
        <f t="shared" si="183"/>
        <v>175000</v>
      </c>
      <c r="K321" s="134">
        <f>K322+K323++K324+K325+K326+K327</f>
        <v>175000</v>
      </c>
      <c r="L321" s="134">
        <f t="shared" si="183"/>
        <v>0</v>
      </c>
      <c r="M321" s="134">
        <f t="shared" si="183"/>
        <v>0</v>
      </c>
      <c r="N321" s="134">
        <f t="shared" si="183"/>
        <v>0</v>
      </c>
      <c r="O321" s="134">
        <f t="shared" si="183"/>
        <v>175000</v>
      </c>
      <c r="P321" s="134">
        <f t="shared" si="183"/>
        <v>21901000</v>
      </c>
      <c r="Q321" s="178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  <c r="DB321" s="33"/>
      <c r="DC321" s="33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  <c r="EH321" s="33"/>
      <c r="EI321" s="33"/>
      <c r="EJ321" s="33"/>
      <c r="EK321" s="33"/>
      <c r="EL321" s="33"/>
      <c r="EM321" s="33"/>
      <c r="EN321" s="33"/>
      <c r="EO321" s="33"/>
      <c r="EP321" s="33"/>
      <c r="EQ321" s="33"/>
      <c r="ER321" s="33"/>
      <c r="ES321" s="33"/>
      <c r="ET321" s="33"/>
      <c r="EU321" s="33"/>
      <c r="EV321" s="33"/>
      <c r="EW321" s="33"/>
      <c r="EX321" s="33"/>
      <c r="EY321" s="33"/>
      <c r="EZ321" s="33"/>
      <c r="FA321" s="33"/>
      <c r="FB321" s="33"/>
      <c r="FC321" s="33"/>
      <c r="FD321" s="33"/>
      <c r="FE321" s="33"/>
      <c r="FF321" s="33"/>
      <c r="FG321" s="33"/>
      <c r="FH321" s="33"/>
      <c r="FI321" s="33"/>
      <c r="FJ321" s="33"/>
      <c r="FK321" s="33"/>
      <c r="FL321" s="33"/>
      <c r="FM321" s="33"/>
      <c r="FN321" s="33"/>
      <c r="FO321" s="33"/>
      <c r="FP321" s="33"/>
      <c r="FQ321" s="33"/>
      <c r="FR321" s="33"/>
      <c r="FS321" s="33"/>
      <c r="FT321" s="33"/>
      <c r="FU321" s="33"/>
      <c r="FV321" s="33"/>
      <c r="FW321" s="33"/>
      <c r="FX321" s="33"/>
      <c r="FY321" s="33"/>
      <c r="FZ321" s="33"/>
      <c r="GA321" s="33"/>
      <c r="GB321" s="33"/>
      <c r="GC321" s="33"/>
      <c r="GD321" s="33"/>
      <c r="GE321" s="33"/>
      <c r="GF321" s="33"/>
      <c r="GG321" s="33"/>
      <c r="GH321" s="33"/>
      <c r="GI321" s="33"/>
      <c r="GJ321" s="33"/>
      <c r="GK321" s="33"/>
      <c r="GL321" s="33"/>
      <c r="GM321" s="33"/>
      <c r="GN321" s="33"/>
      <c r="GO321" s="33"/>
      <c r="GP321" s="33"/>
      <c r="GQ321" s="33"/>
      <c r="GR321" s="33"/>
      <c r="GS321" s="33"/>
      <c r="GT321" s="33"/>
      <c r="GU321" s="33"/>
      <c r="GV321" s="33"/>
      <c r="GW321" s="33"/>
      <c r="GX321" s="33"/>
      <c r="GY321" s="33"/>
      <c r="GZ321" s="33"/>
      <c r="HA321" s="33"/>
      <c r="HB321" s="33"/>
      <c r="HC321" s="33"/>
      <c r="HD321" s="33"/>
      <c r="HE321" s="33"/>
      <c r="HF321" s="33"/>
      <c r="HG321" s="33"/>
      <c r="HH321" s="33"/>
      <c r="HI321" s="33"/>
      <c r="HJ321" s="33"/>
      <c r="HK321" s="33"/>
      <c r="HL321" s="33"/>
      <c r="HM321" s="33"/>
      <c r="HN321" s="33"/>
      <c r="HO321" s="33"/>
      <c r="HP321" s="33"/>
      <c r="HQ321" s="33"/>
      <c r="HR321" s="33"/>
      <c r="HS321" s="33"/>
      <c r="HT321" s="33"/>
      <c r="HU321" s="33"/>
      <c r="HV321" s="33"/>
      <c r="HW321" s="33"/>
      <c r="HX321" s="33"/>
      <c r="HY321" s="33"/>
      <c r="HZ321" s="33"/>
      <c r="IA321" s="33"/>
      <c r="IB321" s="33"/>
      <c r="IC321" s="33"/>
      <c r="ID321" s="33"/>
      <c r="IE321" s="33"/>
      <c r="IF321" s="33"/>
      <c r="IG321" s="33"/>
      <c r="IH321" s="33"/>
      <c r="II321" s="33"/>
      <c r="IJ321" s="33"/>
      <c r="IK321" s="33"/>
      <c r="IL321" s="33"/>
      <c r="IM321" s="33"/>
      <c r="IN321" s="33"/>
      <c r="IO321" s="33"/>
      <c r="IP321" s="33"/>
      <c r="IQ321" s="33"/>
      <c r="IR321" s="33"/>
      <c r="IS321" s="33"/>
      <c r="IT321" s="33"/>
      <c r="IU321" s="33"/>
      <c r="IV321" s="33"/>
      <c r="IW321" s="33"/>
      <c r="IX321" s="33"/>
      <c r="IY321" s="33"/>
      <c r="IZ321" s="33"/>
      <c r="JA321" s="33"/>
      <c r="JB321" s="33"/>
      <c r="JC321" s="33"/>
      <c r="JD321" s="33"/>
      <c r="JE321" s="33"/>
      <c r="JF321" s="33"/>
      <c r="JG321" s="33"/>
      <c r="JH321" s="33"/>
      <c r="JI321" s="33"/>
      <c r="JJ321" s="33"/>
      <c r="JK321" s="33"/>
      <c r="JL321" s="33"/>
      <c r="JM321" s="33"/>
      <c r="JN321" s="33"/>
      <c r="JO321" s="33"/>
      <c r="JP321" s="33"/>
      <c r="JQ321" s="33"/>
      <c r="JR321" s="33"/>
      <c r="JS321" s="33"/>
      <c r="JT321" s="33"/>
      <c r="JU321" s="33"/>
      <c r="JV321" s="33"/>
      <c r="JW321" s="33"/>
      <c r="JX321" s="33"/>
      <c r="JY321" s="33"/>
      <c r="JZ321" s="33"/>
      <c r="KA321" s="33"/>
      <c r="KB321" s="33"/>
      <c r="KC321" s="33"/>
      <c r="KD321" s="33"/>
      <c r="KE321" s="33"/>
      <c r="KF321" s="33"/>
      <c r="KG321" s="33"/>
      <c r="KH321" s="33"/>
      <c r="KI321" s="33"/>
      <c r="KJ321" s="33"/>
      <c r="KK321" s="33"/>
      <c r="KL321" s="33"/>
      <c r="KM321" s="33"/>
      <c r="KN321" s="33"/>
      <c r="KO321" s="33"/>
      <c r="KP321" s="33"/>
      <c r="KQ321" s="33"/>
      <c r="KR321" s="33"/>
      <c r="KS321" s="33"/>
      <c r="KT321" s="33"/>
      <c r="KU321" s="33"/>
      <c r="KV321" s="33"/>
      <c r="KW321" s="33"/>
      <c r="KX321" s="33"/>
      <c r="KY321" s="33"/>
      <c r="KZ321" s="33"/>
      <c r="LA321" s="33"/>
      <c r="LB321" s="33"/>
      <c r="LC321" s="33"/>
      <c r="LD321" s="33"/>
      <c r="LE321" s="33"/>
      <c r="LF321" s="33"/>
      <c r="LG321" s="33"/>
      <c r="LH321" s="33"/>
      <c r="LI321" s="33"/>
      <c r="LJ321" s="33"/>
      <c r="LK321" s="33"/>
      <c r="LL321" s="33"/>
      <c r="LM321" s="33"/>
      <c r="LN321" s="33"/>
      <c r="LO321" s="33"/>
      <c r="LP321" s="33"/>
      <c r="LQ321" s="33"/>
      <c r="LR321" s="33"/>
      <c r="LS321" s="33"/>
      <c r="LT321" s="33"/>
      <c r="LU321" s="33"/>
      <c r="LV321" s="33"/>
      <c r="LW321" s="33"/>
      <c r="LX321" s="33"/>
      <c r="LY321" s="33"/>
      <c r="LZ321" s="33"/>
      <c r="MA321" s="33"/>
      <c r="MB321" s="33"/>
      <c r="MC321" s="33"/>
      <c r="MD321" s="33"/>
      <c r="ME321" s="33"/>
      <c r="MF321" s="33"/>
      <c r="MG321" s="33"/>
      <c r="MH321" s="33"/>
      <c r="MI321" s="33"/>
      <c r="MJ321" s="33"/>
      <c r="MK321" s="33"/>
      <c r="ML321" s="33"/>
      <c r="MM321" s="33"/>
      <c r="MN321" s="33"/>
      <c r="MO321" s="33"/>
      <c r="MP321" s="33"/>
      <c r="MQ321" s="33"/>
      <c r="MR321" s="33"/>
      <c r="MS321" s="33"/>
      <c r="MT321" s="33"/>
      <c r="MU321" s="33"/>
      <c r="MV321" s="33"/>
      <c r="MW321" s="33"/>
      <c r="MX321" s="33"/>
      <c r="MY321" s="33"/>
      <c r="MZ321" s="33"/>
      <c r="NA321" s="33"/>
      <c r="NB321" s="33"/>
      <c r="NC321" s="33"/>
      <c r="ND321" s="33"/>
      <c r="NE321" s="33"/>
      <c r="NF321" s="33"/>
      <c r="NG321" s="33"/>
      <c r="NH321" s="33"/>
      <c r="NI321" s="33"/>
      <c r="NJ321" s="33"/>
      <c r="NK321" s="33"/>
      <c r="NL321" s="33"/>
      <c r="NM321" s="33"/>
      <c r="NN321" s="33"/>
      <c r="NO321" s="33"/>
      <c r="NP321" s="33"/>
      <c r="NQ321" s="33"/>
      <c r="NR321" s="33"/>
      <c r="NS321" s="33"/>
      <c r="NT321" s="33"/>
      <c r="NU321" s="33"/>
      <c r="NV321" s="33"/>
      <c r="NW321" s="33"/>
      <c r="NX321" s="33"/>
      <c r="NY321" s="33"/>
      <c r="NZ321" s="33"/>
      <c r="OA321" s="33"/>
      <c r="OB321" s="33"/>
      <c r="OC321" s="33"/>
      <c r="OD321" s="33"/>
      <c r="OE321" s="33"/>
      <c r="OF321" s="33"/>
      <c r="OG321" s="33"/>
      <c r="OH321" s="33"/>
      <c r="OI321" s="33"/>
      <c r="OJ321" s="33"/>
      <c r="OK321" s="33"/>
      <c r="OL321" s="33"/>
      <c r="OM321" s="33"/>
      <c r="ON321" s="33"/>
      <c r="OO321" s="33"/>
      <c r="OP321" s="33"/>
      <c r="OQ321" s="33"/>
      <c r="OR321" s="33"/>
      <c r="OS321" s="33"/>
      <c r="OT321" s="33"/>
      <c r="OU321" s="33"/>
      <c r="OV321" s="33"/>
      <c r="OW321" s="33"/>
      <c r="OX321" s="33"/>
      <c r="OY321" s="33"/>
      <c r="OZ321" s="33"/>
      <c r="PA321" s="33"/>
      <c r="PB321" s="33"/>
      <c r="PC321" s="33"/>
      <c r="PD321" s="33"/>
      <c r="PE321" s="33"/>
      <c r="PF321" s="33"/>
      <c r="PG321" s="33"/>
      <c r="PH321" s="33"/>
      <c r="PI321" s="33"/>
      <c r="PJ321" s="33"/>
      <c r="PK321" s="33"/>
      <c r="PL321" s="33"/>
      <c r="PM321" s="33"/>
      <c r="PN321" s="33"/>
      <c r="PO321" s="33"/>
      <c r="PP321" s="33"/>
      <c r="PQ321" s="33"/>
      <c r="PR321" s="33"/>
      <c r="PS321" s="33"/>
      <c r="PT321" s="33"/>
      <c r="PU321" s="33"/>
      <c r="PV321" s="33"/>
      <c r="PW321" s="33"/>
      <c r="PX321" s="33"/>
      <c r="PY321" s="33"/>
      <c r="PZ321" s="33"/>
      <c r="QA321" s="33"/>
      <c r="QB321" s="33"/>
      <c r="QC321" s="33"/>
      <c r="QD321" s="33"/>
      <c r="QE321" s="33"/>
      <c r="QF321" s="33"/>
      <c r="QG321" s="33"/>
      <c r="QH321" s="33"/>
      <c r="QI321" s="33"/>
      <c r="QJ321" s="33"/>
      <c r="QK321" s="33"/>
      <c r="QL321" s="33"/>
      <c r="QM321" s="33"/>
      <c r="QN321" s="33"/>
      <c r="QO321" s="33"/>
      <c r="QP321" s="33"/>
      <c r="QQ321" s="33"/>
      <c r="QR321" s="33"/>
      <c r="QS321" s="33"/>
      <c r="QT321" s="33"/>
      <c r="QU321" s="33"/>
      <c r="QV321" s="33"/>
      <c r="QW321" s="33"/>
      <c r="QX321" s="33"/>
      <c r="QY321" s="33"/>
      <c r="QZ321" s="33"/>
      <c r="RA321" s="33"/>
      <c r="RB321" s="33"/>
      <c r="RC321" s="33"/>
      <c r="RD321" s="33"/>
      <c r="RE321" s="33"/>
      <c r="RF321" s="33"/>
      <c r="RG321" s="33"/>
      <c r="RH321" s="33"/>
      <c r="RI321" s="33"/>
      <c r="RJ321" s="33"/>
      <c r="RK321" s="33"/>
      <c r="RL321" s="33"/>
      <c r="RM321" s="33"/>
      <c r="RN321" s="33"/>
      <c r="RO321" s="33"/>
      <c r="RP321" s="33"/>
      <c r="RQ321" s="33"/>
      <c r="RR321" s="33"/>
      <c r="RS321" s="33"/>
      <c r="RT321" s="33"/>
      <c r="RU321" s="33"/>
      <c r="RV321" s="33"/>
      <c r="RW321" s="33"/>
      <c r="RX321" s="33"/>
      <c r="RY321" s="33"/>
      <c r="RZ321" s="33"/>
      <c r="SA321" s="33"/>
      <c r="SB321" s="33"/>
      <c r="SC321" s="33"/>
      <c r="SD321" s="33"/>
      <c r="SE321" s="33"/>
      <c r="SF321" s="33"/>
      <c r="SG321" s="33"/>
      <c r="SH321" s="33"/>
      <c r="SI321" s="33"/>
      <c r="SJ321" s="33"/>
      <c r="SK321" s="33"/>
      <c r="SL321" s="33"/>
      <c r="SM321" s="33"/>
      <c r="SN321" s="33"/>
      <c r="SO321" s="33"/>
      <c r="SP321" s="33"/>
      <c r="SQ321" s="33"/>
      <c r="SR321" s="33"/>
      <c r="SS321" s="33"/>
      <c r="ST321" s="33"/>
      <c r="SU321" s="33"/>
      <c r="SV321" s="33"/>
      <c r="SW321" s="33"/>
      <c r="SX321" s="33"/>
      <c r="SY321" s="33"/>
      <c r="SZ321" s="33"/>
      <c r="TA321" s="33"/>
      <c r="TB321" s="33"/>
      <c r="TC321" s="33"/>
      <c r="TD321" s="33"/>
      <c r="TE321" s="33"/>
    </row>
    <row r="322" spans="1:525" s="22" customFormat="1" ht="50.25" customHeight="1" x14ac:dyDescent="0.25">
      <c r="A322" s="56" t="s">
        <v>212</v>
      </c>
      <c r="B322" s="84" t="str">
        <f>'дод 7'!A14</f>
        <v>0160</v>
      </c>
      <c r="C322" s="84" t="str">
        <f>'дод 7'!B14</f>
        <v>0111</v>
      </c>
      <c r="D322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322" s="135">
        <f t="shared" ref="E322:E327" si="184">F322+I322</f>
        <v>18876000</v>
      </c>
      <c r="F322" s="135">
        <f>20327900-1451900</f>
        <v>18876000</v>
      </c>
      <c r="G322" s="135">
        <f>15463300-1190100</f>
        <v>14273200</v>
      </c>
      <c r="H322" s="135">
        <v>628000</v>
      </c>
      <c r="I322" s="135"/>
      <c r="J322" s="135">
        <f>L322+O322</f>
        <v>0</v>
      </c>
      <c r="K322" s="135"/>
      <c r="L322" s="135"/>
      <c r="M322" s="135"/>
      <c r="N322" s="135"/>
      <c r="O322" s="135"/>
      <c r="P322" s="135">
        <f t="shared" ref="P322:P327" si="185">E322+J322</f>
        <v>18876000</v>
      </c>
      <c r="Q322" s="178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  <c r="SQ322" s="23"/>
      <c r="SR322" s="23"/>
      <c r="SS322" s="23"/>
      <c r="ST322" s="23"/>
      <c r="SU322" s="23"/>
      <c r="SV322" s="23"/>
      <c r="SW322" s="23"/>
      <c r="SX322" s="23"/>
      <c r="SY322" s="23"/>
      <c r="SZ322" s="23"/>
      <c r="TA322" s="23"/>
      <c r="TB322" s="23"/>
      <c r="TC322" s="23"/>
      <c r="TD322" s="23"/>
      <c r="TE322" s="23"/>
    </row>
    <row r="323" spans="1:525" s="25" customFormat="1" ht="30.75" customHeight="1" x14ac:dyDescent="0.25">
      <c r="A323" s="56" t="s">
        <v>213</v>
      </c>
      <c r="B323" s="84" t="str">
        <f>'дод 7'!A175</f>
        <v>7130</v>
      </c>
      <c r="C323" s="84" t="str">
        <f>'дод 7'!B175</f>
        <v>0421</v>
      </c>
      <c r="D323" s="57" t="str">
        <f>'дод 7'!C175</f>
        <v>Здійснення заходів із землеустрою</v>
      </c>
      <c r="E323" s="135">
        <f t="shared" si="184"/>
        <v>990000</v>
      </c>
      <c r="F323" s="135">
        <v>990000</v>
      </c>
      <c r="G323" s="135"/>
      <c r="H323" s="135"/>
      <c r="I323" s="135"/>
      <c r="J323" s="135">
        <f t="shared" ref="J323:J327" si="186">L323+O323</f>
        <v>0</v>
      </c>
      <c r="K323" s="135"/>
      <c r="L323" s="135"/>
      <c r="M323" s="135"/>
      <c r="N323" s="135"/>
      <c r="O323" s="135"/>
      <c r="P323" s="135">
        <f t="shared" si="185"/>
        <v>990000</v>
      </c>
      <c r="Q323" s="178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  <c r="HI323" s="31"/>
      <c r="HJ323" s="31"/>
      <c r="HK323" s="31"/>
      <c r="HL323" s="31"/>
      <c r="HM323" s="31"/>
      <c r="HN323" s="31"/>
      <c r="HO323" s="31"/>
      <c r="HP323" s="31"/>
      <c r="HQ323" s="31"/>
      <c r="HR323" s="31"/>
      <c r="HS323" s="31"/>
      <c r="HT323" s="31"/>
      <c r="HU323" s="31"/>
      <c r="HV323" s="31"/>
      <c r="HW323" s="31"/>
      <c r="HX323" s="31"/>
      <c r="HY323" s="31"/>
      <c r="HZ323" s="31"/>
      <c r="IA323" s="31"/>
      <c r="IB323" s="31"/>
      <c r="IC323" s="31"/>
      <c r="ID323" s="31"/>
      <c r="IE323" s="31"/>
      <c r="IF323" s="31"/>
      <c r="IG323" s="31"/>
      <c r="IH323" s="31"/>
      <c r="II323" s="31"/>
      <c r="IJ323" s="31"/>
      <c r="IK323" s="31"/>
      <c r="IL323" s="31"/>
      <c r="IM323" s="31"/>
      <c r="IN323" s="31"/>
      <c r="IO323" s="31"/>
      <c r="IP323" s="31"/>
      <c r="IQ323" s="31"/>
      <c r="IR323" s="31"/>
      <c r="IS323" s="31"/>
      <c r="IT323" s="31"/>
      <c r="IU323" s="31"/>
      <c r="IV323" s="31"/>
      <c r="IW323" s="31"/>
      <c r="IX323" s="31"/>
      <c r="IY323" s="31"/>
      <c r="IZ323" s="31"/>
      <c r="JA323" s="31"/>
      <c r="JB323" s="31"/>
      <c r="JC323" s="31"/>
      <c r="JD323" s="31"/>
      <c r="JE323" s="31"/>
      <c r="JF323" s="31"/>
      <c r="JG323" s="31"/>
      <c r="JH323" s="31"/>
      <c r="JI323" s="31"/>
      <c r="JJ323" s="31"/>
      <c r="JK323" s="31"/>
      <c r="JL323" s="31"/>
      <c r="JM323" s="31"/>
      <c r="JN323" s="31"/>
      <c r="JO323" s="31"/>
      <c r="JP323" s="31"/>
      <c r="JQ323" s="31"/>
      <c r="JR323" s="31"/>
      <c r="JS323" s="31"/>
      <c r="JT323" s="31"/>
      <c r="JU323" s="31"/>
      <c r="JV323" s="31"/>
      <c r="JW323" s="31"/>
      <c r="JX323" s="31"/>
      <c r="JY323" s="31"/>
      <c r="JZ323" s="31"/>
      <c r="KA323" s="31"/>
      <c r="KB323" s="31"/>
      <c r="KC323" s="31"/>
      <c r="KD323" s="31"/>
      <c r="KE323" s="31"/>
      <c r="KF323" s="31"/>
      <c r="KG323" s="31"/>
      <c r="KH323" s="31"/>
      <c r="KI323" s="31"/>
      <c r="KJ323" s="31"/>
      <c r="KK323" s="31"/>
      <c r="KL323" s="31"/>
      <c r="KM323" s="31"/>
      <c r="KN323" s="31"/>
      <c r="KO323" s="31"/>
      <c r="KP323" s="31"/>
      <c r="KQ323" s="31"/>
      <c r="KR323" s="31"/>
      <c r="KS323" s="31"/>
      <c r="KT323" s="31"/>
      <c r="KU323" s="31"/>
      <c r="KV323" s="31"/>
      <c r="KW323" s="31"/>
      <c r="KX323" s="31"/>
      <c r="KY323" s="31"/>
      <c r="KZ323" s="31"/>
      <c r="LA323" s="31"/>
      <c r="LB323" s="31"/>
      <c r="LC323" s="31"/>
      <c r="LD323" s="31"/>
      <c r="LE323" s="31"/>
      <c r="LF323" s="31"/>
      <c r="LG323" s="31"/>
      <c r="LH323" s="31"/>
      <c r="LI323" s="31"/>
      <c r="LJ323" s="31"/>
      <c r="LK323" s="31"/>
      <c r="LL323" s="31"/>
      <c r="LM323" s="31"/>
      <c r="LN323" s="31"/>
      <c r="LO323" s="31"/>
      <c r="LP323" s="31"/>
      <c r="LQ323" s="31"/>
      <c r="LR323" s="31"/>
      <c r="LS323" s="31"/>
      <c r="LT323" s="31"/>
      <c r="LU323" s="31"/>
      <c r="LV323" s="31"/>
      <c r="LW323" s="31"/>
      <c r="LX323" s="31"/>
      <c r="LY323" s="31"/>
      <c r="LZ323" s="31"/>
      <c r="MA323" s="31"/>
      <c r="MB323" s="31"/>
      <c r="MC323" s="31"/>
      <c r="MD323" s="31"/>
      <c r="ME323" s="31"/>
      <c r="MF323" s="31"/>
      <c r="MG323" s="31"/>
      <c r="MH323" s="31"/>
      <c r="MI323" s="31"/>
      <c r="MJ323" s="31"/>
      <c r="MK323" s="31"/>
      <c r="ML323" s="31"/>
      <c r="MM323" s="31"/>
      <c r="MN323" s="31"/>
      <c r="MO323" s="31"/>
      <c r="MP323" s="31"/>
      <c r="MQ323" s="31"/>
      <c r="MR323" s="31"/>
      <c r="MS323" s="31"/>
      <c r="MT323" s="31"/>
      <c r="MU323" s="31"/>
      <c r="MV323" s="31"/>
      <c r="MW323" s="31"/>
      <c r="MX323" s="31"/>
      <c r="MY323" s="31"/>
      <c r="MZ323" s="31"/>
      <c r="NA323" s="31"/>
      <c r="NB323" s="31"/>
      <c r="NC323" s="31"/>
      <c r="ND323" s="31"/>
      <c r="NE323" s="31"/>
      <c r="NF323" s="31"/>
      <c r="NG323" s="31"/>
      <c r="NH323" s="31"/>
      <c r="NI323" s="31"/>
      <c r="NJ323" s="31"/>
      <c r="NK323" s="31"/>
      <c r="NL323" s="31"/>
      <c r="NM323" s="31"/>
      <c r="NN323" s="31"/>
      <c r="NO323" s="31"/>
      <c r="NP323" s="31"/>
      <c r="NQ323" s="31"/>
      <c r="NR323" s="31"/>
      <c r="NS323" s="31"/>
      <c r="NT323" s="31"/>
      <c r="NU323" s="31"/>
      <c r="NV323" s="31"/>
      <c r="NW323" s="31"/>
      <c r="NX323" s="31"/>
      <c r="NY323" s="31"/>
      <c r="NZ323" s="31"/>
      <c r="OA323" s="31"/>
      <c r="OB323" s="31"/>
      <c r="OC323" s="31"/>
      <c r="OD323" s="31"/>
      <c r="OE323" s="31"/>
      <c r="OF323" s="31"/>
      <c r="OG323" s="31"/>
      <c r="OH323" s="31"/>
      <c r="OI323" s="31"/>
      <c r="OJ323" s="31"/>
      <c r="OK323" s="31"/>
      <c r="OL323" s="31"/>
      <c r="OM323" s="31"/>
      <c r="ON323" s="31"/>
      <c r="OO323" s="31"/>
      <c r="OP323" s="31"/>
      <c r="OQ323" s="31"/>
      <c r="OR323" s="31"/>
      <c r="OS323" s="31"/>
      <c r="OT323" s="31"/>
      <c r="OU323" s="31"/>
      <c r="OV323" s="31"/>
      <c r="OW323" s="31"/>
      <c r="OX323" s="31"/>
      <c r="OY323" s="31"/>
      <c r="OZ323" s="31"/>
      <c r="PA323" s="31"/>
      <c r="PB323" s="31"/>
      <c r="PC323" s="31"/>
      <c r="PD323" s="31"/>
      <c r="PE323" s="31"/>
      <c r="PF323" s="31"/>
      <c r="PG323" s="31"/>
      <c r="PH323" s="31"/>
      <c r="PI323" s="31"/>
      <c r="PJ323" s="31"/>
      <c r="PK323" s="31"/>
      <c r="PL323" s="31"/>
      <c r="PM323" s="31"/>
      <c r="PN323" s="31"/>
      <c r="PO323" s="31"/>
      <c r="PP323" s="31"/>
      <c r="PQ323" s="31"/>
      <c r="PR323" s="31"/>
      <c r="PS323" s="31"/>
      <c r="PT323" s="31"/>
      <c r="PU323" s="31"/>
      <c r="PV323" s="31"/>
      <c r="PW323" s="31"/>
      <c r="PX323" s="31"/>
      <c r="PY323" s="31"/>
      <c r="PZ323" s="31"/>
      <c r="QA323" s="31"/>
      <c r="QB323" s="31"/>
      <c r="QC323" s="31"/>
      <c r="QD323" s="31"/>
      <c r="QE323" s="31"/>
      <c r="QF323" s="31"/>
      <c r="QG323" s="31"/>
      <c r="QH323" s="31"/>
      <c r="QI323" s="31"/>
      <c r="QJ323" s="31"/>
      <c r="QK323" s="31"/>
      <c r="QL323" s="31"/>
      <c r="QM323" s="31"/>
      <c r="QN323" s="31"/>
      <c r="QO323" s="31"/>
      <c r="QP323" s="31"/>
      <c r="QQ323" s="31"/>
      <c r="QR323" s="31"/>
      <c r="QS323" s="31"/>
      <c r="QT323" s="31"/>
      <c r="QU323" s="31"/>
      <c r="QV323" s="31"/>
      <c r="QW323" s="31"/>
      <c r="QX323" s="31"/>
      <c r="QY323" s="31"/>
      <c r="QZ323" s="31"/>
      <c r="RA323" s="31"/>
      <c r="RB323" s="31"/>
      <c r="RC323" s="31"/>
      <c r="RD323" s="31"/>
      <c r="RE323" s="31"/>
      <c r="RF323" s="31"/>
      <c r="RG323" s="31"/>
      <c r="RH323" s="31"/>
      <c r="RI323" s="31"/>
      <c r="RJ323" s="31"/>
      <c r="RK323" s="31"/>
      <c r="RL323" s="31"/>
      <c r="RM323" s="31"/>
      <c r="RN323" s="31"/>
      <c r="RO323" s="31"/>
      <c r="RP323" s="31"/>
      <c r="RQ323" s="31"/>
      <c r="RR323" s="31"/>
      <c r="RS323" s="31"/>
      <c r="RT323" s="31"/>
      <c r="RU323" s="31"/>
      <c r="RV323" s="31"/>
      <c r="RW323" s="31"/>
      <c r="RX323" s="31"/>
      <c r="RY323" s="31"/>
      <c r="RZ323" s="31"/>
      <c r="SA323" s="31"/>
      <c r="SB323" s="31"/>
      <c r="SC323" s="31"/>
      <c r="SD323" s="31"/>
      <c r="SE323" s="31"/>
      <c r="SF323" s="31"/>
      <c r="SG323" s="31"/>
      <c r="SH323" s="31"/>
      <c r="SI323" s="31"/>
      <c r="SJ323" s="31"/>
      <c r="SK323" s="31"/>
      <c r="SL323" s="31"/>
      <c r="SM323" s="31"/>
      <c r="SN323" s="31"/>
      <c r="SO323" s="31"/>
      <c r="SP323" s="31"/>
      <c r="SQ323" s="31"/>
      <c r="SR323" s="31"/>
      <c r="SS323" s="31"/>
      <c r="ST323" s="31"/>
      <c r="SU323" s="31"/>
      <c r="SV323" s="31"/>
      <c r="SW323" s="31"/>
      <c r="SX323" s="31"/>
      <c r="SY323" s="31"/>
      <c r="SZ323" s="31"/>
      <c r="TA323" s="31"/>
      <c r="TB323" s="31"/>
      <c r="TC323" s="31"/>
      <c r="TD323" s="31"/>
      <c r="TE323" s="31"/>
    </row>
    <row r="324" spans="1:525" s="22" customFormat="1" ht="40.5" customHeight="1" x14ac:dyDescent="0.25">
      <c r="A324" s="89" t="s">
        <v>214</v>
      </c>
      <c r="B324" s="42" t="str">
        <f>'дод 7'!A216</f>
        <v>7610</v>
      </c>
      <c r="C324" s="42" t="str">
        <f>'дод 7'!B216</f>
        <v>0411</v>
      </c>
      <c r="D324" s="36" t="str">
        <f>'дод 7'!C216</f>
        <v>Сприяння розвитку малого та середнього підприємництва</v>
      </c>
      <c r="E324" s="135">
        <f t="shared" si="184"/>
        <v>1000000</v>
      </c>
      <c r="F324" s="135">
        <v>400000</v>
      </c>
      <c r="G324" s="135"/>
      <c r="H324" s="135"/>
      <c r="I324" s="135">
        <v>600000</v>
      </c>
      <c r="J324" s="135">
        <f t="shared" si="186"/>
        <v>0</v>
      </c>
      <c r="K324" s="135"/>
      <c r="L324" s="135"/>
      <c r="M324" s="135"/>
      <c r="N324" s="135"/>
      <c r="O324" s="135"/>
      <c r="P324" s="135">
        <f t="shared" si="185"/>
        <v>1000000</v>
      </c>
      <c r="Q324" s="178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  <c r="SQ324" s="23"/>
      <c r="SR324" s="23"/>
      <c r="SS324" s="23"/>
      <c r="ST324" s="23"/>
      <c r="SU324" s="23"/>
      <c r="SV324" s="23"/>
      <c r="SW324" s="23"/>
      <c r="SX324" s="23"/>
      <c r="SY324" s="23"/>
      <c r="SZ324" s="23"/>
      <c r="TA324" s="23"/>
      <c r="TB324" s="23"/>
      <c r="TC324" s="23"/>
      <c r="TD324" s="23"/>
      <c r="TE324" s="23"/>
    </row>
    <row r="325" spans="1:525" s="22" customFormat="1" ht="40.5" customHeight="1" x14ac:dyDescent="0.25">
      <c r="A325" s="89" t="s">
        <v>263</v>
      </c>
      <c r="B325" s="42" t="str">
        <f>'дод 7'!A219</f>
        <v>7650</v>
      </c>
      <c r="C325" s="42" t="str">
        <f>'дод 7'!B219</f>
        <v>0490</v>
      </c>
      <c r="D325" s="36" t="str">
        <f>'дод 7'!C219</f>
        <v>Проведення експертної грошової оцінки земельної ділянки чи права на неї</v>
      </c>
      <c r="E325" s="135">
        <f t="shared" si="184"/>
        <v>0</v>
      </c>
      <c r="F325" s="135"/>
      <c r="G325" s="135"/>
      <c r="H325" s="135"/>
      <c r="I325" s="135"/>
      <c r="J325" s="135">
        <f t="shared" si="186"/>
        <v>30000</v>
      </c>
      <c r="K325" s="135">
        <v>30000</v>
      </c>
      <c r="L325" s="135"/>
      <c r="M325" s="135"/>
      <c r="N325" s="135"/>
      <c r="O325" s="135">
        <v>30000</v>
      </c>
      <c r="P325" s="135">
        <f t="shared" si="185"/>
        <v>30000</v>
      </c>
      <c r="Q325" s="179">
        <v>22</v>
      </c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</row>
    <row r="326" spans="1:525" s="22" customFormat="1" ht="63" x14ac:dyDescent="0.25">
      <c r="A326" s="89" t="s">
        <v>265</v>
      </c>
      <c r="B326" s="42" t="str">
        <f>'дод 7'!A220</f>
        <v>7660</v>
      </c>
      <c r="C326" s="42" t="str">
        <f>'дод 7'!B220</f>
        <v>0490</v>
      </c>
      <c r="D326" s="36" t="str">
        <f>'дод 7'!C220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6" s="135">
        <f t="shared" si="184"/>
        <v>0</v>
      </c>
      <c r="F326" s="135"/>
      <c r="G326" s="135"/>
      <c r="H326" s="135"/>
      <c r="I326" s="135"/>
      <c r="J326" s="135">
        <f t="shared" si="186"/>
        <v>145000</v>
      </c>
      <c r="K326" s="135">
        <v>145000</v>
      </c>
      <c r="L326" s="135"/>
      <c r="M326" s="135"/>
      <c r="N326" s="135"/>
      <c r="O326" s="135">
        <v>145000</v>
      </c>
      <c r="P326" s="135">
        <f t="shared" si="185"/>
        <v>145000</v>
      </c>
      <c r="Q326" s="179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</row>
    <row r="327" spans="1:525" s="22" customFormat="1" ht="27.75" customHeight="1" x14ac:dyDescent="0.25">
      <c r="A327" s="89" t="s">
        <v>261</v>
      </c>
      <c r="B327" s="42" t="str">
        <f>'дод 7'!A225</f>
        <v>7693</v>
      </c>
      <c r="C327" s="42" t="str">
        <f>'дод 7'!B225</f>
        <v>0490</v>
      </c>
      <c r="D327" s="36" t="str">
        <f>'дод 7'!C225</f>
        <v>Інші заходи, пов'язані з економічною діяльністю</v>
      </c>
      <c r="E327" s="135">
        <f t="shared" si="184"/>
        <v>860000</v>
      </c>
      <c r="F327" s="135">
        <v>860000</v>
      </c>
      <c r="G327" s="135"/>
      <c r="H327" s="135"/>
      <c r="I327" s="135"/>
      <c r="J327" s="135">
        <f t="shared" si="186"/>
        <v>0</v>
      </c>
      <c r="K327" s="135"/>
      <c r="L327" s="135"/>
      <c r="M327" s="135"/>
      <c r="N327" s="135"/>
      <c r="O327" s="135"/>
      <c r="P327" s="135">
        <f t="shared" si="185"/>
        <v>860000</v>
      </c>
      <c r="Q327" s="179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  <c r="SQ327" s="23"/>
      <c r="SR327" s="23"/>
      <c r="SS327" s="23"/>
      <c r="ST327" s="23"/>
      <c r="SU327" s="23"/>
      <c r="SV327" s="23"/>
      <c r="SW327" s="23"/>
      <c r="SX327" s="23"/>
      <c r="SY327" s="23"/>
      <c r="SZ327" s="23"/>
      <c r="TA327" s="23"/>
      <c r="TB327" s="23"/>
      <c r="TC327" s="23"/>
      <c r="TD327" s="23"/>
      <c r="TE327" s="23"/>
    </row>
    <row r="328" spans="1:525" s="27" customFormat="1" ht="38.25" customHeight="1" x14ac:dyDescent="0.25">
      <c r="A328" s="96" t="s">
        <v>215</v>
      </c>
      <c r="B328" s="98"/>
      <c r="C328" s="98"/>
      <c r="D328" s="93" t="s">
        <v>40</v>
      </c>
      <c r="E328" s="133">
        <f>E329</f>
        <v>240100068</v>
      </c>
      <c r="F328" s="133">
        <f t="shared" ref="F328:J328" si="187">F329</f>
        <v>195532600</v>
      </c>
      <c r="G328" s="133">
        <f t="shared" si="187"/>
        <v>15186600</v>
      </c>
      <c r="H328" s="133">
        <f t="shared" si="187"/>
        <v>542000</v>
      </c>
      <c r="I328" s="133">
        <f t="shared" si="187"/>
        <v>0</v>
      </c>
      <c r="J328" s="133">
        <f t="shared" si="187"/>
        <v>104000</v>
      </c>
      <c r="K328" s="133">
        <f t="shared" ref="K328" si="188">K329</f>
        <v>0</v>
      </c>
      <c r="L328" s="133">
        <f t="shared" ref="L328" si="189">L329</f>
        <v>104000</v>
      </c>
      <c r="M328" s="133">
        <f t="shared" ref="M328" si="190">M329</f>
        <v>0</v>
      </c>
      <c r="N328" s="133">
        <f t="shared" ref="N328" si="191">N329</f>
        <v>0</v>
      </c>
      <c r="O328" s="133">
        <f t="shared" ref="O328:P328" si="192">O329</f>
        <v>0</v>
      </c>
      <c r="P328" s="133">
        <f t="shared" si="192"/>
        <v>240204068</v>
      </c>
      <c r="Q328" s="179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  <c r="FK328" s="32"/>
      <c r="FL328" s="32"/>
      <c r="FM328" s="32"/>
      <c r="FN328" s="32"/>
      <c r="FO328" s="32"/>
      <c r="FP328" s="32"/>
      <c r="FQ328" s="32"/>
      <c r="FR328" s="32"/>
      <c r="FS328" s="32"/>
      <c r="FT328" s="32"/>
      <c r="FU328" s="32"/>
      <c r="FV328" s="32"/>
      <c r="FW328" s="32"/>
      <c r="FX328" s="32"/>
      <c r="FY328" s="32"/>
      <c r="FZ328" s="32"/>
      <c r="GA328" s="32"/>
      <c r="GB328" s="32"/>
      <c r="GC328" s="32"/>
      <c r="GD328" s="32"/>
      <c r="GE328" s="32"/>
      <c r="GF328" s="32"/>
      <c r="GG328" s="32"/>
      <c r="GH328" s="32"/>
      <c r="GI328" s="32"/>
      <c r="GJ328" s="32"/>
      <c r="GK328" s="32"/>
      <c r="GL328" s="32"/>
      <c r="GM328" s="32"/>
      <c r="GN328" s="32"/>
      <c r="GO328" s="32"/>
      <c r="GP328" s="32"/>
      <c r="GQ328" s="32"/>
      <c r="GR328" s="32"/>
      <c r="GS328" s="32"/>
      <c r="GT328" s="32"/>
      <c r="GU328" s="32"/>
      <c r="GV328" s="32"/>
      <c r="GW328" s="32"/>
      <c r="GX328" s="32"/>
      <c r="GY328" s="32"/>
      <c r="GZ328" s="32"/>
      <c r="HA328" s="32"/>
      <c r="HB328" s="32"/>
      <c r="HC328" s="32"/>
      <c r="HD328" s="32"/>
      <c r="HE328" s="32"/>
      <c r="HF328" s="32"/>
      <c r="HG328" s="32"/>
      <c r="HH328" s="32"/>
      <c r="HI328" s="32"/>
      <c r="HJ328" s="32"/>
      <c r="HK328" s="32"/>
      <c r="HL328" s="32"/>
      <c r="HM328" s="32"/>
      <c r="HN328" s="32"/>
      <c r="HO328" s="32"/>
      <c r="HP328" s="32"/>
      <c r="HQ328" s="32"/>
      <c r="HR328" s="32"/>
      <c r="HS328" s="32"/>
      <c r="HT328" s="32"/>
      <c r="HU328" s="32"/>
      <c r="HV328" s="32"/>
      <c r="HW328" s="32"/>
      <c r="HX328" s="32"/>
      <c r="HY328" s="32"/>
      <c r="HZ328" s="32"/>
      <c r="IA328" s="32"/>
      <c r="IB328" s="32"/>
      <c r="IC328" s="32"/>
      <c r="ID328" s="32"/>
      <c r="IE328" s="32"/>
      <c r="IF328" s="32"/>
      <c r="IG328" s="32"/>
      <c r="IH328" s="32"/>
      <c r="II328" s="32"/>
      <c r="IJ328" s="32"/>
      <c r="IK328" s="32"/>
      <c r="IL328" s="32"/>
      <c r="IM328" s="32"/>
      <c r="IN328" s="32"/>
      <c r="IO328" s="32"/>
      <c r="IP328" s="32"/>
      <c r="IQ328" s="32"/>
      <c r="IR328" s="32"/>
      <c r="IS328" s="32"/>
      <c r="IT328" s="32"/>
      <c r="IU328" s="32"/>
      <c r="IV328" s="32"/>
      <c r="IW328" s="32"/>
      <c r="IX328" s="32"/>
      <c r="IY328" s="32"/>
      <c r="IZ328" s="32"/>
      <c r="JA328" s="32"/>
      <c r="JB328" s="32"/>
      <c r="JC328" s="32"/>
      <c r="JD328" s="32"/>
      <c r="JE328" s="32"/>
      <c r="JF328" s="32"/>
      <c r="JG328" s="32"/>
      <c r="JH328" s="32"/>
      <c r="JI328" s="32"/>
      <c r="JJ328" s="32"/>
      <c r="JK328" s="32"/>
      <c r="JL328" s="32"/>
      <c r="JM328" s="32"/>
      <c r="JN328" s="32"/>
      <c r="JO328" s="32"/>
      <c r="JP328" s="32"/>
      <c r="JQ328" s="32"/>
      <c r="JR328" s="32"/>
      <c r="JS328" s="32"/>
      <c r="JT328" s="32"/>
      <c r="JU328" s="32"/>
      <c r="JV328" s="32"/>
      <c r="JW328" s="32"/>
      <c r="JX328" s="32"/>
      <c r="JY328" s="32"/>
      <c r="JZ328" s="32"/>
      <c r="KA328" s="32"/>
      <c r="KB328" s="32"/>
      <c r="KC328" s="32"/>
      <c r="KD328" s="32"/>
      <c r="KE328" s="32"/>
      <c r="KF328" s="32"/>
      <c r="KG328" s="32"/>
      <c r="KH328" s="32"/>
      <c r="KI328" s="32"/>
      <c r="KJ328" s="32"/>
      <c r="KK328" s="32"/>
      <c r="KL328" s="32"/>
      <c r="KM328" s="32"/>
      <c r="KN328" s="32"/>
      <c r="KO328" s="32"/>
      <c r="KP328" s="32"/>
      <c r="KQ328" s="32"/>
      <c r="KR328" s="32"/>
      <c r="KS328" s="32"/>
      <c r="KT328" s="32"/>
      <c r="KU328" s="32"/>
      <c r="KV328" s="32"/>
      <c r="KW328" s="32"/>
      <c r="KX328" s="32"/>
      <c r="KY328" s="32"/>
      <c r="KZ328" s="32"/>
      <c r="LA328" s="32"/>
      <c r="LB328" s="32"/>
      <c r="LC328" s="32"/>
      <c r="LD328" s="32"/>
      <c r="LE328" s="32"/>
      <c r="LF328" s="32"/>
      <c r="LG328" s="32"/>
      <c r="LH328" s="32"/>
      <c r="LI328" s="32"/>
      <c r="LJ328" s="32"/>
      <c r="LK328" s="32"/>
      <c r="LL328" s="32"/>
      <c r="LM328" s="32"/>
      <c r="LN328" s="32"/>
      <c r="LO328" s="32"/>
      <c r="LP328" s="32"/>
      <c r="LQ328" s="32"/>
      <c r="LR328" s="32"/>
      <c r="LS328" s="32"/>
      <c r="LT328" s="32"/>
      <c r="LU328" s="32"/>
      <c r="LV328" s="32"/>
      <c r="LW328" s="32"/>
      <c r="LX328" s="32"/>
      <c r="LY328" s="32"/>
      <c r="LZ328" s="32"/>
      <c r="MA328" s="32"/>
      <c r="MB328" s="32"/>
      <c r="MC328" s="32"/>
      <c r="MD328" s="32"/>
      <c r="ME328" s="32"/>
      <c r="MF328" s="32"/>
      <c r="MG328" s="32"/>
      <c r="MH328" s="32"/>
      <c r="MI328" s="32"/>
      <c r="MJ328" s="32"/>
      <c r="MK328" s="32"/>
      <c r="ML328" s="32"/>
      <c r="MM328" s="32"/>
      <c r="MN328" s="32"/>
      <c r="MO328" s="32"/>
      <c r="MP328" s="32"/>
      <c r="MQ328" s="32"/>
      <c r="MR328" s="32"/>
      <c r="MS328" s="32"/>
      <c r="MT328" s="32"/>
      <c r="MU328" s="32"/>
      <c r="MV328" s="32"/>
      <c r="MW328" s="32"/>
      <c r="MX328" s="32"/>
      <c r="MY328" s="32"/>
      <c r="MZ328" s="32"/>
      <c r="NA328" s="32"/>
      <c r="NB328" s="32"/>
      <c r="NC328" s="32"/>
      <c r="ND328" s="32"/>
      <c r="NE328" s="32"/>
      <c r="NF328" s="32"/>
      <c r="NG328" s="32"/>
      <c r="NH328" s="32"/>
      <c r="NI328" s="32"/>
      <c r="NJ328" s="32"/>
      <c r="NK328" s="32"/>
      <c r="NL328" s="32"/>
      <c r="NM328" s="32"/>
      <c r="NN328" s="32"/>
      <c r="NO328" s="32"/>
      <c r="NP328" s="32"/>
      <c r="NQ328" s="32"/>
      <c r="NR328" s="32"/>
      <c r="NS328" s="32"/>
      <c r="NT328" s="32"/>
      <c r="NU328" s="32"/>
      <c r="NV328" s="32"/>
      <c r="NW328" s="32"/>
      <c r="NX328" s="32"/>
      <c r="NY328" s="32"/>
      <c r="NZ328" s="32"/>
      <c r="OA328" s="32"/>
      <c r="OB328" s="32"/>
      <c r="OC328" s="32"/>
      <c r="OD328" s="32"/>
      <c r="OE328" s="32"/>
      <c r="OF328" s="32"/>
      <c r="OG328" s="32"/>
      <c r="OH328" s="32"/>
      <c r="OI328" s="32"/>
      <c r="OJ328" s="32"/>
      <c r="OK328" s="32"/>
      <c r="OL328" s="32"/>
      <c r="OM328" s="32"/>
      <c r="ON328" s="32"/>
      <c r="OO328" s="32"/>
      <c r="OP328" s="32"/>
      <c r="OQ328" s="32"/>
      <c r="OR328" s="32"/>
      <c r="OS328" s="32"/>
      <c r="OT328" s="32"/>
      <c r="OU328" s="32"/>
      <c r="OV328" s="32"/>
      <c r="OW328" s="32"/>
      <c r="OX328" s="32"/>
      <c r="OY328" s="32"/>
      <c r="OZ328" s="32"/>
      <c r="PA328" s="32"/>
      <c r="PB328" s="32"/>
      <c r="PC328" s="32"/>
      <c r="PD328" s="32"/>
      <c r="PE328" s="32"/>
      <c r="PF328" s="32"/>
      <c r="PG328" s="32"/>
      <c r="PH328" s="32"/>
      <c r="PI328" s="32"/>
      <c r="PJ328" s="32"/>
      <c r="PK328" s="32"/>
      <c r="PL328" s="32"/>
      <c r="PM328" s="32"/>
      <c r="PN328" s="32"/>
      <c r="PO328" s="32"/>
      <c r="PP328" s="32"/>
      <c r="PQ328" s="32"/>
      <c r="PR328" s="32"/>
      <c r="PS328" s="32"/>
      <c r="PT328" s="32"/>
      <c r="PU328" s="32"/>
      <c r="PV328" s="32"/>
      <c r="PW328" s="32"/>
      <c r="PX328" s="32"/>
      <c r="PY328" s="32"/>
      <c r="PZ328" s="32"/>
      <c r="QA328" s="32"/>
      <c r="QB328" s="32"/>
      <c r="QC328" s="32"/>
      <c r="QD328" s="32"/>
      <c r="QE328" s="32"/>
      <c r="QF328" s="32"/>
      <c r="QG328" s="32"/>
      <c r="QH328" s="32"/>
      <c r="QI328" s="32"/>
      <c r="QJ328" s="32"/>
      <c r="QK328" s="32"/>
      <c r="QL328" s="32"/>
      <c r="QM328" s="32"/>
      <c r="QN328" s="32"/>
      <c r="QO328" s="32"/>
      <c r="QP328" s="32"/>
      <c r="QQ328" s="32"/>
      <c r="QR328" s="32"/>
      <c r="QS328" s="32"/>
      <c r="QT328" s="32"/>
      <c r="QU328" s="32"/>
      <c r="QV328" s="32"/>
      <c r="QW328" s="32"/>
      <c r="QX328" s="32"/>
      <c r="QY328" s="32"/>
      <c r="QZ328" s="32"/>
      <c r="RA328" s="32"/>
      <c r="RB328" s="32"/>
      <c r="RC328" s="32"/>
      <c r="RD328" s="32"/>
      <c r="RE328" s="32"/>
      <c r="RF328" s="32"/>
      <c r="RG328" s="32"/>
      <c r="RH328" s="32"/>
      <c r="RI328" s="32"/>
      <c r="RJ328" s="32"/>
      <c r="RK328" s="32"/>
      <c r="RL328" s="32"/>
      <c r="RM328" s="32"/>
      <c r="RN328" s="32"/>
      <c r="RO328" s="32"/>
      <c r="RP328" s="32"/>
      <c r="RQ328" s="32"/>
      <c r="RR328" s="32"/>
      <c r="RS328" s="32"/>
      <c r="RT328" s="32"/>
      <c r="RU328" s="32"/>
      <c r="RV328" s="32"/>
      <c r="RW328" s="32"/>
      <c r="RX328" s="32"/>
      <c r="RY328" s="32"/>
      <c r="RZ328" s="32"/>
      <c r="SA328" s="32"/>
      <c r="SB328" s="32"/>
      <c r="SC328" s="32"/>
      <c r="SD328" s="32"/>
      <c r="SE328" s="32"/>
      <c r="SF328" s="32"/>
      <c r="SG328" s="32"/>
      <c r="SH328" s="32"/>
      <c r="SI328" s="32"/>
      <c r="SJ328" s="32"/>
      <c r="SK328" s="32"/>
      <c r="SL328" s="32"/>
      <c r="SM328" s="32"/>
      <c r="SN328" s="32"/>
      <c r="SO328" s="32"/>
      <c r="SP328" s="32"/>
      <c r="SQ328" s="32"/>
      <c r="SR328" s="32"/>
      <c r="SS328" s="32"/>
      <c r="ST328" s="32"/>
      <c r="SU328" s="32"/>
      <c r="SV328" s="32"/>
      <c r="SW328" s="32"/>
      <c r="SX328" s="32"/>
      <c r="SY328" s="32"/>
      <c r="SZ328" s="32"/>
      <c r="TA328" s="32"/>
      <c r="TB328" s="32"/>
      <c r="TC328" s="32"/>
      <c r="TD328" s="32"/>
      <c r="TE328" s="32"/>
    </row>
    <row r="329" spans="1:525" s="34" customFormat="1" ht="34.5" customHeight="1" x14ac:dyDescent="0.25">
      <c r="A329" s="86" t="s">
        <v>216</v>
      </c>
      <c r="B329" s="95"/>
      <c r="C329" s="95"/>
      <c r="D329" s="70" t="s">
        <v>40</v>
      </c>
      <c r="E329" s="134">
        <f>SUM(E330+E331+E332+E334+E335+E336+E337+E333)</f>
        <v>240100068</v>
      </c>
      <c r="F329" s="134">
        <f t="shared" ref="F329:P329" si="193">SUM(F330+F331+F332+F334+F335+F336+F337+F333)</f>
        <v>195532600</v>
      </c>
      <c r="G329" s="134">
        <f t="shared" si="193"/>
        <v>15186600</v>
      </c>
      <c r="H329" s="134">
        <f t="shared" si="193"/>
        <v>542000</v>
      </c>
      <c r="I329" s="134">
        <f t="shared" si="193"/>
        <v>0</v>
      </c>
      <c r="J329" s="134">
        <f t="shared" si="193"/>
        <v>104000</v>
      </c>
      <c r="K329" s="134">
        <f t="shared" si="193"/>
        <v>0</v>
      </c>
      <c r="L329" s="134">
        <f t="shared" si="193"/>
        <v>104000</v>
      </c>
      <c r="M329" s="134">
        <f t="shared" si="193"/>
        <v>0</v>
      </c>
      <c r="N329" s="134">
        <f t="shared" si="193"/>
        <v>0</v>
      </c>
      <c r="O329" s="134">
        <f t="shared" si="193"/>
        <v>0</v>
      </c>
      <c r="P329" s="134">
        <f t="shared" si="193"/>
        <v>240204068</v>
      </c>
      <c r="Q329" s="179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E329" s="33"/>
      <c r="DF329" s="33"/>
      <c r="DG329" s="33"/>
      <c r="DH329" s="33"/>
      <c r="DI329" s="33"/>
      <c r="DJ329" s="33"/>
      <c r="DK329" s="33"/>
      <c r="DL329" s="33"/>
      <c r="DM329" s="33"/>
      <c r="DN329" s="33"/>
      <c r="DO329" s="33"/>
      <c r="DP329" s="33"/>
      <c r="DQ329" s="33"/>
      <c r="DR329" s="33"/>
      <c r="DS329" s="33"/>
      <c r="DT329" s="33"/>
      <c r="DU329" s="33"/>
      <c r="DV329" s="33"/>
      <c r="DW329" s="33"/>
      <c r="DX329" s="33"/>
      <c r="DY329" s="33"/>
      <c r="DZ329" s="33"/>
      <c r="EA329" s="33"/>
      <c r="EB329" s="33"/>
      <c r="EC329" s="33"/>
      <c r="ED329" s="33"/>
      <c r="EE329" s="33"/>
      <c r="EF329" s="33"/>
      <c r="EG329" s="33"/>
      <c r="EH329" s="33"/>
      <c r="EI329" s="33"/>
      <c r="EJ329" s="33"/>
      <c r="EK329" s="33"/>
      <c r="EL329" s="33"/>
      <c r="EM329" s="33"/>
      <c r="EN329" s="33"/>
      <c r="EO329" s="33"/>
      <c r="EP329" s="33"/>
      <c r="EQ329" s="33"/>
      <c r="ER329" s="33"/>
      <c r="ES329" s="33"/>
      <c r="ET329" s="33"/>
      <c r="EU329" s="33"/>
      <c r="EV329" s="33"/>
      <c r="EW329" s="33"/>
      <c r="EX329" s="33"/>
      <c r="EY329" s="33"/>
      <c r="EZ329" s="33"/>
      <c r="FA329" s="33"/>
      <c r="FB329" s="33"/>
      <c r="FC329" s="33"/>
      <c r="FD329" s="33"/>
      <c r="FE329" s="33"/>
      <c r="FF329" s="33"/>
      <c r="FG329" s="33"/>
      <c r="FH329" s="33"/>
      <c r="FI329" s="33"/>
      <c r="FJ329" s="33"/>
      <c r="FK329" s="33"/>
      <c r="FL329" s="33"/>
      <c r="FM329" s="33"/>
      <c r="FN329" s="33"/>
      <c r="FO329" s="33"/>
      <c r="FP329" s="33"/>
      <c r="FQ329" s="33"/>
      <c r="FR329" s="33"/>
      <c r="FS329" s="33"/>
      <c r="FT329" s="33"/>
      <c r="FU329" s="33"/>
      <c r="FV329" s="33"/>
      <c r="FW329" s="33"/>
      <c r="FX329" s="33"/>
      <c r="FY329" s="33"/>
      <c r="FZ329" s="33"/>
      <c r="GA329" s="33"/>
      <c r="GB329" s="33"/>
      <c r="GC329" s="33"/>
      <c r="GD329" s="33"/>
      <c r="GE329" s="33"/>
      <c r="GF329" s="33"/>
      <c r="GG329" s="33"/>
      <c r="GH329" s="33"/>
      <c r="GI329" s="33"/>
      <c r="GJ329" s="33"/>
      <c r="GK329" s="33"/>
      <c r="GL329" s="33"/>
      <c r="GM329" s="33"/>
      <c r="GN329" s="33"/>
      <c r="GO329" s="33"/>
      <c r="GP329" s="33"/>
      <c r="GQ329" s="33"/>
      <c r="GR329" s="33"/>
      <c r="GS329" s="33"/>
      <c r="GT329" s="33"/>
      <c r="GU329" s="33"/>
      <c r="GV329" s="33"/>
      <c r="GW329" s="33"/>
      <c r="GX329" s="33"/>
      <c r="GY329" s="33"/>
      <c r="GZ329" s="33"/>
      <c r="HA329" s="33"/>
      <c r="HB329" s="33"/>
      <c r="HC329" s="33"/>
      <c r="HD329" s="33"/>
      <c r="HE329" s="33"/>
      <c r="HF329" s="33"/>
      <c r="HG329" s="33"/>
      <c r="HH329" s="33"/>
      <c r="HI329" s="33"/>
      <c r="HJ329" s="33"/>
      <c r="HK329" s="33"/>
      <c r="HL329" s="33"/>
      <c r="HM329" s="33"/>
      <c r="HN329" s="33"/>
      <c r="HO329" s="33"/>
      <c r="HP329" s="33"/>
      <c r="HQ329" s="33"/>
      <c r="HR329" s="33"/>
      <c r="HS329" s="33"/>
      <c r="HT329" s="33"/>
      <c r="HU329" s="33"/>
      <c r="HV329" s="33"/>
      <c r="HW329" s="33"/>
      <c r="HX329" s="33"/>
      <c r="HY329" s="33"/>
      <c r="HZ329" s="33"/>
      <c r="IA329" s="33"/>
      <c r="IB329" s="33"/>
      <c r="IC329" s="33"/>
      <c r="ID329" s="33"/>
      <c r="IE329" s="33"/>
      <c r="IF329" s="33"/>
      <c r="IG329" s="33"/>
      <c r="IH329" s="33"/>
      <c r="II329" s="33"/>
      <c r="IJ329" s="33"/>
      <c r="IK329" s="33"/>
      <c r="IL329" s="33"/>
      <c r="IM329" s="33"/>
      <c r="IN329" s="33"/>
      <c r="IO329" s="33"/>
      <c r="IP329" s="33"/>
      <c r="IQ329" s="33"/>
      <c r="IR329" s="33"/>
      <c r="IS329" s="33"/>
      <c r="IT329" s="33"/>
      <c r="IU329" s="33"/>
      <c r="IV329" s="33"/>
      <c r="IW329" s="33"/>
      <c r="IX329" s="33"/>
      <c r="IY329" s="33"/>
      <c r="IZ329" s="33"/>
      <c r="JA329" s="33"/>
      <c r="JB329" s="33"/>
      <c r="JC329" s="33"/>
      <c r="JD329" s="33"/>
      <c r="JE329" s="33"/>
      <c r="JF329" s="33"/>
      <c r="JG329" s="33"/>
      <c r="JH329" s="33"/>
      <c r="JI329" s="33"/>
      <c r="JJ329" s="33"/>
      <c r="JK329" s="33"/>
      <c r="JL329" s="33"/>
      <c r="JM329" s="33"/>
      <c r="JN329" s="33"/>
      <c r="JO329" s="33"/>
      <c r="JP329" s="33"/>
      <c r="JQ329" s="33"/>
      <c r="JR329" s="33"/>
      <c r="JS329" s="33"/>
      <c r="JT329" s="33"/>
      <c r="JU329" s="33"/>
      <c r="JV329" s="33"/>
      <c r="JW329" s="33"/>
      <c r="JX329" s="33"/>
      <c r="JY329" s="33"/>
      <c r="JZ329" s="33"/>
      <c r="KA329" s="33"/>
      <c r="KB329" s="33"/>
      <c r="KC329" s="33"/>
      <c r="KD329" s="33"/>
      <c r="KE329" s="33"/>
      <c r="KF329" s="33"/>
      <c r="KG329" s="33"/>
      <c r="KH329" s="33"/>
      <c r="KI329" s="33"/>
      <c r="KJ329" s="33"/>
      <c r="KK329" s="33"/>
      <c r="KL329" s="33"/>
      <c r="KM329" s="33"/>
      <c r="KN329" s="33"/>
      <c r="KO329" s="33"/>
      <c r="KP329" s="33"/>
      <c r="KQ329" s="33"/>
      <c r="KR329" s="33"/>
      <c r="KS329" s="33"/>
      <c r="KT329" s="33"/>
      <c r="KU329" s="33"/>
      <c r="KV329" s="33"/>
      <c r="KW329" s="33"/>
      <c r="KX329" s="33"/>
      <c r="KY329" s="33"/>
      <c r="KZ329" s="33"/>
      <c r="LA329" s="33"/>
      <c r="LB329" s="33"/>
      <c r="LC329" s="33"/>
      <c r="LD329" s="33"/>
      <c r="LE329" s="33"/>
      <c r="LF329" s="33"/>
      <c r="LG329" s="33"/>
      <c r="LH329" s="33"/>
      <c r="LI329" s="33"/>
      <c r="LJ329" s="33"/>
      <c r="LK329" s="33"/>
      <c r="LL329" s="33"/>
      <c r="LM329" s="33"/>
      <c r="LN329" s="33"/>
      <c r="LO329" s="33"/>
      <c r="LP329" s="33"/>
      <c r="LQ329" s="33"/>
      <c r="LR329" s="33"/>
      <c r="LS329" s="33"/>
      <c r="LT329" s="33"/>
      <c r="LU329" s="33"/>
      <c r="LV329" s="33"/>
      <c r="LW329" s="33"/>
      <c r="LX329" s="33"/>
      <c r="LY329" s="33"/>
      <c r="LZ329" s="33"/>
      <c r="MA329" s="33"/>
      <c r="MB329" s="33"/>
      <c r="MC329" s="33"/>
      <c r="MD329" s="33"/>
      <c r="ME329" s="33"/>
      <c r="MF329" s="33"/>
      <c r="MG329" s="33"/>
      <c r="MH329" s="33"/>
      <c r="MI329" s="33"/>
      <c r="MJ329" s="33"/>
      <c r="MK329" s="33"/>
      <c r="ML329" s="33"/>
      <c r="MM329" s="33"/>
      <c r="MN329" s="33"/>
      <c r="MO329" s="33"/>
      <c r="MP329" s="33"/>
      <c r="MQ329" s="33"/>
      <c r="MR329" s="33"/>
      <c r="MS329" s="33"/>
      <c r="MT329" s="33"/>
      <c r="MU329" s="33"/>
      <c r="MV329" s="33"/>
      <c r="MW329" s="33"/>
      <c r="MX329" s="33"/>
      <c r="MY329" s="33"/>
      <c r="MZ329" s="33"/>
      <c r="NA329" s="33"/>
      <c r="NB329" s="33"/>
      <c r="NC329" s="33"/>
      <c r="ND329" s="33"/>
      <c r="NE329" s="33"/>
      <c r="NF329" s="33"/>
      <c r="NG329" s="33"/>
      <c r="NH329" s="33"/>
      <c r="NI329" s="33"/>
      <c r="NJ329" s="33"/>
      <c r="NK329" s="33"/>
      <c r="NL329" s="33"/>
      <c r="NM329" s="33"/>
      <c r="NN329" s="33"/>
      <c r="NO329" s="33"/>
      <c r="NP329" s="33"/>
      <c r="NQ329" s="33"/>
      <c r="NR329" s="33"/>
      <c r="NS329" s="33"/>
      <c r="NT329" s="33"/>
      <c r="NU329" s="33"/>
      <c r="NV329" s="33"/>
      <c r="NW329" s="33"/>
      <c r="NX329" s="33"/>
      <c r="NY329" s="33"/>
      <c r="NZ329" s="33"/>
      <c r="OA329" s="33"/>
      <c r="OB329" s="33"/>
      <c r="OC329" s="33"/>
      <c r="OD329" s="33"/>
      <c r="OE329" s="33"/>
      <c r="OF329" s="33"/>
      <c r="OG329" s="33"/>
      <c r="OH329" s="33"/>
      <c r="OI329" s="33"/>
      <c r="OJ329" s="33"/>
      <c r="OK329" s="33"/>
      <c r="OL329" s="33"/>
      <c r="OM329" s="33"/>
      <c r="ON329" s="33"/>
      <c r="OO329" s="33"/>
      <c r="OP329" s="33"/>
      <c r="OQ329" s="33"/>
      <c r="OR329" s="33"/>
      <c r="OS329" s="33"/>
      <c r="OT329" s="33"/>
      <c r="OU329" s="33"/>
      <c r="OV329" s="33"/>
      <c r="OW329" s="33"/>
      <c r="OX329" s="33"/>
      <c r="OY329" s="33"/>
      <c r="OZ329" s="33"/>
      <c r="PA329" s="33"/>
      <c r="PB329" s="33"/>
      <c r="PC329" s="33"/>
      <c r="PD329" s="33"/>
      <c r="PE329" s="33"/>
      <c r="PF329" s="33"/>
      <c r="PG329" s="33"/>
      <c r="PH329" s="33"/>
      <c r="PI329" s="33"/>
      <c r="PJ329" s="33"/>
      <c r="PK329" s="33"/>
      <c r="PL329" s="33"/>
      <c r="PM329" s="33"/>
      <c r="PN329" s="33"/>
      <c r="PO329" s="33"/>
      <c r="PP329" s="33"/>
      <c r="PQ329" s="33"/>
      <c r="PR329" s="33"/>
      <c r="PS329" s="33"/>
      <c r="PT329" s="33"/>
      <c r="PU329" s="33"/>
      <c r="PV329" s="33"/>
      <c r="PW329" s="33"/>
      <c r="PX329" s="33"/>
      <c r="PY329" s="33"/>
      <c r="PZ329" s="33"/>
      <c r="QA329" s="33"/>
      <c r="QB329" s="33"/>
      <c r="QC329" s="33"/>
      <c r="QD329" s="33"/>
      <c r="QE329" s="33"/>
      <c r="QF329" s="33"/>
      <c r="QG329" s="33"/>
      <c r="QH329" s="33"/>
      <c r="QI329" s="33"/>
      <c r="QJ329" s="33"/>
      <c r="QK329" s="33"/>
      <c r="QL329" s="33"/>
      <c r="QM329" s="33"/>
      <c r="QN329" s="33"/>
      <c r="QO329" s="33"/>
      <c r="QP329" s="33"/>
      <c r="QQ329" s="33"/>
      <c r="QR329" s="33"/>
      <c r="QS329" s="33"/>
      <c r="QT329" s="33"/>
      <c r="QU329" s="33"/>
      <c r="QV329" s="33"/>
      <c r="QW329" s="33"/>
      <c r="QX329" s="33"/>
      <c r="QY329" s="33"/>
      <c r="QZ329" s="33"/>
      <c r="RA329" s="33"/>
      <c r="RB329" s="33"/>
      <c r="RC329" s="33"/>
      <c r="RD329" s="33"/>
      <c r="RE329" s="33"/>
      <c r="RF329" s="33"/>
      <c r="RG329" s="33"/>
      <c r="RH329" s="33"/>
      <c r="RI329" s="33"/>
      <c r="RJ329" s="33"/>
      <c r="RK329" s="33"/>
      <c r="RL329" s="33"/>
      <c r="RM329" s="33"/>
      <c r="RN329" s="33"/>
      <c r="RO329" s="33"/>
      <c r="RP329" s="33"/>
      <c r="RQ329" s="33"/>
      <c r="RR329" s="33"/>
      <c r="RS329" s="33"/>
      <c r="RT329" s="33"/>
      <c r="RU329" s="33"/>
      <c r="RV329" s="33"/>
      <c r="RW329" s="33"/>
      <c r="RX329" s="33"/>
      <c r="RY329" s="33"/>
      <c r="RZ329" s="33"/>
      <c r="SA329" s="33"/>
      <c r="SB329" s="33"/>
      <c r="SC329" s="33"/>
      <c r="SD329" s="33"/>
      <c r="SE329" s="33"/>
      <c r="SF329" s="33"/>
      <c r="SG329" s="33"/>
      <c r="SH329" s="33"/>
      <c r="SI329" s="33"/>
      <c r="SJ329" s="33"/>
      <c r="SK329" s="33"/>
      <c r="SL329" s="33"/>
      <c r="SM329" s="33"/>
      <c r="SN329" s="33"/>
      <c r="SO329" s="33"/>
      <c r="SP329" s="33"/>
      <c r="SQ329" s="33"/>
      <c r="SR329" s="33"/>
      <c r="SS329" s="33"/>
      <c r="ST329" s="33"/>
      <c r="SU329" s="33"/>
      <c r="SV329" s="33"/>
      <c r="SW329" s="33"/>
      <c r="SX329" s="33"/>
      <c r="SY329" s="33"/>
      <c r="SZ329" s="33"/>
      <c r="TA329" s="33"/>
      <c r="TB329" s="33"/>
      <c r="TC329" s="33"/>
      <c r="TD329" s="33"/>
      <c r="TE329" s="33"/>
    </row>
    <row r="330" spans="1:525" s="22" customFormat="1" ht="58.5" customHeight="1" x14ac:dyDescent="0.25">
      <c r="A330" s="56" t="s">
        <v>217</v>
      </c>
      <c r="B330" s="84" t="str">
        <f>'дод 7'!A14</f>
        <v>0160</v>
      </c>
      <c r="C330" s="84" t="str">
        <f>'дод 7'!B14</f>
        <v>0111</v>
      </c>
      <c r="D330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330" s="135">
        <f t="shared" ref="E330:E337" si="194">F330+I330</f>
        <v>19804700</v>
      </c>
      <c r="F330" s="135">
        <f>21238100-1433400</f>
        <v>19804700</v>
      </c>
      <c r="G330" s="135">
        <f>16361500-1174900</f>
        <v>15186600</v>
      </c>
      <c r="H330" s="135">
        <v>542000</v>
      </c>
      <c r="I330" s="135"/>
      <c r="J330" s="135">
        <f>L330+O330</f>
        <v>0</v>
      </c>
      <c r="K330" s="135"/>
      <c r="L330" s="135"/>
      <c r="M330" s="135"/>
      <c r="N330" s="135"/>
      <c r="O330" s="135"/>
      <c r="P330" s="135">
        <f t="shared" ref="P330:P337" si="195">E330+J330</f>
        <v>19804700</v>
      </c>
      <c r="Q330" s="179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  <c r="SQ330" s="23"/>
      <c r="SR330" s="23"/>
      <c r="SS330" s="23"/>
      <c r="ST330" s="23"/>
      <c r="SU330" s="23"/>
      <c r="SV330" s="23"/>
      <c r="SW330" s="23"/>
      <c r="SX330" s="23"/>
      <c r="SY330" s="23"/>
      <c r="SZ330" s="23"/>
      <c r="TA330" s="23"/>
      <c r="TB330" s="23"/>
      <c r="TC330" s="23"/>
      <c r="TD330" s="23"/>
      <c r="TE330" s="23"/>
    </row>
    <row r="331" spans="1:525" s="22" customFormat="1" ht="24" customHeight="1" x14ac:dyDescent="0.25">
      <c r="A331" s="56" t="s">
        <v>255</v>
      </c>
      <c r="B331" s="84" t="str">
        <f>'дод 7'!A217</f>
        <v>7640</v>
      </c>
      <c r="C331" s="84" t="str">
        <f>'дод 7'!B217</f>
        <v>0470</v>
      </c>
      <c r="D331" s="57" t="s">
        <v>416</v>
      </c>
      <c r="E331" s="135">
        <f t="shared" si="194"/>
        <v>415000</v>
      </c>
      <c r="F331" s="135">
        <v>415000</v>
      </c>
      <c r="G331" s="135"/>
      <c r="H331" s="135"/>
      <c r="I331" s="135"/>
      <c r="J331" s="135">
        <f t="shared" ref="J331:J337" si="196">L331+O331</f>
        <v>0</v>
      </c>
      <c r="K331" s="135"/>
      <c r="L331" s="135"/>
      <c r="M331" s="135"/>
      <c r="N331" s="135"/>
      <c r="O331" s="135"/>
      <c r="P331" s="135">
        <f t="shared" si="195"/>
        <v>415000</v>
      </c>
      <c r="Q331" s="179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  <c r="IS331" s="23"/>
      <c r="IT331" s="23"/>
      <c r="IU331" s="23"/>
      <c r="IV331" s="23"/>
      <c r="IW331" s="23"/>
      <c r="IX331" s="23"/>
      <c r="IY331" s="23"/>
      <c r="IZ331" s="23"/>
      <c r="JA331" s="23"/>
      <c r="JB331" s="23"/>
      <c r="JC331" s="23"/>
      <c r="JD331" s="23"/>
      <c r="JE331" s="23"/>
      <c r="JF331" s="23"/>
      <c r="JG331" s="23"/>
      <c r="JH331" s="23"/>
      <c r="JI331" s="23"/>
      <c r="JJ331" s="23"/>
      <c r="JK331" s="23"/>
      <c r="JL331" s="23"/>
      <c r="JM331" s="23"/>
      <c r="JN331" s="23"/>
      <c r="JO331" s="23"/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  <c r="KC331" s="23"/>
      <c r="KD331" s="23"/>
      <c r="KE331" s="23"/>
      <c r="KF331" s="23"/>
      <c r="KG331" s="23"/>
      <c r="KH331" s="23"/>
      <c r="KI331" s="23"/>
      <c r="KJ331" s="23"/>
      <c r="KK331" s="23"/>
      <c r="KL331" s="23"/>
      <c r="KM331" s="23"/>
      <c r="KN331" s="23"/>
      <c r="KO331" s="23"/>
      <c r="KP331" s="23"/>
      <c r="KQ331" s="23"/>
      <c r="KR331" s="23"/>
      <c r="KS331" s="23"/>
      <c r="KT331" s="23"/>
      <c r="KU331" s="23"/>
      <c r="KV331" s="23"/>
      <c r="KW331" s="23"/>
      <c r="KX331" s="23"/>
      <c r="KY331" s="23"/>
      <c r="KZ331" s="23"/>
      <c r="LA331" s="23"/>
      <c r="LB331" s="23"/>
      <c r="LC331" s="23"/>
      <c r="LD331" s="23"/>
      <c r="LE331" s="23"/>
      <c r="LF331" s="23"/>
      <c r="LG331" s="23"/>
      <c r="LH331" s="23"/>
      <c r="LI331" s="23"/>
      <c r="LJ331" s="23"/>
      <c r="LK331" s="23"/>
      <c r="LL331" s="23"/>
      <c r="LM331" s="23"/>
      <c r="LN331" s="23"/>
      <c r="LO331" s="23"/>
      <c r="LP331" s="23"/>
      <c r="LQ331" s="23"/>
      <c r="LR331" s="23"/>
      <c r="LS331" s="23"/>
      <c r="LT331" s="23"/>
      <c r="LU331" s="23"/>
      <c r="LV331" s="23"/>
      <c r="LW331" s="23"/>
      <c r="LX331" s="23"/>
      <c r="LY331" s="23"/>
      <c r="LZ331" s="23"/>
      <c r="MA331" s="23"/>
      <c r="MB331" s="23"/>
      <c r="MC331" s="23"/>
      <c r="MD331" s="23"/>
      <c r="ME331" s="23"/>
      <c r="MF331" s="23"/>
      <c r="MG331" s="23"/>
      <c r="MH331" s="23"/>
      <c r="MI331" s="23"/>
      <c r="MJ331" s="23"/>
      <c r="MK331" s="23"/>
      <c r="ML331" s="23"/>
      <c r="MM331" s="23"/>
      <c r="MN331" s="23"/>
      <c r="MO331" s="23"/>
      <c r="MP331" s="23"/>
      <c r="MQ331" s="23"/>
      <c r="MR331" s="23"/>
      <c r="MS331" s="23"/>
      <c r="MT331" s="23"/>
      <c r="MU331" s="23"/>
      <c r="MV331" s="23"/>
      <c r="MW331" s="23"/>
      <c r="MX331" s="23"/>
      <c r="MY331" s="23"/>
      <c r="MZ331" s="23"/>
      <c r="NA331" s="23"/>
      <c r="NB331" s="23"/>
      <c r="NC331" s="23"/>
      <c r="ND331" s="23"/>
      <c r="NE331" s="23"/>
      <c r="NF331" s="23"/>
      <c r="NG331" s="23"/>
      <c r="NH331" s="23"/>
      <c r="NI331" s="23"/>
      <c r="NJ331" s="23"/>
      <c r="NK331" s="23"/>
      <c r="NL331" s="23"/>
      <c r="NM331" s="23"/>
      <c r="NN331" s="23"/>
      <c r="NO331" s="23"/>
      <c r="NP331" s="23"/>
      <c r="NQ331" s="23"/>
      <c r="NR331" s="23"/>
      <c r="NS331" s="23"/>
      <c r="NT331" s="23"/>
      <c r="NU331" s="23"/>
      <c r="NV331" s="23"/>
      <c r="NW331" s="23"/>
      <c r="NX331" s="23"/>
      <c r="NY331" s="23"/>
      <c r="NZ331" s="23"/>
      <c r="OA331" s="23"/>
      <c r="OB331" s="23"/>
      <c r="OC331" s="23"/>
      <c r="OD331" s="23"/>
      <c r="OE331" s="23"/>
      <c r="OF331" s="23"/>
      <c r="OG331" s="23"/>
      <c r="OH331" s="23"/>
      <c r="OI331" s="23"/>
      <c r="OJ331" s="23"/>
      <c r="OK331" s="23"/>
      <c r="OL331" s="23"/>
      <c r="OM331" s="23"/>
      <c r="ON331" s="23"/>
      <c r="OO331" s="23"/>
      <c r="OP331" s="23"/>
      <c r="OQ331" s="23"/>
      <c r="OR331" s="23"/>
      <c r="OS331" s="23"/>
      <c r="OT331" s="23"/>
      <c r="OU331" s="23"/>
      <c r="OV331" s="23"/>
      <c r="OW331" s="23"/>
      <c r="OX331" s="23"/>
      <c r="OY331" s="23"/>
      <c r="OZ331" s="23"/>
      <c r="PA331" s="23"/>
      <c r="PB331" s="23"/>
      <c r="PC331" s="23"/>
      <c r="PD331" s="23"/>
      <c r="PE331" s="23"/>
      <c r="PF331" s="23"/>
      <c r="PG331" s="23"/>
      <c r="PH331" s="23"/>
      <c r="PI331" s="23"/>
      <c r="PJ331" s="23"/>
      <c r="PK331" s="23"/>
      <c r="PL331" s="23"/>
      <c r="PM331" s="23"/>
      <c r="PN331" s="23"/>
      <c r="PO331" s="23"/>
      <c r="PP331" s="23"/>
      <c r="PQ331" s="23"/>
      <c r="PR331" s="23"/>
      <c r="PS331" s="23"/>
      <c r="PT331" s="23"/>
      <c r="PU331" s="23"/>
      <c r="PV331" s="23"/>
      <c r="PW331" s="23"/>
      <c r="PX331" s="23"/>
      <c r="PY331" s="23"/>
      <c r="PZ331" s="23"/>
      <c r="QA331" s="23"/>
      <c r="QB331" s="23"/>
      <c r="QC331" s="23"/>
      <c r="QD331" s="23"/>
      <c r="QE331" s="23"/>
      <c r="QF331" s="23"/>
      <c r="QG331" s="23"/>
      <c r="QH331" s="23"/>
      <c r="QI331" s="23"/>
      <c r="QJ331" s="23"/>
      <c r="QK331" s="23"/>
      <c r="QL331" s="23"/>
      <c r="QM331" s="23"/>
      <c r="QN331" s="23"/>
      <c r="QO331" s="23"/>
      <c r="QP331" s="23"/>
      <c r="QQ331" s="23"/>
      <c r="QR331" s="23"/>
      <c r="QS331" s="23"/>
      <c r="QT331" s="23"/>
      <c r="QU331" s="23"/>
      <c r="QV331" s="23"/>
      <c r="QW331" s="23"/>
      <c r="QX331" s="23"/>
      <c r="QY331" s="23"/>
      <c r="QZ331" s="23"/>
      <c r="RA331" s="23"/>
      <c r="RB331" s="23"/>
      <c r="RC331" s="23"/>
      <c r="RD331" s="23"/>
      <c r="RE331" s="23"/>
      <c r="RF331" s="23"/>
      <c r="RG331" s="23"/>
      <c r="RH331" s="23"/>
      <c r="RI331" s="23"/>
      <c r="RJ331" s="23"/>
      <c r="RK331" s="23"/>
      <c r="RL331" s="23"/>
      <c r="RM331" s="23"/>
      <c r="RN331" s="23"/>
      <c r="RO331" s="23"/>
      <c r="RP331" s="23"/>
      <c r="RQ331" s="23"/>
      <c r="RR331" s="23"/>
      <c r="RS331" s="23"/>
      <c r="RT331" s="23"/>
      <c r="RU331" s="23"/>
      <c r="RV331" s="23"/>
      <c r="RW331" s="23"/>
      <c r="RX331" s="23"/>
      <c r="RY331" s="23"/>
      <c r="RZ331" s="23"/>
      <c r="SA331" s="23"/>
      <c r="SB331" s="23"/>
      <c r="SC331" s="23"/>
      <c r="SD331" s="23"/>
      <c r="SE331" s="23"/>
      <c r="SF331" s="23"/>
      <c r="SG331" s="23"/>
      <c r="SH331" s="23"/>
      <c r="SI331" s="23"/>
      <c r="SJ331" s="23"/>
      <c r="SK331" s="23"/>
      <c r="SL331" s="23"/>
      <c r="SM331" s="23"/>
      <c r="SN331" s="23"/>
      <c r="SO331" s="23"/>
      <c r="SP331" s="23"/>
      <c r="SQ331" s="23"/>
      <c r="SR331" s="23"/>
      <c r="SS331" s="23"/>
      <c r="ST331" s="23"/>
      <c r="SU331" s="23"/>
      <c r="SV331" s="23"/>
      <c r="SW331" s="23"/>
      <c r="SX331" s="23"/>
      <c r="SY331" s="23"/>
      <c r="SZ331" s="23"/>
      <c r="TA331" s="23"/>
      <c r="TB331" s="23"/>
      <c r="TC331" s="23"/>
      <c r="TD331" s="23"/>
      <c r="TE331" s="23"/>
    </row>
    <row r="332" spans="1:525" s="22" customFormat="1" ht="29.25" customHeight="1" x14ac:dyDescent="0.25">
      <c r="A332" s="56" t="s">
        <v>325</v>
      </c>
      <c r="B332" s="84" t="str">
        <f>'дод 7'!A225</f>
        <v>7693</v>
      </c>
      <c r="C332" s="84" t="str">
        <f>'дод 7'!B225</f>
        <v>0490</v>
      </c>
      <c r="D332" s="57" t="str">
        <f>'дод 7'!C225</f>
        <v>Інші заходи, пов'язані з економічною діяльністю</v>
      </c>
      <c r="E332" s="135">
        <f t="shared" si="194"/>
        <v>132800</v>
      </c>
      <c r="F332" s="135">
        <v>132800</v>
      </c>
      <c r="G332" s="135"/>
      <c r="H332" s="135"/>
      <c r="I332" s="135"/>
      <c r="J332" s="135">
        <f t="shared" si="196"/>
        <v>0</v>
      </c>
      <c r="K332" s="135"/>
      <c r="L332" s="135"/>
      <c r="M332" s="135"/>
      <c r="N332" s="135"/>
      <c r="O332" s="135"/>
      <c r="P332" s="135">
        <f t="shared" si="195"/>
        <v>132800</v>
      </c>
      <c r="Q332" s="179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  <c r="GD332" s="23"/>
      <c r="GE332" s="23"/>
      <c r="GF332" s="23"/>
      <c r="GG332" s="23"/>
      <c r="GH332" s="23"/>
      <c r="GI332" s="23"/>
      <c r="GJ332" s="23"/>
      <c r="GK332" s="23"/>
      <c r="GL332" s="23"/>
      <c r="GM332" s="23"/>
      <c r="GN332" s="23"/>
      <c r="GO332" s="23"/>
      <c r="GP332" s="23"/>
      <c r="GQ332" s="23"/>
      <c r="GR332" s="23"/>
      <c r="GS332" s="23"/>
      <c r="GT332" s="23"/>
      <c r="GU332" s="23"/>
      <c r="GV332" s="23"/>
      <c r="GW332" s="23"/>
      <c r="GX332" s="23"/>
      <c r="GY332" s="23"/>
      <c r="GZ332" s="23"/>
      <c r="HA332" s="23"/>
      <c r="HB332" s="23"/>
      <c r="HC332" s="23"/>
      <c r="HD332" s="23"/>
      <c r="HE332" s="23"/>
      <c r="HF332" s="23"/>
      <c r="HG332" s="23"/>
      <c r="HH332" s="23"/>
      <c r="HI332" s="23"/>
      <c r="HJ332" s="23"/>
      <c r="HK332" s="23"/>
      <c r="HL332" s="23"/>
      <c r="HM332" s="23"/>
      <c r="HN332" s="23"/>
      <c r="HO332" s="23"/>
      <c r="HP332" s="23"/>
      <c r="HQ332" s="23"/>
      <c r="HR332" s="23"/>
      <c r="HS332" s="23"/>
      <c r="HT332" s="23"/>
      <c r="HU332" s="23"/>
      <c r="HV332" s="23"/>
      <c r="HW332" s="23"/>
      <c r="HX332" s="23"/>
      <c r="HY332" s="23"/>
      <c r="HZ332" s="23"/>
      <c r="IA332" s="23"/>
      <c r="IB332" s="23"/>
      <c r="IC332" s="23"/>
      <c r="ID332" s="23"/>
      <c r="IE332" s="23"/>
      <c r="IF332" s="23"/>
      <c r="IG332" s="23"/>
      <c r="IH332" s="23"/>
      <c r="II332" s="23"/>
      <c r="IJ332" s="23"/>
      <c r="IK332" s="23"/>
      <c r="IL332" s="23"/>
      <c r="IM332" s="23"/>
      <c r="IN332" s="23"/>
      <c r="IO332" s="23"/>
      <c r="IP332" s="23"/>
      <c r="IQ332" s="23"/>
      <c r="IR332" s="23"/>
      <c r="IS332" s="23"/>
      <c r="IT332" s="23"/>
      <c r="IU332" s="23"/>
      <c r="IV332" s="23"/>
      <c r="IW332" s="23"/>
      <c r="IX332" s="23"/>
      <c r="IY332" s="23"/>
      <c r="IZ332" s="23"/>
      <c r="JA332" s="23"/>
      <c r="JB332" s="23"/>
      <c r="JC332" s="23"/>
      <c r="JD332" s="23"/>
      <c r="JE332" s="23"/>
      <c r="JF332" s="23"/>
      <c r="JG332" s="23"/>
      <c r="JH332" s="23"/>
      <c r="JI332" s="23"/>
      <c r="JJ332" s="23"/>
      <c r="JK332" s="23"/>
      <c r="JL332" s="23"/>
      <c r="JM332" s="23"/>
      <c r="JN332" s="23"/>
      <c r="JO332" s="23"/>
      <c r="JP332" s="23"/>
      <c r="JQ332" s="23"/>
      <c r="JR332" s="23"/>
      <c r="JS332" s="23"/>
      <c r="JT332" s="23"/>
      <c r="JU332" s="23"/>
      <c r="JV332" s="23"/>
      <c r="JW332" s="23"/>
      <c r="JX332" s="23"/>
      <c r="JY332" s="23"/>
      <c r="JZ332" s="23"/>
      <c r="KA332" s="23"/>
      <c r="KB332" s="23"/>
      <c r="KC332" s="23"/>
      <c r="KD332" s="23"/>
      <c r="KE332" s="23"/>
      <c r="KF332" s="23"/>
      <c r="KG332" s="23"/>
      <c r="KH332" s="23"/>
      <c r="KI332" s="23"/>
      <c r="KJ332" s="23"/>
      <c r="KK332" s="23"/>
      <c r="KL332" s="23"/>
      <c r="KM332" s="23"/>
      <c r="KN332" s="23"/>
      <c r="KO332" s="23"/>
      <c r="KP332" s="23"/>
      <c r="KQ332" s="23"/>
      <c r="KR332" s="23"/>
      <c r="KS332" s="23"/>
      <c r="KT332" s="23"/>
      <c r="KU332" s="23"/>
      <c r="KV332" s="23"/>
      <c r="KW332" s="23"/>
      <c r="KX332" s="23"/>
      <c r="KY332" s="23"/>
      <c r="KZ332" s="23"/>
      <c r="LA332" s="23"/>
      <c r="LB332" s="23"/>
      <c r="LC332" s="23"/>
      <c r="LD332" s="23"/>
      <c r="LE332" s="23"/>
      <c r="LF332" s="23"/>
      <c r="LG332" s="23"/>
      <c r="LH332" s="23"/>
      <c r="LI332" s="23"/>
      <c r="LJ332" s="23"/>
      <c r="LK332" s="23"/>
      <c r="LL332" s="23"/>
      <c r="LM332" s="23"/>
      <c r="LN332" s="23"/>
      <c r="LO332" s="23"/>
      <c r="LP332" s="23"/>
      <c r="LQ332" s="23"/>
      <c r="LR332" s="23"/>
      <c r="LS332" s="23"/>
      <c r="LT332" s="23"/>
      <c r="LU332" s="23"/>
      <c r="LV332" s="23"/>
      <c r="LW332" s="23"/>
      <c r="LX332" s="23"/>
      <c r="LY332" s="23"/>
      <c r="LZ332" s="23"/>
      <c r="MA332" s="23"/>
      <c r="MB332" s="23"/>
      <c r="MC332" s="23"/>
      <c r="MD332" s="23"/>
      <c r="ME332" s="23"/>
      <c r="MF332" s="23"/>
      <c r="MG332" s="23"/>
      <c r="MH332" s="23"/>
      <c r="MI332" s="23"/>
      <c r="MJ332" s="23"/>
      <c r="MK332" s="23"/>
      <c r="ML332" s="23"/>
      <c r="MM332" s="23"/>
      <c r="MN332" s="23"/>
      <c r="MO332" s="23"/>
      <c r="MP332" s="23"/>
      <c r="MQ332" s="23"/>
      <c r="MR332" s="23"/>
      <c r="MS332" s="23"/>
      <c r="MT332" s="23"/>
      <c r="MU332" s="23"/>
      <c r="MV332" s="23"/>
      <c r="MW332" s="23"/>
      <c r="MX332" s="23"/>
      <c r="MY332" s="23"/>
      <c r="MZ332" s="23"/>
      <c r="NA332" s="23"/>
      <c r="NB332" s="23"/>
      <c r="NC332" s="23"/>
      <c r="ND332" s="23"/>
      <c r="NE332" s="23"/>
      <c r="NF332" s="23"/>
      <c r="NG332" s="23"/>
      <c r="NH332" s="23"/>
      <c r="NI332" s="23"/>
      <c r="NJ332" s="23"/>
      <c r="NK332" s="23"/>
      <c r="NL332" s="23"/>
      <c r="NM332" s="23"/>
      <c r="NN332" s="23"/>
      <c r="NO332" s="23"/>
      <c r="NP332" s="23"/>
      <c r="NQ332" s="23"/>
      <c r="NR332" s="23"/>
      <c r="NS332" s="23"/>
      <c r="NT332" s="23"/>
      <c r="NU332" s="23"/>
      <c r="NV332" s="23"/>
      <c r="NW332" s="23"/>
      <c r="NX332" s="23"/>
      <c r="NY332" s="23"/>
      <c r="NZ332" s="23"/>
      <c r="OA332" s="23"/>
      <c r="OB332" s="23"/>
      <c r="OC332" s="23"/>
      <c r="OD332" s="23"/>
      <c r="OE332" s="23"/>
      <c r="OF332" s="23"/>
      <c r="OG332" s="23"/>
      <c r="OH332" s="23"/>
      <c r="OI332" s="23"/>
      <c r="OJ332" s="23"/>
      <c r="OK332" s="23"/>
      <c r="OL332" s="23"/>
      <c r="OM332" s="23"/>
      <c r="ON332" s="23"/>
      <c r="OO332" s="23"/>
      <c r="OP332" s="23"/>
      <c r="OQ332" s="23"/>
      <c r="OR332" s="23"/>
      <c r="OS332" s="23"/>
      <c r="OT332" s="23"/>
      <c r="OU332" s="23"/>
      <c r="OV332" s="23"/>
      <c r="OW332" s="23"/>
      <c r="OX332" s="23"/>
      <c r="OY332" s="23"/>
      <c r="OZ332" s="23"/>
      <c r="PA332" s="23"/>
      <c r="PB332" s="23"/>
      <c r="PC332" s="23"/>
      <c r="PD332" s="23"/>
      <c r="PE332" s="23"/>
      <c r="PF332" s="23"/>
      <c r="PG332" s="23"/>
      <c r="PH332" s="23"/>
      <c r="PI332" s="23"/>
      <c r="PJ332" s="23"/>
      <c r="PK332" s="23"/>
      <c r="PL332" s="23"/>
      <c r="PM332" s="23"/>
      <c r="PN332" s="23"/>
      <c r="PO332" s="23"/>
      <c r="PP332" s="23"/>
      <c r="PQ332" s="23"/>
      <c r="PR332" s="23"/>
      <c r="PS332" s="23"/>
      <c r="PT332" s="23"/>
      <c r="PU332" s="23"/>
      <c r="PV332" s="23"/>
      <c r="PW332" s="23"/>
      <c r="PX332" s="23"/>
      <c r="PY332" s="23"/>
      <c r="PZ332" s="23"/>
      <c r="QA332" s="23"/>
      <c r="QB332" s="23"/>
      <c r="QC332" s="23"/>
      <c r="QD332" s="23"/>
      <c r="QE332" s="23"/>
      <c r="QF332" s="23"/>
      <c r="QG332" s="23"/>
      <c r="QH332" s="23"/>
      <c r="QI332" s="23"/>
      <c r="QJ332" s="23"/>
      <c r="QK332" s="23"/>
      <c r="QL332" s="23"/>
      <c r="QM332" s="23"/>
      <c r="QN332" s="23"/>
      <c r="QO332" s="23"/>
      <c r="QP332" s="23"/>
      <c r="QQ332" s="23"/>
      <c r="QR332" s="23"/>
      <c r="QS332" s="23"/>
      <c r="QT332" s="23"/>
      <c r="QU332" s="23"/>
      <c r="QV332" s="23"/>
      <c r="QW332" s="23"/>
      <c r="QX332" s="23"/>
      <c r="QY332" s="23"/>
      <c r="QZ332" s="23"/>
      <c r="RA332" s="23"/>
      <c r="RB332" s="23"/>
      <c r="RC332" s="23"/>
      <c r="RD332" s="23"/>
      <c r="RE332" s="23"/>
      <c r="RF332" s="23"/>
      <c r="RG332" s="23"/>
      <c r="RH332" s="23"/>
      <c r="RI332" s="23"/>
      <c r="RJ332" s="23"/>
      <c r="RK332" s="23"/>
      <c r="RL332" s="23"/>
      <c r="RM332" s="23"/>
      <c r="RN332" s="23"/>
      <c r="RO332" s="23"/>
      <c r="RP332" s="23"/>
      <c r="RQ332" s="23"/>
      <c r="RR332" s="23"/>
      <c r="RS332" s="23"/>
      <c r="RT332" s="23"/>
      <c r="RU332" s="23"/>
      <c r="RV332" s="23"/>
      <c r="RW332" s="23"/>
      <c r="RX332" s="23"/>
      <c r="RY332" s="23"/>
      <c r="RZ332" s="23"/>
      <c r="SA332" s="23"/>
      <c r="SB332" s="23"/>
      <c r="SC332" s="23"/>
      <c r="SD332" s="23"/>
      <c r="SE332" s="23"/>
      <c r="SF332" s="23"/>
      <c r="SG332" s="23"/>
      <c r="SH332" s="23"/>
      <c r="SI332" s="23"/>
      <c r="SJ332" s="23"/>
      <c r="SK332" s="23"/>
      <c r="SL332" s="23"/>
      <c r="SM332" s="23"/>
      <c r="SN332" s="23"/>
      <c r="SO332" s="23"/>
      <c r="SP332" s="23"/>
      <c r="SQ332" s="23"/>
      <c r="SR332" s="23"/>
      <c r="SS332" s="23"/>
      <c r="ST332" s="23"/>
      <c r="SU332" s="23"/>
      <c r="SV332" s="23"/>
      <c r="SW332" s="23"/>
      <c r="SX332" s="23"/>
      <c r="SY332" s="23"/>
      <c r="SZ332" s="23"/>
      <c r="TA332" s="23"/>
      <c r="TB332" s="23"/>
      <c r="TC332" s="23"/>
      <c r="TD332" s="23"/>
      <c r="TE332" s="23"/>
    </row>
    <row r="333" spans="1:525" s="22" customFormat="1" ht="42.75" customHeight="1" x14ac:dyDescent="0.25">
      <c r="A333" s="56">
        <v>3718330</v>
      </c>
      <c r="B333" s="84">
        <f>'дод 7'!A239</f>
        <v>8330</v>
      </c>
      <c r="C333" s="56" t="s">
        <v>91</v>
      </c>
      <c r="D333" s="57" t="str">
        <f>'дод 7'!C239</f>
        <v xml:space="preserve">Інша діяльність у сфері екології та охорони природних ресурсів </v>
      </c>
      <c r="E333" s="135">
        <f t="shared" si="194"/>
        <v>80000</v>
      </c>
      <c r="F333" s="135">
        <v>80000</v>
      </c>
      <c r="G333" s="135"/>
      <c r="H333" s="135"/>
      <c r="I333" s="135"/>
      <c r="J333" s="135">
        <f t="shared" si="196"/>
        <v>0</v>
      </c>
      <c r="K333" s="135"/>
      <c r="L333" s="135"/>
      <c r="M333" s="135"/>
      <c r="N333" s="135"/>
      <c r="O333" s="135"/>
      <c r="P333" s="135">
        <f t="shared" si="195"/>
        <v>80000</v>
      </c>
      <c r="Q333" s="179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  <c r="GD333" s="23"/>
      <c r="GE333" s="23"/>
      <c r="GF333" s="23"/>
      <c r="GG333" s="23"/>
      <c r="GH333" s="23"/>
      <c r="GI333" s="23"/>
      <c r="GJ333" s="23"/>
      <c r="GK333" s="23"/>
      <c r="GL333" s="23"/>
      <c r="GM333" s="23"/>
      <c r="GN333" s="23"/>
      <c r="GO333" s="23"/>
      <c r="GP333" s="23"/>
      <c r="GQ333" s="23"/>
      <c r="GR333" s="23"/>
      <c r="GS333" s="23"/>
      <c r="GT333" s="23"/>
      <c r="GU333" s="23"/>
      <c r="GV333" s="23"/>
      <c r="GW333" s="23"/>
      <c r="GX333" s="23"/>
      <c r="GY333" s="23"/>
      <c r="GZ333" s="23"/>
      <c r="HA333" s="23"/>
      <c r="HB333" s="23"/>
      <c r="HC333" s="23"/>
      <c r="HD333" s="23"/>
      <c r="HE333" s="23"/>
      <c r="HF333" s="23"/>
      <c r="HG333" s="23"/>
      <c r="HH333" s="23"/>
      <c r="HI333" s="23"/>
      <c r="HJ333" s="23"/>
      <c r="HK333" s="23"/>
      <c r="HL333" s="23"/>
      <c r="HM333" s="23"/>
      <c r="HN333" s="23"/>
      <c r="HO333" s="23"/>
      <c r="HP333" s="23"/>
      <c r="HQ333" s="23"/>
      <c r="HR333" s="23"/>
      <c r="HS333" s="23"/>
      <c r="HT333" s="23"/>
      <c r="HU333" s="23"/>
      <c r="HV333" s="23"/>
      <c r="HW333" s="23"/>
      <c r="HX333" s="23"/>
      <c r="HY333" s="23"/>
      <c r="HZ333" s="23"/>
      <c r="IA333" s="23"/>
      <c r="IB333" s="23"/>
      <c r="IC333" s="23"/>
      <c r="ID333" s="23"/>
      <c r="IE333" s="23"/>
      <c r="IF333" s="23"/>
      <c r="IG333" s="23"/>
      <c r="IH333" s="23"/>
      <c r="II333" s="23"/>
      <c r="IJ333" s="23"/>
      <c r="IK333" s="23"/>
      <c r="IL333" s="23"/>
      <c r="IM333" s="23"/>
      <c r="IN333" s="23"/>
      <c r="IO333" s="23"/>
      <c r="IP333" s="23"/>
      <c r="IQ333" s="23"/>
      <c r="IR333" s="23"/>
      <c r="IS333" s="23"/>
      <c r="IT333" s="23"/>
      <c r="IU333" s="23"/>
      <c r="IV333" s="23"/>
      <c r="IW333" s="23"/>
      <c r="IX333" s="23"/>
      <c r="IY333" s="23"/>
      <c r="IZ333" s="23"/>
      <c r="JA333" s="23"/>
      <c r="JB333" s="23"/>
      <c r="JC333" s="23"/>
      <c r="JD333" s="23"/>
      <c r="JE333" s="23"/>
      <c r="JF333" s="23"/>
      <c r="JG333" s="23"/>
      <c r="JH333" s="23"/>
      <c r="JI333" s="23"/>
      <c r="JJ333" s="23"/>
      <c r="JK333" s="23"/>
      <c r="JL333" s="23"/>
      <c r="JM333" s="23"/>
      <c r="JN333" s="23"/>
      <c r="JO333" s="23"/>
      <c r="JP333" s="23"/>
      <c r="JQ333" s="23"/>
      <c r="JR333" s="23"/>
      <c r="JS333" s="23"/>
      <c r="JT333" s="23"/>
      <c r="JU333" s="23"/>
      <c r="JV333" s="23"/>
      <c r="JW333" s="23"/>
      <c r="JX333" s="23"/>
      <c r="JY333" s="23"/>
      <c r="JZ333" s="23"/>
      <c r="KA333" s="23"/>
      <c r="KB333" s="23"/>
      <c r="KC333" s="23"/>
      <c r="KD333" s="23"/>
      <c r="KE333" s="23"/>
      <c r="KF333" s="23"/>
      <c r="KG333" s="23"/>
      <c r="KH333" s="23"/>
      <c r="KI333" s="23"/>
      <c r="KJ333" s="23"/>
      <c r="KK333" s="23"/>
      <c r="KL333" s="23"/>
      <c r="KM333" s="23"/>
      <c r="KN333" s="23"/>
      <c r="KO333" s="23"/>
      <c r="KP333" s="23"/>
      <c r="KQ333" s="23"/>
      <c r="KR333" s="23"/>
      <c r="KS333" s="23"/>
      <c r="KT333" s="23"/>
      <c r="KU333" s="23"/>
      <c r="KV333" s="23"/>
      <c r="KW333" s="23"/>
      <c r="KX333" s="23"/>
      <c r="KY333" s="23"/>
      <c r="KZ333" s="23"/>
      <c r="LA333" s="23"/>
      <c r="LB333" s="23"/>
      <c r="LC333" s="23"/>
      <c r="LD333" s="23"/>
      <c r="LE333" s="23"/>
      <c r="LF333" s="23"/>
      <c r="LG333" s="23"/>
      <c r="LH333" s="23"/>
      <c r="LI333" s="23"/>
      <c r="LJ333" s="23"/>
      <c r="LK333" s="23"/>
      <c r="LL333" s="23"/>
      <c r="LM333" s="23"/>
      <c r="LN333" s="23"/>
      <c r="LO333" s="23"/>
      <c r="LP333" s="23"/>
      <c r="LQ333" s="23"/>
      <c r="LR333" s="23"/>
      <c r="LS333" s="23"/>
      <c r="LT333" s="23"/>
      <c r="LU333" s="23"/>
      <c r="LV333" s="23"/>
      <c r="LW333" s="23"/>
      <c r="LX333" s="23"/>
      <c r="LY333" s="23"/>
      <c r="LZ333" s="23"/>
      <c r="MA333" s="23"/>
      <c r="MB333" s="23"/>
      <c r="MC333" s="23"/>
      <c r="MD333" s="23"/>
      <c r="ME333" s="23"/>
      <c r="MF333" s="23"/>
      <c r="MG333" s="23"/>
      <c r="MH333" s="23"/>
      <c r="MI333" s="23"/>
      <c r="MJ333" s="23"/>
      <c r="MK333" s="23"/>
      <c r="ML333" s="23"/>
      <c r="MM333" s="23"/>
      <c r="MN333" s="23"/>
      <c r="MO333" s="23"/>
      <c r="MP333" s="23"/>
      <c r="MQ333" s="23"/>
      <c r="MR333" s="23"/>
      <c r="MS333" s="23"/>
      <c r="MT333" s="23"/>
      <c r="MU333" s="23"/>
      <c r="MV333" s="23"/>
      <c r="MW333" s="23"/>
      <c r="MX333" s="23"/>
      <c r="MY333" s="23"/>
      <c r="MZ333" s="23"/>
      <c r="NA333" s="23"/>
      <c r="NB333" s="23"/>
      <c r="NC333" s="23"/>
      <c r="ND333" s="23"/>
      <c r="NE333" s="23"/>
      <c r="NF333" s="23"/>
      <c r="NG333" s="23"/>
      <c r="NH333" s="23"/>
      <c r="NI333" s="23"/>
      <c r="NJ333" s="23"/>
      <c r="NK333" s="23"/>
      <c r="NL333" s="23"/>
      <c r="NM333" s="23"/>
      <c r="NN333" s="23"/>
      <c r="NO333" s="23"/>
      <c r="NP333" s="23"/>
      <c r="NQ333" s="23"/>
      <c r="NR333" s="23"/>
      <c r="NS333" s="23"/>
      <c r="NT333" s="23"/>
      <c r="NU333" s="23"/>
      <c r="NV333" s="23"/>
      <c r="NW333" s="23"/>
      <c r="NX333" s="23"/>
      <c r="NY333" s="23"/>
      <c r="NZ333" s="23"/>
      <c r="OA333" s="23"/>
      <c r="OB333" s="23"/>
      <c r="OC333" s="23"/>
      <c r="OD333" s="23"/>
      <c r="OE333" s="23"/>
      <c r="OF333" s="23"/>
      <c r="OG333" s="23"/>
      <c r="OH333" s="23"/>
      <c r="OI333" s="23"/>
      <c r="OJ333" s="23"/>
      <c r="OK333" s="23"/>
      <c r="OL333" s="23"/>
      <c r="OM333" s="23"/>
      <c r="ON333" s="23"/>
      <c r="OO333" s="23"/>
      <c r="OP333" s="23"/>
      <c r="OQ333" s="23"/>
      <c r="OR333" s="23"/>
      <c r="OS333" s="23"/>
      <c r="OT333" s="23"/>
      <c r="OU333" s="23"/>
      <c r="OV333" s="23"/>
      <c r="OW333" s="23"/>
      <c r="OX333" s="23"/>
      <c r="OY333" s="23"/>
      <c r="OZ333" s="23"/>
      <c r="PA333" s="23"/>
      <c r="PB333" s="23"/>
      <c r="PC333" s="23"/>
      <c r="PD333" s="23"/>
      <c r="PE333" s="23"/>
      <c r="PF333" s="23"/>
      <c r="PG333" s="23"/>
      <c r="PH333" s="23"/>
      <c r="PI333" s="23"/>
      <c r="PJ333" s="23"/>
      <c r="PK333" s="23"/>
      <c r="PL333" s="23"/>
      <c r="PM333" s="23"/>
      <c r="PN333" s="23"/>
      <c r="PO333" s="23"/>
      <c r="PP333" s="23"/>
      <c r="PQ333" s="23"/>
      <c r="PR333" s="23"/>
      <c r="PS333" s="23"/>
      <c r="PT333" s="23"/>
      <c r="PU333" s="23"/>
      <c r="PV333" s="23"/>
      <c r="PW333" s="23"/>
      <c r="PX333" s="23"/>
      <c r="PY333" s="23"/>
      <c r="PZ333" s="23"/>
      <c r="QA333" s="23"/>
      <c r="QB333" s="23"/>
      <c r="QC333" s="23"/>
      <c r="QD333" s="23"/>
      <c r="QE333" s="23"/>
      <c r="QF333" s="23"/>
      <c r="QG333" s="23"/>
      <c r="QH333" s="23"/>
      <c r="QI333" s="23"/>
      <c r="QJ333" s="23"/>
      <c r="QK333" s="23"/>
      <c r="QL333" s="23"/>
      <c r="QM333" s="23"/>
      <c r="QN333" s="23"/>
      <c r="QO333" s="23"/>
      <c r="QP333" s="23"/>
      <c r="QQ333" s="23"/>
      <c r="QR333" s="23"/>
      <c r="QS333" s="23"/>
      <c r="QT333" s="23"/>
      <c r="QU333" s="23"/>
      <c r="QV333" s="23"/>
      <c r="QW333" s="23"/>
      <c r="QX333" s="23"/>
      <c r="QY333" s="23"/>
      <c r="QZ333" s="23"/>
      <c r="RA333" s="23"/>
      <c r="RB333" s="23"/>
      <c r="RC333" s="23"/>
      <c r="RD333" s="23"/>
      <c r="RE333" s="23"/>
      <c r="RF333" s="23"/>
      <c r="RG333" s="23"/>
      <c r="RH333" s="23"/>
      <c r="RI333" s="23"/>
      <c r="RJ333" s="23"/>
      <c r="RK333" s="23"/>
      <c r="RL333" s="23"/>
      <c r="RM333" s="23"/>
      <c r="RN333" s="23"/>
      <c r="RO333" s="23"/>
      <c r="RP333" s="23"/>
      <c r="RQ333" s="23"/>
      <c r="RR333" s="23"/>
      <c r="RS333" s="23"/>
      <c r="RT333" s="23"/>
      <c r="RU333" s="23"/>
      <c r="RV333" s="23"/>
      <c r="RW333" s="23"/>
      <c r="RX333" s="23"/>
      <c r="RY333" s="23"/>
      <c r="RZ333" s="23"/>
      <c r="SA333" s="23"/>
      <c r="SB333" s="23"/>
      <c r="SC333" s="23"/>
      <c r="SD333" s="23"/>
      <c r="SE333" s="23"/>
      <c r="SF333" s="23"/>
      <c r="SG333" s="23"/>
      <c r="SH333" s="23"/>
      <c r="SI333" s="23"/>
      <c r="SJ333" s="23"/>
      <c r="SK333" s="23"/>
      <c r="SL333" s="23"/>
      <c r="SM333" s="23"/>
      <c r="SN333" s="23"/>
      <c r="SO333" s="23"/>
      <c r="SP333" s="23"/>
      <c r="SQ333" s="23"/>
      <c r="SR333" s="23"/>
      <c r="SS333" s="23"/>
      <c r="ST333" s="23"/>
      <c r="SU333" s="23"/>
      <c r="SV333" s="23"/>
      <c r="SW333" s="23"/>
      <c r="SX333" s="23"/>
      <c r="SY333" s="23"/>
      <c r="SZ333" s="23"/>
      <c r="TA333" s="23"/>
      <c r="TB333" s="23"/>
      <c r="TC333" s="23"/>
      <c r="TD333" s="23"/>
      <c r="TE333" s="23"/>
    </row>
    <row r="334" spans="1:525" s="22" customFormat="1" ht="37.5" customHeight="1" x14ac:dyDescent="0.25">
      <c r="A334" s="56" t="s">
        <v>218</v>
      </c>
      <c r="B334" s="84" t="str">
        <f>'дод 7'!A240</f>
        <v>8340</v>
      </c>
      <c r="C334" s="56" t="str">
        <f>'дод 7'!B240</f>
        <v>0540</v>
      </c>
      <c r="D334" s="57" t="str">
        <f>'дод 7'!C240</f>
        <v>Природоохоронні заходи за рахунок цільових фондів</v>
      </c>
      <c r="E334" s="135">
        <f t="shared" si="194"/>
        <v>0</v>
      </c>
      <c r="F334" s="135"/>
      <c r="G334" s="135"/>
      <c r="H334" s="135"/>
      <c r="I334" s="135"/>
      <c r="J334" s="135">
        <f t="shared" si="196"/>
        <v>104000</v>
      </c>
      <c r="K334" s="135"/>
      <c r="L334" s="135">
        <v>104000</v>
      </c>
      <c r="M334" s="135"/>
      <c r="N334" s="135"/>
      <c r="O334" s="135"/>
      <c r="P334" s="135">
        <f t="shared" si="195"/>
        <v>104000</v>
      </c>
      <c r="Q334" s="179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  <c r="GB334" s="23"/>
      <c r="GC334" s="23"/>
      <c r="GD334" s="23"/>
      <c r="GE334" s="23"/>
      <c r="GF334" s="23"/>
      <c r="GG334" s="23"/>
      <c r="GH334" s="23"/>
      <c r="GI334" s="23"/>
      <c r="GJ334" s="23"/>
      <c r="GK334" s="23"/>
      <c r="GL334" s="23"/>
      <c r="GM334" s="23"/>
      <c r="GN334" s="23"/>
      <c r="GO334" s="23"/>
      <c r="GP334" s="23"/>
      <c r="GQ334" s="23"/>
      <c r="GR334" s="23"/>
      <c r="GS334" s="23"/>
      <c r="GT334" s="23"/>
      <c r="GU334" s="23"/>
      <c r="GV334" s="23"/>
      <c r="GW334" s="23"/>
      <c r="GX334" s="23"/>
      <c r="GY334" s="23"/>
      <c r="GZ334" s="23"/>
      <c r="HA334" s="23"/>
      <c r="HB334" s="23"/>
      <c r="HC334" s="23"/>
      <c r="HD334" s="23"/>
      <c r="HE334" s="23"/>
      <c r="HF334" s="23"/>
      <c r="HG334" s="23"/>
      <c r="HH334" s="23"/>
      <c r="HI334" s="23"/>
      <c r="HJ334" s="23"/>
      <c r="HK334" s="23"/>
      <c r="HL334" s="23"/>
      <c r="HM334" s="23"/>
      <c r="HN334" s="23"/>
      <c r="HO334" s="23"/>
      <c r="HP334" s="23"/>
      <c r="HQ334" s="23"/>
      <c r="HR334" s="23"/>
      <c r="HS334" s="23"/>
      <c r="HT334" s="23"/>
      <c r="HU334" s="23"/>
      <c r="HV334" s="23"/>
      <c r="HW334" s="23"/>
      <c r="HX334" s="23"/>
      <c r="HY334" s="23"/>
      <c r="HZ334" s="23"/>
      <c r="IA334" s="23"/>
      <c r="IB334" s="23"/>
      <c r="IC334" s="23"/>
      <c r="ID334" s="23"/>
      <c r="IE334" s="23"/>
      <c r="IF334" s="23"/>
      <c r="IG334" s="23"/>
      <c r="IH334" s="23"/>
      <c r="II334" s="23"/>
      <c r="IJ334" s="23"/>
      <c r="IK334" s="23"/>
      <c r="IL334" s="23"/>
      <c r="IM334" s="23"/>
      <c r="IN334" s="23"/>
      <c r="IO334" s="23"/>
      <c r="IP334" s="23"/>
      <c r="IQ334" s="23"/>
      <c r="IR334" s="23"/>
      <c r="IS334" s="23"/>
      <c r="IT334" s="23"/>
      <c r="IU334" s="23"/>
      <c r="IV334" s="23"/>
      <c r="IW334" s="23"/>
      <c r="IX334" s="23"/>
      <c r="IY334" s="23"/>
      <c r="IZ334" s="23"/>
      <c r="JA334" s="23"/>
      <c r="JB334" s="23"/>
      <c r="JC334" s="23"/>
      <c r="JD334" s="23"/>
      <c r="JE334" s="23"/>
      <c r="JF334" s="23"/>
      <c r="JG334" s="23"/>
      <c r="JH334" s="23"/>
      <c r="JI334" s="23"/>
      <c r="JJ334" s="23"/>
      <c r="JK334" s="23"/>
      <c r="JL334" s="23"/>
      <c r="JM334" s="23"/>
      <c r="JN334" s="23"/>
      <c r="JO334" s="23"/>
      <c r="JP334" s="23"/>
      <c r="JQ334" s="23"/>
      <c r="JR334" s="23"/>
      <c r="JS334" s="23"/>
      <c r="JT334" s="23"/>
      <c r="JU334" s="23"/>
      <c r="JV334" s="23"/>
      <c r="JW334" s="23"/>
      <c r="JX334" s="23"/>
      <c r="JY334" s="23"/>
      <c r="JZ334" s="23"/>
      <c r="KA334" s="23"/>
      <c r="KB334" s="23"/>
      <c r="KC334" s="23"/>
      <c r="KD334" s="23"/>
      <c r="KE334" s="23"/>
      <c r="KF334" s="23"/>
      <c r="KG334" s="23"/>
      <c r="KH334" s="23"/>
      <c r="KI334" s="23"/>
      <c r="KJ334" s="23"/>
      <c r="KK334" s="23"/>
      <c r="KL334" s="23"/>
      <c r="KM334" s="23"/>
      <c r="KN334" s="23"/>
      <c r="KO334" s="23"/>
      <c r="KP334" s="23"/>
      <c r="KQ334" s="23"/>
      <c r="KR334" s="23"/>
      <c r="KS334" s="23"/>
      <c r="KT334" s="23"/>
      <c r="KU334" s="23"/>
      <c r="KV334" s="23"/>
      <c r="KW334" s="23"/>
      <c r="KX334" s="23"/>
      <c r="KY334" s="23"/>
      <c r="KZ334" s="23"/>
      <c r="LA334" s="23"/>
      <c r="LB334" s="23"/>
      <c r="LC334" s="23"/>
      <c r="LD334" s="23"/>
      <c r="LE334" s="23"/>
      <c r="LF334" s="23"/>
      <c r="LG334" s="23"/>
      <c r="LH334" s="23"/>
      <c r="LI334" s="23"/>
      <c r="LJ334" s="23"/>
      <c r="LK334" s="23"/>
      <c r="LL334" s="23"/>
      <c r="LM334" s="23"/>
      <c r="LN334" s="23"/>
      <c r="LO334" s="23"/>
      <c r="LP334" s="23"/>
      <c r="LQ334" s="23"/>
      <c r="LR334" s="23"/>
      <c r="LS334" s="23"/>
      <c r="LT334" s="23"/>
      <c r="LU334" s="23"/>
      <c r="LV334" s="23"/>
      <c r="LW334" s="23"/>
      <c r="LX334" s="23"/>
      <c r="LY334" s="23"/>
      <c r="LZ334" s="23"/>
      <c r="MA334" s="23"/>
      <c r="MB334" s="23"/>
      <c r="MC334" s="23"/>
      <c r="MD334" s="23"/>
      <c r="ME334" s="23"/>
      <c r="MF334" s="23"/>
      <c r="MG334" s="23"/>
      <c r="MH334" s="23"/>
      <c r="MI334" s="23"/>
      <c r="MJ334" s="23"/>
      <c r="MK334" s="23"/>
      <c r="ML334" s="23"/>
      <c r="MM334" s="23"/>
      <c r="MN334" s="23"/>
      <c r="MO334" s="23"/>
      <c r="MP334" s="23"/>
      <c r="MQ334" s="23"/>
      <c r="MR334" s="23"/>
      <c r="MS334" s="23"/>
      <c r="MT334" s="23"/>
      <c r="MU334" s="23"/>
      <c r="MV334" s="23"/>
      <c r="MW334" s="23"/>
      <c r="MX334" s="23"/>
      <c r="MY334" s="23"/>
      <c r="MZ334" s="23"/>
      <c r="NA334" s="23"/>
      <c r="NB334" s="23"/>
      <c r="NC334" s="23"/>
      <c r="ND334" s="23"/>
      <c r="NE334" s="23"/>
      <c r="NF334" s="23"/>
      <c r="NG334" s="23"/>
      <c r="NH334" s="23"/>
      <c r="NI334" s="23"/>
      <c r="NJ334" s="23"/>
      <c r="NK334" s="23"/>
      <c r="NL334" s="23"/>
      <c r="NM334" s="23"/>
      <c r="NN334" s="23"/>
      <c r="NO334" s="23"/>
      <c r="NP334" s="23"/>
      <c r="NQ334" s="23"/>
      <c r="NR334" s="23"/>
      <c r="NS334" s="23"/>
      <c r="NT334" s="23"/>
      <c r="NU334" s="23"/>
      <c r="NV334" s="23"/>
      <c r="NW334" s="23"/>
      <c r="NX334" s="23"/>
      <c r="NY334" s="23"/>
      <c r="NZ334" s="23"/>
      <c r="OA334" s="23"/>
      <c r="OB334" s="23"/>
      <c r="OC334" s="23"/>
      <c r="OD334" s="23"/>
      <c r="OE334" s="23"/>
      <c r="OF334" s="23"/>
      <c r="OG334" s="23"/>
      <c r="OH334" s="23"/>
      <c r="OI334" s="23"/>
      <c r="OJ334" s="23"/>
      <c r="OK334" s="23"/>
      <c r="OL334" s="23"/>
      <c r="OM334" s="23"/>
      <c r="ON334" s="23"/>
      <c r="OO334" s="23"/>
      <c r="OP334" s="23"/>
      <c r="OQ334" s="23"/>
      <c r="OR334" s="23"/>
      <c r="OS334" s="23"/>
      <c r="OT334" s="23"/>
      <c r="OU334" s="23"/>
      <c r="OV334" s="23"/>
      <c r="OW334" s="23"/>
      <c r="OX334" s="23"/>
      <c r="OY334" s="23"/>
      <c r="OZ334" s="23"/>
      <c r="PA334" s="23"/>
      <c r="PB334" s="23"/>
      <c r="PC334" s="23"/>
      <c r="PD334" s="23"/>
      <c r="PE334" s="23"/>
      <c r="PF334" s="23"/>
      <c r="PG334" s="23"/>
      <c r="PH334" s="23"/>
      <c r="PI334" s="23"/>
      <c r="PJ334" s="23"/>
      <c r="PK334" s="23"/>
      <c r="PL334" s="23"/>
      <c r="PM334" s="23"/>
      <c r="PN334" s="23"/>
      <c r="PO334" s="23"/>
      <c r="PP334" s="23"/>
      <c r="PQ334" s="23"/>
      <c r="PR334" s="23"/>
      <c r="PS334" s="23"/>
      <c r="PT334" s="23"/>
      <c r="PU334" s="23"/>
      <c r="PV334" s="23"/>
      <c r="PW334" s="23"/>
      <c r="PX334" s="23"/>
      <c r="PY334" s="23"/>
      <c r="PZ334" s="23"/>
      <c r="QA334" s="23"/>
      <c r="QB334" s="23"/>
      <c r="QC334" s="23"/>
      <c r="QD334" s="23"/>
      <c r="QE334" s="23"/>
      <c r="QF334" s="23"/>
      <c r="QG334" s="23"/>
      <c r="QH334" s="23"/>
      <c r="QI334" s="23"/>
      <c r="QJ334" s="23"/>
      <c r="QK334" s="23"/>
      <c r="QL334" s="23"/>
      <c r="QM334" s="23"/>
      <c r="QN334" s="23"/>
      <c r="QO334" s="23"/>
      <c r="QP334" s="23"/>
      <c r="QQ334" s="23"/>
      <c r="QR334" s="23"/>
      <c r="QS334" s="23"/>
      <c r="QT334" s="23"/>
      <c r="QU334" s="23"/>
      <c r="QV334" s="23"/>
      <c r="QW334" s="23"/>
      <c r="QX334" s="23"/>
      <c r="QY334" s="23"/>
      <c r="QZ334" s="23"/>
      <c r="RA334" s="23"/>
      <c r="RB334" s="23"/>
      <c r="RC334" s="23"/>
      <c r="RD334" s="23"/>
      <c r="RE334" s="23"/>
      <c r="RF334" s="23"/>
      <c r="RG334" s="23"/>
      <c r="RH334" s="23"/>
      <c r="RI334" s="23"/>
      <c r="RJ334" s="23"/>
      <c r="RK334" s="23"/>
      <c r="RL334" s="23"/>
      <c r="RM334" s="23"/>
      <c r="RN334" s="23"/>
      <c r="RO334" s="23"/>
      <c r="RP334" s="23"/>
      <c r="RQ334" s="23"/>
      <c r="RR334" s="23"/>
      <c r="RS334" s="23"/>
      <c r="RT334" s="23"/>
      <c r="RU334" s="23"/>
      <c r="RV334" s="23"/>
      <c r="RW334" s="23"/>
      <c r="RX334" s="23"/>
      <c r="RY334" s="23"/>
      <c r="RZ334" s="23"/>
      <c r="SA334" s="23"/>
      <c r="SB334" s="23"/>
      <c r="SC334" s="23"/>
      <c r="SD334" s="23"/>
      <c r="SE334" s="23"/>
      <c r="SF334" s="23"/>
      <c r="SG334" s="23"/>
      <c r="SH334" s="23"/>
      <c r="SI334" s="23"/>
      <c r="SJ334" s="23"/>
      <c r="SK334" s="23"/>
      <c r="SL334" s="23"/>
      <c r="SM334" s="23"/>
      <c r="SN334" s="23"/>
      <c r="SO334" s="23"/>
      <c r="SP334" s="23"/>
      <c r="SQ334" s="23"/>
      <c r="SR334" s="23"/>
      <c r="SS334" s="23"/>
      <c r="ST334" s="23"/>
      <c r="SU334" s="23"/>
      <c r="SV334" s="23"/>
      <c r="SW334" s="23"/>
      <c r="SX334" s="23"/>
      <c r="SY334" s="23"/>
      <c r="SZ334" s="23"/>
      <c r="TA334" s="23"/>
      <c r="TB334" s="23"/>
      <c r="TC334" s="23"/>
      <c r="TD334" s="23"/>
      <c r="TE334" s="23"/>
    </row>
    <row r="335" spans="1:525" s="22" customFormat="1" ht="21.75" customHeight="1" x14ac:dyDescent="0.25">
      <c r="A335" s="56" t="s">
        <v>219</v>
      </c>
      <c r="B335" s="84" t="str">
        <f>'дод 7'!A243</f>
        <v>8600</v>
      </c>
      <c r="C335" s="84" t="str">
        <f>'дод 7'!B243</f>
        <v>0170</v>
      </c>
      <c r="D335" s="57" t="str">
        <f>'дод 7'!C243</f>
        <v>Обслуговування місцевого боргу</v>
      </c>
      <c r="E335" s="135">
        <f t="shared" si="194"/>
        <v>3807000</v>
      </c>
      <c r="F335" s="135">
        <v>3807000</v>
      </c>
      <c r="G335" s="135"/>
      <c r="H335" s="135"/>
      <c r="I335" s="135"/>
      <c r="J335" s="135">
        <f t="shared" si="196"/>
        <v>0</v>
      </c>
      <c r="K335" s="135"/>
      <c r="L335" s="135"/>
      <c r="M335" s="135"/>
      <c r="N335" s="135"/>
      <c r="O335" s="135"/>
      <c r="P335" s="135">
        <f t="shared" si="195"/>
        <v>3807000</v>
      </c>
      <c r="Q335" s="179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3"/>
      <c r="DW335" s="23"/>
      <c r="DX335" s="23"/>
      <c r="DY335" s="23"/>
      <c r="DZ335" s="23"/>
      <c r="EA335" s="23"/>
      <c r="EB335" s="23"/>
      <c r="EC335" s="23"/>
      <c r="ED335" s="23"/>
      <c r="EE335" s="23"/>
      <c r="EF335" s="23"/>
      <c r="EG335" s="23"/>
      <c r="EH335" s="23"/>
      <c r="EI335" s="23"/>
      <c r="EJ335" s="23"/>
      <c r="EK335" s="23"/>
      <c r="EL335" s="23"/>
      <c r="EM335" s="23"/>
      <c r="EN335" s="23"/>
      <c r="EO335" s="23"/>
      <c r="EP335" s="23"/>
      <c r="EQ335" s="23"/>
      <c r="ER335" s="23"/>
      <c r="ES335" s="23"/>
      <c r="ET335" s="23"/>
      <c r="EU335" s="23"/>
      <c r="EV335" s="23"/>
      <c r="EW335" s="23"/>
      <c r="EX335" s="23"/>
      <c r="EY335" s="23"/>
      <c r="EZ335" s="23"/>
      <c r="FA335" s="23"/>
      <c r="FB335" s="23"/>
      <c r="FC335" s="23"/>
      <c r="FD335" s="23"/>
      <c r="FE335" s="23"/>
      <c r="FF335" s="23"/>
      <c r="FG335" s="23"/>
      <c r="FH335" s="23"/>
      <c r="FI335" s="23"/>
      <c r="FJ335" s="23"/>
      <c r="FK335" s="23"/>
      <c r="FL335" s="23"/>
      <c r="FM335" s="23"/>
      <c r="FN335" s="23"/>
      <c r="FO335" s="23"/>
      <c r="FP335" s="23"/>
      <c r="FQ335" s="23"/>
      <c r="FR335" s="23"/>
      <c r="FS335" s="23"/>
      <c r="FT335" s="23"/>
      <c r="FU335" s="23"/>
      <c r="FV335" s="23"/>
      <c r="FW335" s="23"/>
      <c r="FX335" s="23"/>
      <c r="FY335" s="23"/>
      <c r="FZ335" s="23"/>
      <c r="GA335" s="23"/>
      <c r="GB335" s="23"/>
      <c r="GC335" s="23"/>
      <c r="GD335" s="23"/>
      <c r="GE335" s="23"/>
      <c r="GF335" s="23"/>
      <c r="GG335" s="23"/>
      <c r="GH335" s="23"/>
      <c r="GI335" s="23"/>
      <c r="GJ335" s="23"/>
      <c r="GK335" s="23"/>
      <c r="GL335" s="23"/>
      <c r="GM335" s="23"/>
      <c r="GN335" s="23"/>
      <c r="GO335" s="23"/>
      <c r="GP335" s="23"/>
      <c r="GQ335" s="23"/>
      <c r="GR335" s="23"/>
      <c r="GS335" s="23"/>
      <c r="GT335" s="23"/>
      <c r="GU335" s="23"/>
      <c r="GV335" s="23"/>
      <c r="GW335" s="23"/>
      <c r="GX335" s="23"/>
      <c r="GY335" s="23"/>
      <c r="GZ335" s="23"/>
      <c r="HA335" s="23"/>
      <c r="HB335" s="23"/>
      <c r="HC335" s="23"/>
      <c r="HD335" s="23"/>
      <c r="HE335" s="23"/>
      <c r="HF335" s="23"/>
      <c r="HG335" s="23"/>
      <c r="HH335" s="23"/>
      <c r="HI335" s="23"/>
      <c r="HJ335" s="23"/>
      <c r="HK335" s="23"/>
      <c r="HL335" s="23"/>
      <c r="HM335" s="23"/>
      <c r="HN335" s="23"/>
      <c r="HO335" s="23"/>
      <c r="HP335" s="23"/>
      <c r="HQ335" s="23"/>
      <c r="HR335" s="23"/>
      <c r="HS335" s="23"/>
      <c r="HT335" s="23"/>
      <c r="HU335" s="23"/>
      <c r="HV335" s="23"/>
      <c r="HW335" s="23"/>
      <c r="HX335" s="23"/>
      <c r="HY335" s="23"/>
      <c r="HZ335" s="23"/>
      <c r="IA335" s="23"/>
      <c r="IB335" s="23"/>
      <c r="IC335" s="23"/>
      <c r="ID335" s="23"/>
      <c r="IE335" s="23"/>
      <c r="IF335" s="23"/>
      <c r="IG335" s="23"/>
      <c r="IH335" s="23"/>
      <c r="II335" s="23"/>
      <c r="IJ335" s="23"/>
      <c r="IK335" s="23"/>
      <c r="IL335" s="23"/>
      <c r="IM335" s="23"/>
      <c r="IN335" s="23"/>
      <c r="IO335" s="23"/>
      <c r="IP335" s="23"/>
      <c r="IQ335" s="23"/>
      <c r="IR335" s="23"/>
      <c r="IS335" s="23"/>
      <c r="IT335" s="23"/>
      <c r="IU335" s="23"/>
      <c r="IV335" s="23"/>
      <c r="IW335" s="23"/>
      <c r="IX335" s="23"/>
      <c r="IY335" s="23"/>
      <c r="IZ335" s="23"/>
      <c r="JA335" s="23"/>
      <c r="JB335" s="23"/>
      <c r="JC335" s="23"/>
      <c r="JD335" s="23"/>
      <c r="JE335" s="23"/>
      <c r="JF335" s="23"/>
      <c r="JG335" s="23"/>
      <c r="JH335" s="23"/>
      <c r="JI335" s="23"/>
      <c r="JJ335" s="23"/>
      <c r="JK335" s="23"/>
      <c r="JL335" s="23"/>
      <c r="JM335" s="23"/>
      <c r="JN335" s="23"/>
      <c r="JO335" s="23"/>
      <c r="JP335" s="23"/>
      <c r="JQ335" s="23"/>
      <c r="JR335" s="23"/>
      <c r="JS335" s="23"/>
      <c r="JT335" s="23"/>
      <c r="JU335" s="23"/>
      <c r="JV335" s="23"/>
      <c r="JW335" s="23"/>
      <c r="JX335" s="23"/>
      <c r="JY335" s="23"/>
      <c r="JZ335" s="23"/>
      <c r="KA335" s="23"/>
      <c r="KB335" s="23"/>
      <c r="KC335" s="23"/>
      <c r="KD335" s="23"/>
      <c r="KE335" s="23"/>
      <c r="KF335" s="23"/>
      <c r="KG335" s="23"/>
      <c r="KH335" s="23"/>
      <c r="KI335" s="23"/>
      <c r="KJ335" s="23"/>
      <c r="KK335" s="23"/>
      <c r="KL335" s="23"/>
      <c r="KM335" s="23"/>
      <c r="KN335" s="23"/>
      <c r="KO335" s="23"/>
      <c r="KP335" s="23"/>
      <c r="KQ335" s="23"/>
      <c r="KR335" s="23"/>
      <c r="KS335" s="23"/>
      <c r="KT335" s="23"/>
      <c r="KU335" s="23"/>
      <c r="KV335" s="23"/>
      <c r="KW335" s="23"/>
      <c r="KX335" s="23"/>
      <c r="KY335" s="23"/>
      <c r="KZ335" s="23"/>
      <c r="LA335" s="23"/>
      <c r="LB335" s="23"/>
      <c r="LC335" s="23"/>
      <c r="LD335" s="23"/>
      <c r="LE335" s="23"/>
      <c r="LF335" s="23"/>
      <c r="LG335" s="23"/>
      <c r="LH335" s="23"/>
      <c r="LI335" s="23"/>
      <c r="LJ335" s="23"/>
      <c r="LK335" s="23"/>
      <c r="LL335" s="23"/>
      <c r="LM335" s="23"/>
      <c r="LN335" s="23"/>
      <c r="LO335" s="23"/>
      <c r="LP335" s="23"/>
      <c r="LQ335" s="23"/>
      <c r="LR335" s="23"/>
      <c r="LS335" s="23"/>
      <c r="LT335" s="23"/>
      <c r="LU335" s="23"/>
      <c r="LV335" s="23"/>
      <c r="LW335" s="23"/>
      <c r="LX335" s="23"/>
      <c r="LY335" s="23"/>
      <c r="LZ335" s="23"/>
      <c r="MA335" s="23"/>
      <c r="MB335" s="23"/>
      <c r="MC335" s="23"/>
      <c r="MD335" s="23"/>
      <c r="ME335" s="23"/>
      <c r="MF335" s="23"/>
      <c r="MG335" s="23"/>
      <c r="MH335" s="23"/>
      <c r="MI335" s="23"/>
      <c r="MJ335" s="23"/>
      <c r="MK335" s="23"/>
      <c r="ML335" s="23"/>
      <c r="MM335" s="23"/>
      <c r="MN335" s="23"/>
      <c r="MO335" s="23"/>
      <c r="MP335" s="23"/>
      <c r="MQ335" s="23"/>
      <c r="MR335" s="23"/>
      <c r="MS335" s="23"/>
      <c r="MT335" s="23"/>
      <c r="MU335" s="23"/>
      <c r="MV335" s="23"/>
      <c r="MW335" s="23"/>
      <c r="MX335" s="23"/>
      <c r="MY335" s="23"/>
      <c r="MZ335" s="23"/>
      <c r="NA335" s="23"/>
      <c r="NB335" s="23"/>
      <c r="NC335" s="23"/>
      <c r="ND335" s="23"/>
      <c r="NE335" s="23"/>
      <c r="NF335" s="23"/>
      <c r="NG335" s="23"/>
      <c r="NH335" s="23"/>
      <c r="NI335" s="23"/>
      <c r="NJ335" s="23"/>
      <c r="NK335" s="23"/>
      <c r="NL335" s="23"/>
      <c r="NM335" s="23"/>
      <c r="NN335" s="23"/>
      <c r="NO335" s="23"/>
      <c r="NP335" s="23"/>
      <c r="NQ335" s="23"/>
      <c r="NR335" s="23"/>
      <c r="NS335" s="23"/>
      <c r="NT335" s="23"/>
      <c r="NU335" s="23"/>
      <c r="NV335" s="23"/>
      <c r="NW335" s="23"/>
      <c r="NX335" s="23"/>
      <c r="NY335" s="23"/>
      <c r="NZ335" s="23"/>
      <c r="OA335" s="23"/>
      <c r="OB335" s="23"/>
      <c r="OC335" s="23"/>
      <c r="OD335" s="23"/>
      <c r="OE335" s="23"/>
      <c r="OF335" s="23"/>
      <c r="OG335" s="23"/>
      <c r="OH335" s="23"/>
      <c r="OI335" s="23"/>
      <c r="OJ335" s="23"/>
      <c r="OK335" s="23"/>
      <c r="OL335" s="23"/>
      <c r="OM335" s="23"/>
      <c r="ON335" s="23"/>
      <c r="OO335" s="23"/>
      <c r="OP335" s="23"/>
      <c r="OQ335" s="23"/>
      <c r="OR335" s="23"/>
      <c r="OS335" s="23"/>
      <c r="OT335" s="23"/>
      <c r="OU335" s="23"/>
      <c r="OV335" s="23"/>
      <c r="OW335" s="23"/>
      <c r="OX335" s="23"/>
      <c r="OY335" s="23"/>
      <c r="OZ335" s="23"/>
      <c r="PA335" s="23"/>
      <c r="PB335" s="23"/>
      <c r="PC335" s="23"/>
      <c r="PD335" s="23"/>
      <c r="PE335" s="23"/>
      <c r="PF335" s="23"/>
      <c r="PG335" s="23"/>
      <c r="PH335" s="23"/>
      <c r="PI335" s="23"/>
      <c r="PJ335" s="23"/>
      <c r="PK335" s="23"/>
      <c r="PL335" s="23"/>
      <c r="PM335" s="23"/>
      <c r="PN335" s="23"/>
      <c r="PO335" s="23"/>
      <c r="PP335" s="23"/>
      <c r="PQ335" s="23"/>
      <c r="PR335" s="23"/>
      <c r="PS335" s="23"/>
      <c r="PT335" s="23"/>
      <c r="PU335" s="23"/>
      <c r="PV335" s="23"/>
      <c r="PW335" s="23"/>
      <c r="PX335" s="23"/>
      <c r="PY335" s="23"/>
      <c r="PZ335" s="23"/>
      <c r="QA335" s="23"/>
      <c r="QB335" s="23"/>
      <c r="QC335" s="23"/>
      <c r="QD335" s="23"/>
      <c r="QE335" s="23"/>
      <c r="QF335" s="23"/>
      <c r="QG335" s="23"/>
      <c r="QH335" s="23"/>
      <c r="QI335" s="23"/>
      <c r="QJ335" s="23"/>
      <c r="QK335" s="23"/>
      <c r="QL335" s="23"/>
      <c r="QM335" s="23"/>
      <c r="QN335" s="23"/>
      <c r="QO335" s="23"/>
      <c r="QP335" s="23"/>
      <c r="QQ335" s="23"/>
      <c r="QR335" s="23"/>
      <c r="QS335" s="23"/>
      <c r="QT335" s="23"/>
      <c r="QU335" s="23"/>
      <c r="QV335" s="23"/>
      <c r="QW335" s="23"/>
      <c r="QX335" s="23"/>
      <c r="QY335" s="23"/>
      <c r="QZ335" s="23"/>
      <c r="RA335" s="23"/>
      <c r="RB335" s="23"/>
      <c r="RC335" s="23"/>
      <c r="RD335" s="23"/>
      <c r="RE335" s="23"/>
      <c r="RF335" s="23"/>
      <c r="RG335" s="23"/>
      <c r="RH335" s="23"/>
      <c r="RI335" s="23"/>
      <c r="RJ335" s="23"/>
      <c r="RK335" s="23"/>
      <c r="RL335" s="23"/>
      <c r="RM335" s="23"/>
      <c r="RN335" s="23"/>
      <c r="RO335" s="23"/>
      <c r="RP335" s="23"/>
      <c r="RQ335" s="23"/>
      <c r="RR335" s="23"/>
      <c r="RS335" s="23"/>
      <c r="RT335" s="23"/>
      <c r="RU335" s="23"/>
      <c r="RV335" s="23"/>
      <c r="RW335" s="23"/>
      <c r="RX335" s="23"/>
      <c r="RY335" s="23"/>
      <c r="RZ335" s="23"/>
      <c r="SA335" s="23"/>
      <c r="SB335" s="23"/>
      <c r="SC335" s="23"/>
      <c r="SD335" s="23"/>
      <c r="SE335" s="23"/>
      <c r="SF335" s="23"/>
      <c r="SG335" s="23"/>
      <c r="SH335" s="23"/>
      <c r="SI335" s="23"/>
      <c r="SJ335" s="23"/>
      <c r="SK335" s="23"/>
      <c r="SL335" s="23"/>
      <c r="SM335" s="23"/>
      <c r="SN335" s="23"/>
      <c r="SO335" s="23"/>
      <c r="SP335" s="23"/>
      <c r="SQ335" s="23"/>
      <c r="SR335" s="23"/>
      <c r="SS335" s="23"/>
      <c r="ST335" s="23"/>
      <c r="SU335" s="23"/>
      <c r="SV335" s="23"/>
      <c r="SW335" s="23"/>
      <c r="SX335" s="23"/>
      <c r="SY335" s="23"/>
      <c r="SZ335" s="23"/>
      <c r="TA335" s="23"/>
      <c r="TB335" s="23"/>
      <c r="TC335" s="23"/>
      <c r="TD335" s="23"/>
      <c r="TE335" s="23"/>
    </row>
    <row r="336" spans="1:525" s="22" customFormat="1" ht="22.5" customHeight="1" x14ac:dyDescent="0.25">
      <c r="A336" s="56" t="s">
        <v>497</v>
      </c>
      <c r="B336" s="84">
        <v>8710</v>
      </c>
      <c r="C336" s="84" t="str">
        <f>'дод 7'!B245</f>
        <v>0133</v>
      </c>
      <c r="D336" s="57" t="str">
        <f>'дод 7'!C245</f>
        <v>Резервний фонд місцевого бюджету</v>
      </c>
      <c r="E336" s="135">
        <f>24835000+427846-239651-8000000-937638-800000+18335-364200+50000000-14200000-5000000+500000-1241000+67750-148974-350000</f>
        <v>44567468</v>
      </c>
      <c r="F336" s="135"/>
      <c r="G336" s="135"/>
      <c r="H336" s="135"/>
      <c r="I336" s="135"/>
      <c r="J336" s="135">
        <f t="shared" si="196"/>
        <v>0</v>
      </c>
      <c r="K336" s="135"/>
      <c r="L336" s="135"/>
      <c r="M336" s="135"/>
      <c r="N336" s="135"/>
      <c r="O336" s="135"/>
      <c r="P336" s="135">
        <f t="shared" si="195"/>
        <v>44567468</v>
      </c>
      <c r="Q336" s="179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/>
      <c r="FP336" s="23"/>
      <c r="FQ336" s="23"/>
      <c r="FR336" s="23"/>
      <c r="FS336" s="23"/>
      <c r="FT336" s="23"/>
      <c r="FU336" s="23"/>
      <c r="FV336" s="23"/>
      <c r="FW336" s="23"/>
      <c r="FX336" s="23"/>
      <c r="FY336" s="23"/>
      <c r="FZ336" s="23"/>
      <c r="GA336" s="23"/>
      <c r="GB336" s="23"/>
      <c r="GC336" s="23"/>
      <c r="GD336" s="23"/>
      <c r="GE336" s="23"/>
      <c r="GF336" s="23"/>
      <c r="GG336" s="23"/>
      <c r="GH336" s="23"/>
      <c r="GI336" s="23"/>
      <c r="GJ336" s="23"/>
      <c r="GK336" s="23"/>
      <c r="GL336" s="23"/>
      <c r="GM336" s="23"/>
      <c r="GN336" s="23"/>
      <c r="GO336" s="23"/>
      <c r="GP336" s="23"/>
      <c r="GQ336" s="23"/>
      <c r="GR336" s="23"/>
      <c r="GS336" s="23"/>
      <c r="GT336" s="23"/>
      <c r="GU336" s="23"/>
      <c r="GV336" s="23"/>
      <c r="GW336" s="23"/>
      <c r="GX336" s="23"/>
      <c r="GY336" s="23"/>
      <c r="GZ336" s="23"/>
      <c r="HA336" s="23"/>
      <c r="HB336" s="23"/>
      <c r="HC336" s="23"/>
      <c r="HD336" s="23"/>
      <c r="HE336" s="23"/>
      <c r="HF336" s="23"/>
      <c r="HG336" s="23"/>
      <c r="HH336" s="23"/>
      <c r="HI336" s="23"/>
      <c r="HJ336" s="23"/>
      <c r="HK336" s="23"/>
      <c r="HL336" s="23"/>
      <c r="HM336" s="23"/>
      <c r="HN336" s="23"/>
      <c r="HO336" s="23"/>
      <c r="HP336" s="23"/>
      <c r="HQ336" s="23"/>
      <c r="HR336" s="23"/>
      <c r="HS336" s="23"/>
      <c r="HT336" s="23"/>
      <c r="HU336" s="23"/>
      <c r="HV336" s="23"/>
      <c r="HW336" s="23"/>
      <c r="HX336" s="23"/>
      <c r="HY336" s="23"/>
      <c r="HZ336" s="23"/>
      <c r="IA336" s="23"/>
      <c r="IB336" s="23"/>
      <c r="IC336" s="23"/>
      <c r="ID336" s="23"/>
      <c r="IE336" s="23"/>
      <c r="IF336" s="23"/>
      <c r="IG336" s="23"/>
      <c r="IH336" s="23"/>
      <c r="II336" s="23"/>
      <c r="IJ336" s="23"/>
      <c r="IK336" s="23"/>
      <c r="IL336" s="23"/>
      <c r="IM336" s="23"/>
      <c r="IN336" s="23"/>
      <c r="IO336" s="23"/>
      <c r="IP336" s="23"/>
      <c r="IQ336" s="23"/>
      <c r="IR336" s="23"/>
      <c r="IS336" s="23"/>
      <c r="IT336" s="23"/>
      <c r="IU336" s="23"/>
      <c r="IV336" s="23"/>
      <c r="IW336" s="23"/>
      <c r="IX336" s="23"/>
      <c r="IY336" s="23"/>
      <c r="IZ336" s="23"/>
      <c r="JA336" s="23"/>
      <c r="JB336" s="23"/>
      <c r="JC336" s="23"/>
      <c r="JD336" s="23"/>
      <c r="JE336" s="23"/>
      <c r="JF336" s="23"/>
      <c r="JG336" s="23"/>
      <c r="JH336" s="23"/>
      <c r="JI336" s="23"/>
      <c r="JJ336" s="23"/>
      <c r="JK336" s="23"/>
      <c r="JL336" s="23"/>
      <c r="JM336" s="23"/>
      <c r="JN336" s="23"/>
      <c r="JO336" s="23"/>
      <c r="JP336" s="23"/>
      <c r="JQ336" s="23"/>
      <c r="JR336" s="23"/>
      <c r="JS336" s="23"/>
      <c r="JT336" s="23"/>
      <c r="JU336" s="23"/>
      <c r="JV336" s="23"/>
      <c r="JW336" s="23"/>
      <c r="JX336" s="23"/>
      <c r="JY336" s="23"/>
      <c r="JZ336" s="23"/>
      <c r="KA336" s="23"/>
      <c r="KB336" s="23"/>
      <c r="KC336" s="23"/>
      <c r="KD336" s="23"/>
      <c r="KE336" s="23"/>
      <c r="KF336" s="23"/>
      <c r="KG336" s="23"/>
      <c r="KH336" s="23"/>
      <c r="KI336" s="23"/>
      <c r="KJ336" s="23"/>
      <c r="KK336" s="23"/>
      <c r="KL336" s="23"/>
      <c r="KM336" s="23"/>
      <c r="KN336" s="23"/>
      <c r="KO336" s="23"/>
      <c r="KP336" s="23"/>
      <c r="KQ336" s="23"/>
      <c r="KR336" s="23"/>
      <c r="KS336" s="23"/>
      <c r="KT336" s="23"/>
      <c r="KU336" s="23"/>
      <c r="KV336" s="23"/>
      <c r="KW336" s="23"/>
      <c r="KX336" s="23"/>
      <c r="KY336" s="23"/>
      <c r="KZ336" s="23"/>
      <c r="LA336" s="23"/>
      <c r="LB336" s="23"/>
      <c r="LC336" s="23"/>
      <c r="LD336" s="23"/>
      <c r="LE336" s="23"/>
      <c r="LF336" s="23"/>
      <c r="LG336" s="23"/>
      <c r="LH336" s="23"/>
      <c r="LI336" s="23"/>
      <c r="LJ336" s="23"/>
      <c r="LK336" s="23"/>
      <c r="LL336" s="23"/>
      <c r="LM336" s="23"/>
      <c r="LN336" s="23"/>
      <c r="LO336" s="23"/>
      <c r="LP336" s="23"/>
      <c r="LQ336" s="23"/>
      <c r="LR336" s="23"/>
      <c r="LS336" s="23"/>
      <c r="LT336" s="23"/>
      <c r="LU336" s="23"/>
      <c r="LV336" s="23"/>
      <c r="LW336" s="23"/>
      <c r="LX336" s="23"/>
      <c r="LY336" s="23"/>
      <c r="LZ336" s="23"/>
      <c r="MA336" s="23"/>
      <c r="MB336" s="23"/>
      <c r="MC336" s="23"/>
      <c r="MD336" s="23"/>
      <c r="ME336" s="23"/>
      <c r="MF336" s="23"/>
      <c r="MG336" s="23"/>
      <c r="MH336" s="23"/>
      <c r="MI336" s="23"/>
      <c r="MJ336" s="23"/>
      <c r="MK336" s="23"/>
      <c r="ML336" s="23"/>
      <c r="MM336" s="23"/>
      <c r="MN336" s="23"/>
      <c r="MO336" s="23"/>
      <c r="MP336" s="23"/>
      <c r="MQ336" s="23"/>
      <c r="MR336" s="23"/>
      <c r="MS336" s="23"/>
      <c r="MT336" s="23"/>
      <c r="MU336" s="23"/>
      <c r="MV336" s="23"/>
      <c r="MW336" s="23"/>
      <c r="MX336" s="23"/>
      <c r="MY336" s="23"/>
      <c r="MZ336" s="23"/>
      <c r="NA336" s="23"/>
      <c r="NB336" s="23"/>
      <c r="NC336" s="23"/>
      <c r="ND336" s="23"/>
      <c r="NE336" s="23"/>
      <c r="NF336" s="23"/>
      <c r="NG336" s="23"/>
      <c r="NH336" s="23"/>
      <c r="NI336" s="23"/>
      <c r="NJ336" s="23"/>
      <c r="NK336" s="23"/>
      <c r="NL336" s="23"/>
      <c r="NM336" s="23"/>
      <c r="NN336" s="23"/>
      <c r="NO336" s="23"/>
      <c r="NP336" s="23"/>
      <c r="NQ336" s="23"/>
      <c r="NR336" s="23"/>
      <c r="NS336" s="23"/>
      <c r="NT336" s="23"/>
      <c r="NU336" s="23"/>
      <c r="NV336" s="23"/>
      <c r="NW336" s="23"/>
      <c r="NX336" s="23"/>
      <c r="NY336" s="23"/>
      <c r="NZ336" s="23"/>
      <c r="OA336" s="23"/>
      <c r="OB336" s="23"/>
      <c r="OC336" s="23"/>
      <c r="OD336" s="23"/>
      <c r="OE336" s="23"/>
      <c r="OF336" s="23"/>
      <c r="OG336" s="23"/>
      <c r="OH336" s="23"/>
      <c r="OI336" s="23"/>
      <c r="OJ336" s="23"/>
      <c r="OK336" s="23"/>
      <c r="OL336" s="23"/>
      <c r="OM336" s="23"/>
      <c r="ON336" s="23"/>
      <c r="OO336" s="23"/>
      <c r="OP336" s="23"/>
      <c r="OQ336" s="23"/>
      <c r="OR336" s="23"/>
      <c r="OS336" s="23"/>
      <c r="OT336" s="23"/>
      <c r="OU336" s="23"/>
      <c r="OV336" s="23"/>
      <c r="OW336" s="23"/>
      <c r="OX336" s="23"/>
      <c r="OY336" s="23"/>
      <c r="OZ336" s="23"/>
      <c r="PA336" s="23"/>
      <c r="PB336" s="23"/>
      <c r="PC336" s="23"/>
      <c r="PD336" s="23"/>
      <c r="PE336" s="23"/>
      <c r="PF336" s="23"/>
      <c r="PG336" s="23"/>
      <c r="PH336" s="23"/>
      <c r="PI336" s="23"/>
      <c r="PJ336" s="23"/>
      <c r="PK336" s="23"/>
      <c r="PL336" s="23"/>
      <c r="PM336" s="23"/>
      <c r="PN336" s="23"/>
      <c r="PO336" s="23"/>
      <c r="PP336" s="23"/>
      <c r="PQ336" s="23"/>
      <c r="PR336" s="23"/>
      <c r="PS336" s="23"/>
      <c r="PT336" s="23"/>
      <c r="PU336" s="23"/>
      <c r="PV336" s="23"/>
      <c r="PW336" s="23"/>
      <c r="PX336" s="23"/>
      <c r="PY336" s="23"/>
      <c r="PZ336" s="23"/>
      <c r="QA336" s="23"/>
      <c r="QB336" s="23"/>
      <c r="QC336" s="23"/>
      <c r="QD336" s="23"/>
      <c r="QE336" s="23"/>
      <c r="QF336" s="23"/>
      <c r="QG336" s="23"/>
      <c r="QH336" s="23"/>
      <c r="QI336" s="23"/>
      <c r="QJ336" s="23"/>
      <c r="QK336" s="23"/>
      <c r="QL336" s="23"/>
      <c r="QM336" s="23"/>
      <c r="QN336" s="23"/>
      <c r="QO336" s="23"/>
      <c r="QP336" s="23"/>
      <c r="QQ336" s="23"/>
      <c r="QR336" s="23"/>
      <c r="QS336" s="23"/>
      <c r="QT336" s="23"/>
      <c r="QU336" s="23"/>
      <c r="QV336" s="23"/>
      <c r="QW336" s="23"/>
      <c r="QX336" s="23"/>
      <c r="QY336" s="23"/>
      <c r="QZ336" s="23"/>
      <c r="RA336" s="23"/>
      <c r="RB336" s="23"/>
      <c r="RC336" s="23"/>
      <c r="RD336" s="23"/>
      <c r="RE336" s="23"/>
      <c r="RF336" s="23"/>
      <c r="RG336" s="23"/>
      <c r="RH336" s="23"/>
      <c r="RI336" s="23"/>
      <c r="RJ336" s="23"/>
      <c r="RK336" s="23"/>
      <c r="RL336" s="23"/>
      <c r="RM336" s="23"/>
      <c r="RN336" s="23"/>
      <c r="RO336" s="23"/>
      <c r="RP336" s="23"/>
      <c r="RQ336" s="23"/>
      <c r="RR336" s="23"/>
      <c r="RS336" s="23"/>
      <c r="RT336" s="23"/>
      <c r="RU336" s="23"/>
      <c r="RV336" s="23"/>
      <c r="RW336" s="23"/>
      <c r="RX336" s="23"/>
      <c r="RY336" s="23"/>
      <c r="RZ336" s="23"/>
      <c r="SA336" s="23"/>
      <c r="SB336" s="23"/>
      <c r="SC336" s="23"/>
      <c r="SD336" s="23"/>
      <c r="SE336" s="23"/>
      <c r="SF336" s="23"/>
      <c r="SG336" s="23"/>
      <c r="SH336" s="23"/>
      <c r="SI336" s="23"/>
      <c r="SJ336" s="23"/>
      <c r="SK336" s="23"/>
      <c r="SL336" s="23"/>
      <c r="SM336" s="23"/>
      <c r="SN336" s="23"/>
      <c r="SO336" s="23"/>
      <c r="SP336" s="23"/>
      <c r="SQ336" s="23"/>
      <c r="SR336" s="23"/>
      <c r="SS336" s="23"/>
      <c r="ST336" s="23"/>
      <c r="SU336" s="23"/>
      <c r="SV336" s="23"/>
      <c r="SW336" s="23"/>
      <c r="SX336" s="23"/>
      <c r="SY336" s="23"/>
      <c r="SZ336" s="23"/>
      <c r="TA336" s="23"/>
      <c r="TB336" s="23"/>
      <c r="TC336" s="23"/>
      <c r="TD336" s="23"/>
      <c r="TE336" s="23"/>
    </row>
    <row r="337" spans="1:525" s="22" customFormat="1" ht="24.75" customHeight="1" x14ac:dyDescent="0.25">
      <c r="A337" s="56" t="s">
        <v>229</v>
      </c>
      <c r="B337" s="84" t="str">
        <f>'дод 7'!A252</f>
        <v>9110</v>
      </c>
      <c r="C337" s="84" t="str">
        <f>'дод 7'!B252</f>
        <v>0180</v>
      </c>
      <c r="D337" s="57" t="str">
        <f>'дод 7'!C252</f>
        <v>Реверсна дотація</v>
      </c>
      <c r="E337" s="135">
        <f t="shared" si="194"/>
        <v>171293100</v>
      </c>
      <c r="F337" s="135">
        <v>171293100</v>
      </c>
      <c r="G337" s="135"/>
      <c r="H337" s="135"/>
      <c r="I337" s="135"/>
      <c r="J337" s="135">
        <f t="shared" si="196"/>
        <v>0</v>
      </c>
      <c r="K337" s="135"/>
      <c r="L337" s="135"/>
      <c r="M337" s="135"/>
      <c r="N337" s="135"/>
      <c r="O337" s="135"/>
      <c r="P337" s="135">
        <f t="shared" si="195"/>
        <v>171293100</v>
      </c>
      <c r="Q337" s="179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  <c r="GB337" s="23"/>
      <c r="GC337" s="23"/>
      <c r="GD337" s="23"/>
      <c r="GE337" s="23"/>
      <c r="GF337" s="23"/>
      <c r="GG337" s="23"/>
      <c r="GH337" s="23"/>
      <c r="GI337" s="23"/>
      <c r="GJ337" s="23"/>
      <c r="GK337" s="23"/>
      <c r="GL337" s="23"/>
      <c r="GM337" s="23"/>
      <c r="GN337" s="23"/>
      <c r="GO337" s="23"/>
      <c r="GP337" s="23"/>
      <c r="GQ337" s="23"/>
      <c r="GR337" s="23"/>
      <c r="GS337" s="23"/>
      <c r="GT337" s="23"/>
      <c r="GU337" s="23"/>
      <c r="GV337" s="23"/>
      <c r="GW337" s="23"/>
      <c r="GX337" s="23"/>
      <c r="GY337" s="23"/>
      <c r="GZ337" s="23"/>
      <c r="HA337" s="23"/>
      <c r="HB337" s="23"/>
      <c r="HC337" s="23"/>
      <c r="HD337" s="23"/>
      <c r="HE337" s="23"/>
      <c r="HF337" s="23"/>
      <c r="HG337" s="23"/>
      <c r="HH337" s="23"/>
      <c r="HI337" s="23"/>
      <c r="HJ337" s="23"/>
      <c r="HK337" s="23"/>
      <c r="HL337" s="23"/>
      <c r="HM337" s="23"/>
      <c r="HN337" s="23"/>
      <c r="HO337" s="23"/>
      <c r="HP337" s="23"/>
      <c r="HQ337" s="23"/>
      <c r="HR337" s="23"/>
      <c r="HS337" s="23"/>
      <c r="HT337" s="23"/>
      <c r="HU337" s="23"/>
      <c r="HV337" s="23"/>
      <c r="HW337" s="23"/>
      <c r="HX337" s="23"/>
      <c r="HY337" s="23"/>
      <c r="HZ337" s="23"/>
      <c r="IA337" s="23"/>
      <c r="IB337" s="23"/>
      <c r="IC337" s="23"/>
      <c r="ID337" s="23"/>
      <c r="IE337" s="23"/>
      <c r="IF337" s="23"/>
      <c r="IG337" s="23"/>
      <c r="IH337" s="23"/>
      <c r="II337" s="23"/>
      <c r="IJ337" s="23"/>
      <c r="IK337" s="23"/>
      <c r="IL337" s="23"/>
      <c r="IM337" s="23"/>
      <c r="IN337" s="23"/>
      <c r="IO337" s="23"/>
      <c r="IP337" s="23"/>
      <c r="IQ337" s="23"/>
      <c r="IR337" s="23"/>
      <c r="IS337" s="23"/>
      <c r="IT337" s="23"/>
      <c r="IU337" s="23"/>
      <c r="IV337" s="23"/>
      <c r="IW337" s="23"/>
      <c r="IX337" s="23"/>
      <c r="IY337" s="23"/>
      <c r="IZ337" s="23"/>
      <c r="JA337" s="23"/>
      <c r="JB337" s="23"/>
      <c r="JC337" s="23"/>
      <c r="JD337" s="23"/>
      <c r="JE337" s="23"/>
      <c r="JF337" s="23"/>
      <c r="JG337" s="23"/>
      <c r="JH337" s="23"/>
      <c r="JI337" s="23"/>
      <c r="JJ337" s="23"/>
      <c r="JK337" s="23"/>
      <c r="JL337" s="23"/>
      <c r="JM337" s="23"/>
      <c r="JN337" s="23"/>
      <c r="JO337" s="23"/>
      <c r="JP337" s="23"/>
      <c r="JQ337" s="23"/>
      <c r="JR337" s="23"/>
      <c r="JS337" s="23"/>
      <c r="JT337" s="23"/>
      <c r="JU337" s="23"/>
      <c r="JV337" s="23"/>
      <c r="JW337" s="23"/>
      <c r="JX337" s="23"/>
      <c r="JY337" s="23"/>
      <c r="JZ337" s="23"/>
      <c r="KA337" s="23"/>
      <c r="KB337" s="23"/>
      <c r="KC337" s="23"/>
      <c r="KD337" s="23"/>
      <c r="KE337" s="23"/>
      <c r="KF337" s="23"/>
      <c r="KG337" s="23"/>
      <c r="KH337" s="23"/>
      <c r="KI337" s="23"/>
      <c r="KJ337" s="23"/>
      <c r="KK337" s="23"/>
      <c r="KL337" s="23"/>
      <c r="KM337" s="23"/>
      <c r="KN337" s="23"/>
      <c r="KO337" s="23"/>
      <c r="KP337" s="23"/>
      <c r="KQ337" s="23"/>
      <c r="KR337" s="23"/>
      <c r="KS337" s="23"/>
      <c r="KT337" s="23"/>
      <c r="KU337" s="23"/>
      <c r="KV337" s="23"/>
      <c r="KW337" s="23"/>
      <c r="KX337" s="23"/>
      <c r="KY337" s="23"/>
      <c r="KZ337" s="23"/>
      <c r="LA337" s="23"/>
      <c r="LB337" s="23"/>
      <c r="LC337" s="23"/>
      <c r="LD337" s="23"/>
      <c r="LE337" s="23"/>
      <c r="LF337" s="23"/>
      <c r="LG337" s="23"/>
      <c r="LH337" s="23"/>
      <c r="LI337" s="23"/>
      <c r="LJ337" s="23"/>
      <c r="LK337" s="23"/>
      <c r="LL337" s="23"/>
      <c r="LM337" s="23"/>
      <c r="LN337" s="23"/>
      <c r="LO337" s="23"/>
      <c r="LP337" s="23"/>
      <c r="LQ337" s="23"/>
      <c r="LR337" s="23"/>
      <c r="LS337" s="23"/>
      <c r="LT337" s="23"/>
      <c r="LU337" s="23"/>
      <c r="LV337" s="23"/>
      <c r="LW337" s="23"/>
      <c r="LX337" s="23"/>
      <c r="LY337" s="23"/>
      <c r="LZ337" s="23"/>
      <c r="MA337" s="23"/>
      <c r="MB337" s="23"/>
      <c r="MC337" s="23"/>
      <c r="MD337" s="23"/>
      <c r="ME337" s="23"/>
      <c r="MF337" s="23"/>
      <c r="MG337" s="23"/>
      <c r="MH337" s="23"/>
      <c r="MI337" s="23"/>
      <c r="MJ337" s="23"/>
      <c r="MK337" s="23"/>
      <c r="ML337" s="23"/>
      <c r="MM337" s="23"/>
      <c r="MN337" s="23"/>
      <c r="MO337" s="23"/>
      <c r="MP337" s="23"/>
      <c r="MQ337" s="23"/>
      <c r="MR337" s="23"/>
      <c r="MS337" s="23"/>
      <c r="MT337" s="23"/>
      <c r="MU337" s="23"/>
      <c r="MV337" s="23"/>
      <c r="MW337" s="23"/>
      <c r="MX337" s="23"/>
      <c r="MY337" s="23"/>
      <c r="MZ337" s="23"/>
      <c r="NA337" s="23"/>
      <c r="NB337" s="23"/>
      <c r="NC337" s="23"/>
      <c r="ND337" s="23"/>
      <c r="NE337" s="23"/>
      <c r="NF337" s="23"/>
      <c r="NG337" s="23"/>
      <c r="NH337" s="23"/>
      <c r="NI337" s="23"/>
      <c r="NJ337" s="23"/>
      <c r="NK337" s="23"/>
      <c r="NL337" s="23"/>
      <c r="NM337" s="23"/>
      <c r="NN337" s="23"/>
      <c r="NO337" s="23"/>
      <c r="NP337" s="23"/>
      <c r="NQ337" s="23"/>
      <c r="NR337" s="23"/>
      <c r="NS337" s="23"/>
      <c r="NT337" s="23"/>
      <c r="NU337" s="23"/>
      <c r="NV337" s="23"/>
      <c r="NW337" s="23"/>
      <c r="NX337" s="23"/>
      <c r="NY337" s="23"/>
      <c r="NZ337" s="23"/>
      <c r="OA337" s="23"/>
      <c r="OB337" s="23"/>
      <c r="OC337" s="23"/>
      <c r="OD337" s="23"/>
      <c r="OE337" s="23"/>
      <c r="OF337" s="23"/>
      <c r="OG337" s="23"/>
      <c r="OH337" s="23"/>
      <c r="OI337" s="23"/>
      <c r="OJ337" s="23"/>
      <c r="OK337" s="23"/>
      <c r="OL337" s="23"/>
      <c r="OM337" s="23"/>
      <c r="ON337" s="23"/>
      <c r="OO337" s="23"/>
      <c r="OP337" s="23"/>
      <c r="OQ337" s="23"/>
      <c r="OR337" s="23"/>
      <c r="OS337" s="23"/>
      <c r="OT337" s="23"/>
      <c r="OU337" s="23"/>
      <c r="OV337" s="23"/>
      <c r="OW337" s="23"/>
      <c r="OX337" s="23"/>
      <c r="OY337" s="23"/>
      <c r="OZ337" s="23"/>
      <c r="PA337" s="23"/>
      <c r="PB337" s="23"/>
      <c r="PC337" s="23"/>
      <c r="PD337" s="23"/>
      <c r="PE337" s="23"/>
      <c r="PF337" s="23"/>
      <c r="PG337" s="23"/>
      <c r="PH337" s="23"/>
      <c r="PI337" s="23"/>
      <c r="PJ337" s="23"/>
      <c r="PK337" s="23"/>
      <c r="PL337" s="23"/>
      <c r="PM337" s="23"/>
      <c r="PN337" s="23"/>
      <c r="PO337" s="23"/>
      <c r="PP337" s="23"/>
      <c r="PQ337" s="23"/>
      <c r="PR337" s="23"/>
      <c r="PS337" s="23"/>
      <c r="PT337" s="23"/>
      <c r="PU337" s="23"/>
      <c r="PV337" s="23"/>
      <c r="PW337" s="23"/>
      <c r="PX337" s="23"/>
      <c r="PY337" s="23"/>
      <c r="PZ337" s="23"/>
      <c r="QA337" s="23"/>
      <c r="QB337" s="23"/>
      <c r="QC337" s="23"/>
      <c r="QD337" s="23"/>
      <c r="QE337" s="23"/>
      <c r="QF337" s="23"/>
      <c r="QG337" s="23"/>
      <c r="QH337" s="23"/>
      <c r="QI337" s="23"/>
      <c r="QJ337" s="23"/>
      <c r="QK337" s="23"/>
      <c r="QL337" s="23"/>
      <c r="QM337" s="23"/>
      <c r="QN337" s="23"/>
      <c r="QO337" s="23"/>
      <c r="QP337" s="23"/>
      <c r="QQ337" s="23"/>
      <c r="QR337" s="23"/>
      <c r="QS337" s="23"/>
      <c r="QT337" s="23"/>
      <c r="QU337" s="23"/>
      <c r="QV337" s="23"/>
      <c r="QW337" s="23"/>
      <c r="QX337" s="23"/>
      <c r="QY337" s="23"/>
      <c r="QZ337" s="23"/>
      <c r="RA337" s="23"/>
      <c r="RB337" s="23"/>
      <c r="RC337" s="23"/>
      <c r="RD337" s="23"/>
      <c r="RE337" s="23"/>
      <c r="RF337" s="23"/>
      <c r="RG337" s="23"/>
      <c r="RH337" s="23"/>
      <c r="RI337" s="23"/>
      <c r="RJ337" s="23"/>
      <c r="RK337" s="23"/>
      <c r="RL337" s="23"/>
      <c r="RM337" s="23"/>
      <c r="RN337" s="23"/>
      <c r="RO337" s="23"/>
      <c r="RP337" s="23"/>
      <c r="RQ337" s="23"/>
      <c r="RR337" s="23"/>
      <c r="RS337" s="23"/>
      <c r="RT337" s="23"/>
      <c r="RU337" s="23"/>
      <c r="RV337" s="23"/>
      <c r="RW337" s="23"/>
      <c r="RX337" s="23"/>
      <c r="RY337" s="23"/>
      <c r="RZ337" s="23"/>
      <c r="SA337" s="23"/>
      <c r="SB337" s="23"/>
      <c r="SC337" s="23"/>
      <c r="SD337" s="23"/>
      <c r="SE337" s="23"/>
      <c r="SF337" s="23"/>
      <c r="SG337" s="23"/>
      <c r="SH337" s="23"/>
      <c r="SI337" s="23"/>
      <c r="SJ337" s="23"/>
      <c r="SK337" s="23"/>
      <c r="SL337" s="23"/>
      <c r="SM337" s="23"/>
      <c r="SN337" s="23"/>
      <c r="SO337" s="23"/>
      <c r="SP337" s="23"/>
      <c r="SQ337" s="23"/>
      <c r="SR337" s="23"/>
      <c r="SS337" s="23"/>
      <c r="ST337" s="23"/>
      <c r="SU337" s="23"/>
      <c r="SV337" s="23"/>
      <c r="SW337" s="23"/>
      <c r="SX337" s="23"/>
      <c r="SY337" s="23"/>
      <c r="SZ337" s="23"/>
      <c r="TA337" s="23"/>
      <c r="TB337" s="23"/>
      <c r="TC337" s="23"/>
      <c r="TD337" s="23"/>
      <c r="TE337" s="23"/>
    </row>
    <row r="338" spans="1:525" s="27" customFormat="1" ht="22.5" customHeight="1" x14ac:dyDescent="0.25">
      <c r="A338" s="100"/>
      <c r="B338" s="98"/>
      <c r="C338" s="166"/>
      <c r="D338" s="93" t="s">
        <v>402</v>
      </c>
      <c r="E338" s="133">
        <f t="shared" ref="E338:P338" si="197">E12+E62+E129+E165+E210+E219+E230+E280+E283+E309+E317+E320+E328</f>
        <v>2926312869.04</v>
      </c>
      <c r="F338" s="133">
        <f t="shared" si="197"/>
        <v>2628931681.04</v>
      </c>
      <c r="G338" s="133">
        <f t="shared" si="197"/>
        <v>1230119039</v>
      </c>
      <c r="H338" s="133">
        <f t="shared" si="197"/>
        <v>220364400</v>
      </c>
      <c r="I338" s="133">
        <f t="shared" si="197"/>
        <v>252813720</v>
      </c>
      <c r="J338" s="133">
        <f t="shared" si="197"/>
        <v>873583563.52999997</v>
      </c>
      <c r="K338" s="133">
        <f t="shared" si="197"/>
        <v>760211289</v>
      </c>
      <c r="L338" s="133">
        <f t="shared" si="197"/>
        <v>106723369.53</v>
      </c>
      <c r="M338" s="133">
        <f t="shared" si="197"/>
        <v>9868845</v>
      </c>
      <c r="N338" s="133">
        <f t="shared" si="197"/>
        <v>5509383</v>
      </c>
      <c r="O338" s="133">
        <f t="shared" si="197"/>
        <v>766860194</v>
      </c>
      <c r="P338" s="133">
        <f t="shared" si="197"/>
        <v>3799896432.5700002</v>
      </c>
      <c r="Q338" s="179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</row>
    <row r="339" spans="1:525" s="34" customFormat="1" ht="30.75" customHeight="1" x14ac:dyDescent="0.25">
      <c r="A339" s="101"/>
      <c r="B339" s="95"/>
      <c r="C339" s="87"/>
      <c r="D339" s="70" t="s">
        <v>395</v>
      </c>
      <c r="E339" s="134">
        <f>E64</f>
        <v>514609700</v>
      </c>
      <c r="F339" s="134">
        <f t="shared" ref="F339:P339" si="198">F64</f>
        <v>514609700</v>
      </c>
      <c r="G339" s="134">
        <f t="shared" si="198"/>
        <v>422305000</v>
      </c>
      <c r="H339" s="134">
        <f t="shared" si="198"/>
        <v>0</v>
      </c>
      <c r="I339" s="134">
        <f t="shared" si="198"/>
        <v>0</v>
      </c>
      <c r="J339" s="134">
        <f t="shared" si="198"/>
        <v>0</v>
      </c>
      <c r="K339" s="134">
        <f t="shared" si="198"/>
        <v>0</v>
      </c>
      <c r="L339" s="134">
        <f t="shared" si="198"/>
        <v>0</v>
      </c>
      <c r="M339" s="134">
        <f t="shared" si="198"/>
        <v>0</v>
      </c>
      <c r="N339" s="134">
        <f t="shared" si="198"/>
        <v>0</v>
      </c>
      <c r="O339" s="134">
        <f t="shared" si="198"/>
        <v>0</v>
      </c>
      <c r="P339" s="134">
        <f t="shared" si="198"/>
        <v>514609700</v>
      </c>
      <c r="Q339" s="179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  <c r="DB339" s="33"/>
      <c r="DC339" s="33"/>
      <c r="DD339" s="33"/>
      <c r="DE339" s="33"/>
      <c r="DF339" s="33"/>
      <c r="DG339" s="33"/>
      <c r="DH339" s="33"/>
      <c r="DI339" s="33"/>
      <c r="DJ339" s="33"/>
      <c r="DK339" s="33"/>
      <c r="DL339" s="33"/>
      <c r="DM339" s="33"/>
      <c r="DN339" s="33"/>
      <c r="DO339" s="33"/>
      <c r="DP339" s="33"/>
      <c r="DQ339" s="33"/>
      <c r="DR339" s="33"/>
      <c r="DS339" s="33"/>
      <c r="DT339" s="33"/>
      <c r="DU339" s="33"/>
      <c r="DV339" s="33"/>
      <c r="DW339" s="33"/>
      <c r="DX339" s="33"/>
      <c r="DY339" s="33"/>
      <c r="DZ339" s="33"/>
      <c r="EA339" s="33"/>
      <c r="EB339" s="33"/>
      <c r="EC339" s="33"/>
      <c r="ED339" s="33"/>
      <c r="EE339" s="33"/>
      <c r="EF339" s="33"/>
      <c r="EG339" s="33"/>
      <c r="EH339" s="33"/>
      <c r="EI339" s="33"/>
      <c r="EJ339" s="33"/>
      <c r="EK339" s="33"/>
      <c r="EL339" s="33"/>
      <c r="EM339" s="33"/>
      <c r="EN339" s="33"/>
      <c r="EO339" s="33"/>
      <c r="EP339" s="33"/>
      <c r="EQ339" s="33"/>
      <c r="ER339" s="33"/>
      <c r="ES339" s="33"/>
      <c r="ET339" s="33"/>
      <c r="EU339" s="33"/>
      <c r="EV339" s="33"/>
      <c r="EW339" s="33"/>
      <c r="EX339" s="33"/>
      <c r="EY339" s="33"/>
      <c r="EZ339" s="33"/>
      <c r="FA339" s="33"/>
      <c r="FB339" s="33"/>
      <c r="FC339" s="33"/>
      <c r="FD339" s="33"/>
      <c r="FE339" s="33"/>
      <c r="FF339" s="33"/>
      <c r="FG339" s="33"/>
      <c r="FH339" s="33"/>
      <c r="FI339" s="33"/>
      <c r="FJ339" s="33"/>
      <c r="FK339" s="33"/>
      <c r="FL339" s="33"/>
      <c r="FM339" s="33"/>
      <c r="FN339" s="33"/>
      <c r="FO339" s="33"/>
      <c r="FP339" s="33"/>
      <c r="FQ339" s="33"/>
      <c r="FR339" s="33"/>
      <c r="FS339" s="33"/>
      <c r="FT339" s="33"/>
      <c r="FU339" s="33"/>
      <c r="FV339" s="33"/>
      <c r="FW339" s="33"/>
      <c r="FX339" s="33"/>
      <c r="FY339" s="33"/>
      <c r="FZ339" s="33"/>
      <c r="GA339" s="33"/>
      <c r="GB339" s="33"/>
      <c r="GC339" s="33"/>
      <c r="GD339" s="33"/>
      <c r="GE339" s="33"/>
      <c r="GF339" s="33"/>
      <c r="GG339" s="33"/>
      <c r="GH339" s="33"/>
      <c r="GI339" s="33"/>
      <c r="GJ339" s="33"/>
      <c r="GK339" s="33"/>
      <c r="GL339" s="33"/>
      <c r="GM339" s="33"/>
      <c r="GN339" s="33"/>
      <c r="GO339" s="33"/>
      <c r="GP339" s="33"/>
      <c r="GQ339" s="33"/>
      <c r="GR339" s="33"/>
      <c r="GS339" s="33"/>
      <c r="GT339" s="33"/>
      <c r="GU339" s="33"/>
      <c r="GV339" s="33"/>
      <c r="GW339" s="33"/>
      <c r="GX339" s="33"/>
      <c r="GY339" s="33"/>
      <c r="GZ339" s="33"/>
      <c r="HA339" s="33"/>
      <c r="HB339" s="33"/>
      <c r="HC339" s="33"/>
      <c r="HD339" s="33"/>
      <c r="HE339" s="33"/>
      <c r="HF339" s="33"/>
      <c r="HG339" s="33"/>
      <c r="HH339" s="33"/>
      <c r="HI339" s="33"/>
      <c r="HJ339" s="33"/>
      <c r="HK339" s="33"/>
      <c r="HL339" s="33"/>
      <c r="HM339" s="33"/>
      <c r="HN339" s="33"/>
      <c r="HO339" s="33"/>
      <c r="HP339" s="33"/>
      <c r="HQ339" s="33"/>
      <c r="HR339" s="33"/>
      <c r="HS339" s="33"/>
      <c r="HT339" s="33"/>
      <c r="HU339" s="33"/>
      <c r="HV339" s="33"/>
      <c r="HW339" s="33"/>
      <c r="HX339" s="33"/>
      <c r="HY339" s="33"/>
      <c r="HZ339" s="33"/>
      <c r="IA339" s="33"/>
      <c r="IB339" s="33"/>
      <c r="IC339" s="33"/>
      <c r="ID339" s="33"/>
      <c r="IE339" s="33"/>
      <c r="IF339" s="33"/>
      <c r="IG339" s="33"/>
      <c r="IH339" s="33"/>
      <c r="II339" s="33"/>
      <c r="IJ339" s="33"/>
      <c r="IK339" s="33"/>
      <c r="IL339" s="33"/>
      <c r="IM339" s="33"/>
      <c r="IN339" s="33"/>
      <c r="IO339" s="33"/>
      <c r="IP339" s="33"/>
      <c r="IQ339" s="33"/>
      <c r="IR339" s="33"/>
      <c r="IS339" s="33"/>
      <c r="IT339" s="33"/>
      <c r="IU339" s="33"/>
      <c r="IV339" s="33"/>
      <c r="IW339" s="33"/>
      <c r="IX339" s="33"/>
      <c r="IY339" s="33"/>
      <c r="IZ339" s="33"/>
      <c r="JA339" s="33"/>
      <c r="JB339" s="33"/>
      <c r="JC339" s="33"/>
      <c r="JD339" s="33"/>
      <c r="JE339" s="33"/>
      <c r="JF339" s="33"/>
      <c r="JG339" s="33"/>
      <c r="JH339" s="33"/>
      <c r="JI339" s="33"/>
      <c r="JJ339" s="33"/>
      <c r="JK339" s="33"/>
      <c r="JL339" s="33"/>
      <c r="JM339" s="33"/>
      <c r="JN339" s="33"/>
      <c r="JO339" s="33"/>
      <c r="JP339" s="33"/>
      <c r="JQ339" s="33"/>
      <c r="JR339" s="33"/>
      <c r="JS339" s="33"/>
      <c r="JT339" s="33"/>
      <c r="JU339" s="33"/>
      <c r="JV339" s="33"/>
      <c r="JW339" s="33"/>
      <c r="JX339" s="33"/>
      <c r="JY339" s="33"/>
      <c r="JZ339" s="33"/>
      <c r="KA339" s="33"/>
      <c r="KB339" s="33"/>
      <c r="KC339" s="33"/>
      <c r="KD339" s="33"/>
      <c r="KE339" s="33"/>
      <c r="KF339" s="33"/>
      <c r="KG339" s="33"/>
      <c r="KH339" s="33"/>
      <c r="KI339" s="33"/>
      <c r="KJ339" s="33"/>
      <c r="KK339" s="33"/>
      <c r="KL339" s="33"/>
      <c r="KM339" s="33"/>
      <c r="KN339" s="33"/>
      <c r="KO339" s="33"/>
      <c r="KP339" s="33"/>
      <c r="KQ339" s="33"/>
      <c r="KR339" s="33"/>
      <c r="KS339" s="33"/>
      <c r="KT339" s="33"/>
      <c r="KU339" s="33"/>
      <c r="KV339" s="33"/>
      <c r="KW339" s="33"/>
      <c r="KX339" s="33"/>
      <c r="KY339" s="33"/>
      <c r="KZ339" s="33"/>
      <c r="LA339" s="33"/>
      <c r="LB339" s="33"/>
      <c r="LC339" s="33"/>
      <c r="LD339" s="33"/>
      <c r="LE339" s="33"/>
      <c r="LF339" s="33"/>
      <c r="LG339" s="33"/>
      <c r="LH339" s="33"/>
      <c r="LI339" s="33"/>
      <c r="LJ339" s="33"/>
      <c r="LK339" s="33"/>
      <c r="LL339" s="33"/>
      <c r="LM339" s="33"/>
      <c r="LN339" s="33"/>
      <c r="LO339" s="33"/>
      <c r="LP339" s="33"/>
      <c r="LQ339" s="33"/>
      <c r="LR339" s="33"/>
      <c r="LS339" s="33"/>
      <c r="LT339" s="33"/>
      <c r="LU339" s="33"/>
      <c r="LV339" s="33"/>
      <c r="LW339" s="33"/>
      <c r="LX339" s="33"/>
      <c r="LY339" s="33"/>
      <c r="LZ339" s="33"/>
      <c r="MA339" s="33"/>
      <c r="MB339" s="33"/>
      <c r="MC339" s="33"/>
      <c r="MD339" s="33"/>
      <c r="ME339" s="33"/>
      <c r="MF339" s="33"/>
      <c r="MG339" s="33"/>
      <c r="MH339" s="33"/>
      <c r="MI339" s="33"/>
      <c r="MJ339" s="33"/>
      <c r="MK339" s="33"/>
      <c r="ML339" s="33"/>
      <c r="MM339" s="33"/>
      <c r="MN339" s="33"/>
      <c r="MO339" s="33"/>
      <c r="MP339" s="33"/>
      <c r="MQ339" s="33"/>
      <c r="MR339" s="33"/>
      <c r="MS339" s="33"/>
      <c r="MT339" s="33"/>
      <c r="MU339" s="33"/>
      <c r="MV339" s="33"/>
      <c r="MW339" s="33"/>
      <c r="MX339" s="33"/>
      <c r="MY339" s="33"/>
      <c r="MZ339" s="33"/>
      <c r="NA339" s="33"/>
      <c r="NB339" s="33"/>
      <c r="NC339" s="33"/>
      <c r="ND339" s="33"/>
      <c r="NE339" s="33"/>
      <c r="NF339" s="33"/>
      <c r="NG339" s="33"/>
      <c r="NH339" s="33"/>
      <c r="NI339" s="33"/>
      <c r="NJ339" s="33"/>
      <c r="NK339" s="33"/>
      <c r="NL339" s="33"/>
      <c r="NM339" s="33"/>
      <c r="NN339" s="33"/>
      <c r="NO339" s="33"/>
      <c r="NP339" s="33"/>
      <c r="NQ339" s="33"/>
      <c r="NR339" s="33"/>
      <c r="NS339" s="33"/>
      <c r="NT339" s="33"/>
      <c r="NU339" s="33"/>
      <c r="NV339" s="33"/>
      <c r="NW339" s="33"/>
      <c r="NX339" s="33"/>
      <c r="NY339" s="33"/>
      <c r="NZ339" s="33"/>
      <c r="OA339" s="33"/>
      <c r="OB339" s="33"/>
      <c r="OC339" s="33"/>
      <c r="OD339" s="33"/>
      <c r="OE339" s="33"/>
      <c r="OF339" s="33"/>
      <c r="OG339" s="33"/>
      <c r="OH339" s="33"/>
      <c r="OI339" s="33"/>
      <c r="OJ339" s="33"/>
      <c r="OK339" s="33"/>
      <c r="OL339" s="33"/>
      <c r="OM339" s="33"/>
      <c r="ON339" s="33"/>
      <c r="OO339" s="33"/>
      <c r="OP339" s="33"/>
      <c r="OQ339" s="33"/>
      <c r="OR339" s="33"/>
      <c r="OS339" s="33"/>
      <c r="OT339" s="33"/>
      <c r="OU339" s="33"/>
      <c r="OV339" s="33"/>
      <c r="OW339" s="33"/>
      <c r="OX339" s="33"/>
      <c r="OY339" s="33"/>
      <c r="OZ339" s="33"/>
      <c r="PA339" s="33"/>
      <c r="PB339" s="33"/>
      <c r="PC339" s="33"/>
      <c r="PD339" s="33"/>
      <c r="PE339" s="33"/>
      <c r="PF339" s="33"/>
      <c r="PG339" s="33"/>
      <c r="PH339" s="33"/>
      <c r="PI339" s="33"/>
      <c r="PJ339" s="33"/>
      <c r="PK339" s="33"/>
      <c r="PL339" s="33"/>
      <c r="PM339" s="33"/>
      <c r="PN339" s="33"/>
      <c r="PO339" s="33"/>
      <c r="PP339" s="33"/>
      <c r="PQ339" s="33"/>
      <c r="PR339" s="33"/>
      <c r="PS339" s="33"/>
      <c r="PT339" s="33"/>
      <c r="PU339" s="33"/>
      <c r="PV339" s="33"/>
      <c r="PW339" s="33"/>
      <c r="PX339" s="33"/>
      <c r="PY339" s="33"/>
      <c r="PZ339" s="33"/>
      <c r="QA339" s="33"/>
      <c r="QB339" s="33"/>
      <c r="QC339" s="33"/>
      <c r="QD339" s="33"/>
      <c r="QE339" s="33"/>
      <c r="QF339" s="33"/>
      <c r="QG339" s="33"/>
      <c r="QH339" s="33"/>
      <c r="QI339" s="33"/>
      <c r="QJ339" s="33"/>
      <c r="QK339" s="33"/>
      <c r="QL339" s="33"/>
      <c r="QM339" s="33"/>
      <c r="QN339" s="33"/>
      <c r="QO339" s="33"/>
      <c r="QP339" s="33"/>
      <c r="QQ339" s="33"/>
      <c r="QR339" s="33"/>
      <c r="QS339" s="33"/>
      <c r="QT339" s="33"/>
      <c r="QU339" s="33"/>
      <c r="QV339" s="33"/>
      <c r="QW339" s="33"/>
      <c r="QX339" s="33"/>
      <c r="QY339" s="33"/>
      <c r="QZ339" s="33"/>
      <c r="RA339" s="33"/>
      <c r="RB339" s="33"/>
      <c r="RC339" s="33"/>
      <c r="RD339" s="33"/>
      <c r="RE339" s="33"/>
      <c r="RF339" s="33"/>
      <c r="RG339" s="33"/>
      <c r="RH339" s="33"/>
      <c r="RI339" s="33"/>
      <c r="RJ339" s="33"/>
      <c r="RK339" s="33"/>
      <c r="RL339" s="33"/>
      <c r="RM339" s="33"/>
      <c r="RN339" s="33"/>
      <c r="RO339" s="33"/>
      <c r="RP339" s="33"/>
      <c r="RQ339" s="33"/>
      <c r="RR339" s="33"/>
      <c r="RS339" s="33"/>
      <c r="RT339" s="33"/>
      <c r="RU339" s="33"/>
      <c r="RV339" s="33"/>
      <c r="RW339" s="33"/>
      <c r="RX339" s="33"/>
      <c r="RY339" s="33"/>
      <c r="RZ339" s="33"/>
      <c r="SA339" s="33"/>
      <c r="SB339" s="33"/>
      <c r="SC339" s="33"/>
      <c r="SD339" s="33"/>
      <c r="SE339" s="33"/>
      <c r="SF339" s="33"/>
      <c r="SG339" s="33"/>
      <c r="SH339" s="33"/>
      <c r="SI339" s="33"/>
      <c r="SJ339" s="33"/>
      <c r="SK339" s="33"/>
      <c r="SL339" s="33"/>
      <c r="SM339" s="33"/>
      <c r="SN339" s="33"/>
      <c r="SO339" s="33"/>
      <c r="SP339" s="33"/>
      <c r="SQ339" s="33"/>
      <c r="SR339" s="33"/>
      <c r="SS339" s="33"/>
      <c r="ST339" s="33"/>
      <c r="SU339" s="33"/>
      <c r="SV339" s="33"/>
      <c r="SW339" s="33"/>
      <c r="SX339" s="33"/>
      <c r="SY339" s="33"/>
      <c r="SZ339" s="33"/>
      <c r="TA339" s="33"/>
      <c r="TB339" s="33"/>
      <c r="TC339" s="33"/>
      <c r="TD339" s="33"/>
      <c r="TE339" s="33"/>
    </row>
    <row r="340" spans="1:525" s="34" customFormat="1" ht="33.75" customHeight="1" x14ac:dyDescent="0.25">
      <c r="A340" s="101"/>
      <c r="B340" s="95"/>
      <c r="C340" s="87"/>
      <c r="D340" s="70" t="s">
        <v>396</v>
      </c>
      <c r="E340" s="134">
        <f>E14+E67+E68+E69+E70+E169</f>
        <v>11766430.039999999</v>
      </c>
      <c r="F340" s="134">
        <f t="shared" ref="F340:P340" si="199">F14+F67+F68+F69+F70+F169</f>
        <v>11766430.039999999</v>
      </c>
      <c r="G340" s="134">
        <f t="shared" si="199"/>
        <v>3343728</v>
      </c>
      <c r="H340" s="134">
        <f t="shared" si="199"/>
        <v>0</v>
      </c>
      <c r="I340" s="134">
        <f t="shared" si="199"/>
        <v>0</v>
      </c>
      <c r="J340" s="134">
        <f t="shared" si="199"/>
        <v>0</v>
      </c>
      <c r="K340" s="134">
        <f t="shared" si="199"/>
        <v>0</v>
      </c>
      <c r="L340" s="134">
        <f t="shared" si="199"/>
        <v>0</v>
      </c>
      <c r="M340" s="134">
        <f t="shared" si="199"/>
        <v>0</v>
      </c>
      <c r="N340" s="134">
        <f t="shared" si="199"/>
        <v>0</v>
      </c>
      <c r="O340" s="134">
        <f t="shared" si="199"/>
        <v>0</v>
      </c>
      <c r="P340" s="134">
        <f t="shared" si="199"/>
        <v>11766430.039999999</v>
      </c>
      <c r="Q340" s="179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CW340" s="33"/>
      <c r="CX340" s="33"/>
      <c r="CY340" s="33"/>
      <c r="CZ340" s="33"/>
      <c r="DA340" s="33"/>
      <c r="DB340" s="33"/>
      <c r="DC340" s="33"/>
      <c r="DD340" s="33"/>
      <c r="DE340" s="33"/>
      <c r="DF340" s="33"/>
      <c r="DG340" s="33"/>
      <c r="DH340" s="33"/>
      <c r="DI340" s="33"/>
      <c r="DJ340" s="33"/>
      <c r="DK340" s="33"/>
      <c r="DL340" s="33"/>
      <c r="DM340" s="33"/>
      <c r="DN340" s="33"/>
      <c r="DO340" s="33"/>
      <c r="DP340" s="33"/>
      <c r="DQ340" s="33"/>
      <c r="DR340" s="33"/>
      <c r="DS340" s="33"/>
      <c r="DT340" s="33"/>
      <c r="DU340" s="33"/>
      <c r="DV340" s="33"/>
      <c r="DW340" s="33"/>
      <c r="DX340" s="33"/>
      <c r="DY340" s="33"/>
      <c r="DZ340" s="33"/>
      <c r="EA340" s="33"/>
      <c r="EB340" s="33"/>
      <c r="EC340" s="33"/>
      <c r="ED340" s="33"/>
      <c r="EE340" s="33"/>
      <c r="EF340" s="33"/>
      <c r="EG340" s="33"/>
      <c r="EH340" s="33"/>
      <c r="EI340" s="33"/>
      <c r="EJ340" s="33"/>
      <c r="EK340" s="33"/>
      <c r="EL340" s="33"/>
      <c r="EM340" s="33"/>
      <c r="EN340" s="33"/>
      <c r="EO340" s="33"/>
      <c r="EP340" s="33"/>
      <c r="EQ340" s="33"/>
      <c r="ER340" s="33"/>
      <c r="ES340" s="33"/>
      <c r="ET340" s="33"/>
      <c r="EU340" s="33"/>
      <c r="EV340" s="33"/>
      <c r="EW340" s="33"/>
      <c r="EX340" s="33"/>
      <c r="EY340" s="33"/>
      <c r="EZ340" s="33"/>
      <c r="FA340" s="33"/>
      <c r="FB340" s="33"/>
      <c r="FC340" s="33"/>
      <c r="FD340" s="33"/>
      <c r="FE340" s="33"/>
      <c r="FF340" s="33"/>
      <c r="FG340" s="33"/>
      <c r="FH340" s="33"/>
      <c r="FI340" s="33"/>
      <c r="FJ340" s="33"/>
      <c r="FK340" s="33"/>
      <c r="FL340" s="33"/>
      <c r="FM340" s="33"/>
      <c r="FN340" s="33"/>
      <c r="FO340" s="33"/>
      <c r="FP340" s="33"/>
      <c r="FQ340" s="33"/>
      <c r="FR340" s="33"/>
      <c r="FS340" s="33"/>
      <c r="FT340" s="33"/>
      <c r="FU340" s="33"/>
      <c r="FV340" s="33"/>
      <c r="FW340" s="33"/>
      <c r="FX340" s="33"/>
      <c r="FY340" s="33"/>
      <c r="FZ340" s="33"/>
      <c r="GA340" s="33"/>
      <c r="GB340" s="33"/>
      <c r="GC340" s="33"/>
      <c r="GD340" s="33"/>
      <c r="GE340" s="33"/>
      <c r="GF340" s="33"/>
      <c r="GG340" s="33"/>
      <c r="GH340" s="33"/>
      <c r="GI340" s="33"/>
      <c r="GJ340" s="33"/>
      <c r="GK340" s="33"/>
      <c r="GL340" s="33"/>
      <c r="GM340" s="33"/>
      <c r="GN340" s="33"/>
      <c r="GO340" s="33"/>
      <c r="GP340" s="33"/>
      <c r="GQ340" s="33"/>
      <c r="GR340" s="33"/>
      <c r="GS340" s="33"/>
      <c r="GT340" s="33"/>
      <c r="GU340" s="33"/>
      <c r="GV340" s="33"/>
      <c r="GW340" s="33"/>
      <c r="GX340" s="33"/>
      <c r="GY340" s="33"/>
      <c r="GZ340" s="33"/>
      <c r="HA340" s="33"/>
      <c r="HB340" s="33"/>
      <c r="HC340" s="33"/>
      <c r="HD340" s="33"/>
      <c r="HE340" s="33"/>
      <c r="HF340" s="33"/>
      <c r="HG340" s="33"/>
      <c r="HH340" s="33"/>
      <c r="HI340" s="33"/>
      <c r="HJ340" s="33"/>
      <c r="HK340" s="33"/>
      <c r="HL340" s="33"/>
      <c r="HM340" s="33"/>
      <c r="HN340" s="33"/>
      <c r="HO340" s="33"/>
      <c r="HP340" s="33"/>
      <c r="HQ340" s="33"/>
      <c r="HR340" s="33"/>
      <c r="HS340" s="33"/>
      <c r="HT340" s="33"/>
      <c r="HU340" s="33"/>
      <c r="HV340" s="33"/>
      <c r="HW340" s="33"/>
      <c r="HX340" s="33"/>
      <c r="HY340" s="33"/>
      <c r="HZ340" s="33"/>
      <c r="IA340" s="33"/>
      <c r="IB340" s="33"/>
      <c r="IC340" s="33"/>
      <c r="ID340" s="33"/>
      <c r="IE340" s="33"/>
      <c r="IF340" s="33"/>
      <c r="IG340" s="33"/>
      <c r="IH340" s="33"/>
      <c r="II340" s="33"/>
      <c r="IJ340" s="33"/>
      <c r="IK340" s="33"/>
      <c r="IL340" s="33"/>
      <c r="IM340" s="33"/>
      <c r="IN340" s="33"/>
      <c r="IO340" s="33"/>
      <c r="IP340" s="33"/>
      <c r="IQ340" s="33"/>
      <c r="IR340" s="33"/>
      <c r="IS340" s="33"/>
      <c r="IT340" s="33"/>
      <c r="IU340" s="33"/>
      <c r="IV340" s="33"/>
      <c r="IW340" s="33"/>
      <c r="IX340" s="33"/>
      <c r="IY340" s="33"/>
      <c r="IZ340" s="33"/>
      <c r="JA340" s="33"/>
      <c r="JB340" s="33"/>
      <c r="JC340" s="33"/>
      <c r="JD340" s="33"/>
      <c r="JE340" s="33"/>
      <c r="JF340" s="33"/>
      <c r="JG340" s="33"/>
      <c r="JH340" s="33"/>
      <c r="JI340" s="33"/>
      <c r="JJ340" s="33"/>
      <c r="JK340" s="33"/>
      <c r="JL340" s="33"/>
      <c r="JM340" s="33"/>
      <c r="JN340" s="33"/>
      <c r="JO340" s="33"/>
      <c r="JP340" s="33"/>
      <c r="JQ340" s="33"/>
      <c r="JR340" s="33"/>
      <c r="JS340" s="33"/>
      <c r="JT340" s="33"/>
      <c r="JU340" s="33"/>
      <c r="JV340" s="33"/>
      <c r="JW340" s="33"/>
      <c r="JX340" s="33"/>
      <c r="JY340" s="33"/>
      <c r="JZ340" s="33"/>
      <c r="KA340" s="33"/>
      <c r="KB340" s="33"/>
      <c r="KC340" s="33"/>
      <c r="KD340" s="33"/>
      <c r="KE340" s="33"/>
      <c r="KF340" s="33"/>
      <c r="KG340" s="33"/>
      <c r="KH340" s="33"/>
      <c r="KI340" s="33"/>
      <c r="KJ340" s="33"/>
      <c r="KK340" s="33"/>
      <c r="KL340" s="33"/>
      <c r="KM340" s="33"/>
      <c r="KN340" s="33"/>
      <c r="KO340" s="33"/>
      <c r="KP340" s="33"/>
      <c r="KQ340" s="33"/>
      <c r="KR340" s="33"/>
      <c r="KS340" s="33"/>
      <c r="KT340" s="33"/>
      <c r="KU340" s="33"/>
      <c r="KV340" s="33"/>
      <c r="KW340" s="33"/>
      <c r="KX340" s="33"/>
      <c r="KY340" s="33"/>
      <c r="KZ340" s="33"/>
      <c r="LA340" s="33"/>
      <c r="LB340" s="33"/>
      <c r="LC340" s="33"/>
      <c r="LD340" s="33"/>
      <c r="LE340" s="33"/>
      <c r="LF340" s="33"/>
      <c r="LG340" s="33"/>
      <c r="LH340" s="33"/>
      <c r="LI340" s="33"/>
      <c r="LJ340" s="33"/>
      <c r="LK340" s="33"/>
      <c r="LL340" s="33"/>
      <c r="LM340" s="33"/>
      <c r="LN340" s="33"/>
      <c r="LO340" s="33"/>
      <c r="LP340" s="33"/>
      <c r="LQ340" s="33"/>
      <c r="LR340" s="33"/>
      <c r="LS340" s="33"/>
      <c r="LT340" s="33"/>
      <c r="LU340" s="33"/>
      <c r="LV340" s="33"/>
      <c r="LW340" s="33"/>
      <c r="LX340" s="33"/>
      <c r="LY340" s="33"/>
      <c r="LZ340" s="33"/>
      <c r="MA340" s="33"/>
      <c r="MB340" s="33"/>
      <c r="MC340" s="33"/>
      <c r="MD340" s="33"/>
      <c r="ME340" s="33"/>
      <c r="MF340" s="33"/>
      <c r="MG340" s="33"/>
      <c r="MH340" s="33"/>
      <c r="MI340" s="33"/>
      <c r="MJ340" s="33"/>
      <c r="MK340" s="33"/>
      <c r="ML340" s="33"/>
      <c r="MM340" s="33"/>
      <c r="MN340" s="33"/>
      <c r="MO340" s="33"/>
      <c r="MP340" s="33"/>
      <c r="MQ340" s="33"/>
      <c r="MR340" s="33"/>
      <c r="MS340" s="33"/>
      <c r="MT340" s="33"/>
      <c r="MU340" s="33"/>
      <c r="MV340" s="33"/>
      <c r="MW340" s="33"/>
      <c r="MX340" s="33"/>
      <c r="MY340" s="33"/>
      <c r="MZ340" s="33"/>
      <c r="NA340" s="33"/>
      <c r="NB340" s="33"/>
      <c r="NC340" s="33"/>
      <c r="ND340" s="33"/>
      <c r="NE340" s="33"/>
      <c r="NF340" s="33"/>
      <c r="NG340" s="33"/>
      <c r="NH340" s="33"/>
      <c r="NI340" s="33"/>
      <c r="NJ340" s="33"/>
      <c r="NK340" s="33"/>
      <c r="NL340" s="33"/>
      <c r="NM340" s="33"/>
      <c r="NN340" s="33"/>
      <c r="NO340" s="33"/>
      <c r="NP340" s="33"/>
      <c r="NQ340" s="33"/>
      <c r="NR340" s="33"/>
      <c r="NS340" s="33"/>
      <c r="NT340" s="33"/>
      <c r="NU340" s="33"/>
      <c r="NV340" s="33"/>
      <c r="NW340" s="33"/>
      <c r="NX340" s="33"/>
      <c r="NY340" s="33"/>
      <c r="NZ340" s="33"/>
      <c r="OA340" s="33"/>
      <c r="OB340" s="33"/>
      <c r="OC340" s="33"/>
      <c r="OD340" s="33"/>
      <c r="OE340" s="33"/>
      <c r="OF340" s="33"/>
      <c r="OG340" s="33"/>
      <c r="OH340" s="33"/>
      <c r="OI340" s="33"/>
      <c r="OJ340" s="33"/>
      <c r="OK340" s="33"/>
      <c r="OL340" s="33"/>
      <c r="OM340" s="33"/>
      <c r="ON340" s="33"/>
      <c r="OO340" s="33"/>
      <c r="OP340" s="33"/>
      <c r="OQ340" s="33"/>
      <c r="OR340" s="33"/>
      <c r="OS340" s="33"/>
      <c r="OT340" s="33"/>
      <c r="OU340" s="33"/>
      <c r="OV340" s="33"/>
      <c r="OW340" s="33"/>
      <c r="OX340" s="33"/>
      <c r="OY340" s="33"/>
      <c r="OZ340" s="33"/>
      <c r="PA340" s="33"/>
      <c r="PB340" s="33"/>
      <c r="PC340" s="33"/>
      <c r="PD340" s="33"/>
      <c r="PE340" s="33"/>
      <c r="PF340" s="33"/>
      <c r="PG340" s="33"/>
      <c r="PH340" s="33"/>
      <c r="PI340" s="33"/>
      <c r="PJ340" s="33"/>
      <c r="PK340" s="33"/>
      <c r="PL340" s="33"/>
      <c r="PM340" s="33"/>
      <c r="PN340" s="33"/>
      <c r="PO340" s="33"/>
      <c r="PP340" s="33"/>
      <c r="PQ340" s="33"/>
      <c r="PR340" s="33"/>
      <c r="PS340" s="33"/>
      <c r="PT340" s="33"/>
      <c r="PU340" s="33"/>
      <c r="PV340" s="33"/>
      <c r="PW340" s="33"/>
      <c r="PX340" s="33"/>
      <c r="PY340" s="33"/>
      <c r="PZ340" s="33"/>
      <c r="QA340" s="33"/>
      <c r="QB340" s="33"/>
      <c r="QC340" s="33"/>
      <c r="QD340" s="33"/>
      <c r="QE340" s="33"/>
      <c r="QF340" s="33"/>
      <c r="QG340" s="33"/>
      <c r="QH340" s="33"/>
      <c r="QI340" s="33"/>
      <c r="QJ340" s="33"/>
      <c r="QK340" s="33"/>
      <c r="QL340" s="33"/>
      <c r="QM340" s="33"/>
      <c r="QN340" s="33"/>
      <c r="QO340" s="33"/>
      <c r="QP340" s="33"/>
      <c r="QQ340" s="33"/>
      <c r="QR340" s="33"/>
      <c r="QS340" s="33"/>
      <c r="QT340" s="33"/>
      <c r="QU340" s="33"/>
      <c r="QV340" s="33"/>
      <c r="QW340" s="33"/>
      <c r="QX340" s="33"/>
      <c r="QY340" s="33"/>
      <c r="QZ340" s="33"/>
      <c r="RA340" s="33"/>
      <c r="RB340" s="33"/>
      <c r="RC340" s="33"/>
      <c r="RD340" s="33"/>
      <c r="RE340" s="33"/>
      <c r="RF340" s="33"/>
      <c r="RG340" s="33"/>
      <c r="RH340" s="33"/>
      <c r="RI340" s="33"/>
      <c r="RJ340" s="33"/>
      <c r="RK340" s="33"/>
      <c r="RL340" s="33"/>
      <c r="RM340" s="33"/>
      <c r="RN340" s="33"/>
      <c r="RO340" s="33"/>
      <c r="RP340" s="33"/>
      <c r="RQ340" s="33"/>
      <c r="RR340" s="33"/>
      <c r="RS340" s="33"/>
      <c r="RT340" s="33"/>
      <c r="RU340" s="33"/>
      <c r="RV340" s="33"/>
      <c r="RW340" s="33"/>
      <c r="RX340" s="33"/>
      <c r="RY340" s="33"/>
      <c r="RZ340" s="33"/>
      <c r="SA340" s="33"/>
      <c r="SB340" s="33"/>
      <c r="SC340" s="33"/>
      <c r="SD340" s="33"/>
      <c r="SE340" s="33"/>
      <c r="SF340" s="33"/>
      <c r="SG340" s="33"/>
      <c r="SH340" s="33"/>
      <c r="SI340" s="33"/>
      <c r="SJ340" s="33"/>
      <c r="SK340" s="33"/>
      <c r="SL340" s="33"/>
      <c r="SM340" s="33"/>
      <c r="SN340" s="33"/>
      <c r="SO340" s="33"/>
      <c r="SP340" s="33"/>
      <c r="SQ340" s="33"/>
      <c r="SR340" s="33"/>
      <c r="SS340" s="33"/>
      <c r="ST340" s="33"/>
      <c r="SU340" s="33"/>
      <c r="SV340" s="33"/>
      <c r="SW340" s="33"/>
      <c r="SX340" s="33"/>
      <c r="SY340" s="33"/>
      <c r="SZ340" s="33"/>
      <c r="TA340" s="33"/>
      <c r="TB340" s="33"/>
      <c r="TC340" s="33"/>
      <c r="TD340" s="33"/>
      <c r="TE340" s="33"/>
    </row>
    <row r="341" spans="1:525" s="34" customFormat="1" ht="26.25" customHeight="1" x14ac:dyDescent="0.25">
      <c r="A341" s="86"/>
      <c r="B341" s="95"/>
      <c r="C341" s="95"/>
      <c r="D341" s="75" t="s">
        <v>413</v>
      </c>
      <c r="E341" s="134">
        <f t="shared" ref="E341" si="200">E137+E286+E237</f>
        <v>0</v>
      </c>
      <c r="F341" s="134">
        <f t="shared" ref="F341:P341" si="201">F137+F286+F237</f>
        <v>0</v>
      </c>
      <c r="G341" s="134">
        <f t="shared" si="201"/>
        <v>0</v>
      </c>
      <c r="H341" s="134">
        <f t="shared" si="201"/>
        <v>0</v>
      </c>
      <c r="I341" s="134">
        <f t="shared" si="201"/>
        <v>0</v>
      </c>
      <c r="J341" s="134">
        <f t="shared" si="201"/>
        <v>180458652</v>
      </c>
      <c r="K341" s="134">
        <f t="shared" si="201"/>
        <v>180458652</v>
      </c>
      <c r="L341" s="134">
        <f t="shared" si="201"/>
        <v>0</v>
      </c>
      <c r="M341" s="134">
        <f t="shared" si="201"/>
        <v>0</v>
      </c>
      <c r="N341" s="134">
        <f t="shared" si="201"/>
        <v>0</v>
      </c>
      <c r="O341" s="134">
        <f t="shared" si="201"/>
        <v>180458652</v>
      </c>
      <c r="P341" s="134">
        <f t="shared" si="201"/>
        <v>180458652</v>
      </c>
      <c r="Q341" s="179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CW341" s="33"/>
      <c r="CX341" s="33"/>
      <c r="CY341" s="33"/>
      <c r="CZ341" s="33"/>
      <c r="DA341" s="33"/>
      <c r="DB341" s="33"/>
      <c r="DC341" s="33"/>
      <c r="DD341" s="33"/>
      <c r="DE341" s="33"/>
      <c r="DF341" s="33"/>
      <c r="DG341" s="33"/>
      <c r="DH341" s="33"/>
      <c r="DI341" s="33"/>
      <c r="DJ341" s="33"/>
      <c r="DK341" s="33"/>
      <c r="DL341" s="33"/>
      <c r="DM341" s="33"/>
      <c r="DN341" s="33"/>
      <c r="DO341" s="33"/>
      <c r="DP341" s="33"/>
      <c r="DQ341" s="33"/>
      <c r="DR341" s="33"/>
      <c r="DS341" s="33"/>
      <c r="DT341" s="33"/>
      <c r="DU341" s="33"/>
      <c r="DV341" s="33"/>
      <c r="DW341" s="33"/>
      <c r="DX341" s="33"/>
      <c r="DY341" s="33"/>
      <c r="DZ341" s="33"/>
      <c r="EA341" s="33"/>
      <c r="EB341" s="33"/>
      <c r="EC341" s="33"/>
      <c r="ED341" s="33"/>
      <c r="EE341" s="33"/>
      <c r="EF341" s="33"/>
      <c r="EG341" s="33"/>
      <c r="EH341" s="33"/>
      <c r="EI341" s="33"/>
      <c r="EJ341" s="33"/>
      <c r="EK341" s="33"/>
      <c r="EL341" s="33"/>
      <c r="EM341" s="33"/>
      <c r="EN341" s="33"/>
      <c r="EO341" s="33"/>
      <c r="EP341" s="33"/>
      <c r="EQ341" s="33"/>
      <c r="ER341" s="33"/>
      <c r="ES341" s="33"/>
      <c r="ET341" s="33"/>
      <c r="EU341" s="33"/>
      <c r="EV341" s="33"/>
      <c r="EW341" s="33"/>
      <c r="EX341" s="33"/>
      <c r="EY341" s="33"/>
      <c r="EZ341" s="33"/>
      <c r="FA341" s="33"/>
      <c r="FB341" s="33"/>
      <c r="FC341" s="33"/>
      <c r="FD341" s="33"/>
      <c r="FE341" s="33"/>
      <c r="FF341" s="33"/>
      <c r="FG341" s="33"/>
      <c r="FH341" s="33"/>
      <c r="FI341" s="33"/>
      <c r="FJ341" s="33"/>
      <c r="FK341" s="33"/>
      <c r="FL341" s="33"/>
      <c r="FM341" s="33"/>
      <c r="FN341" s="33"/>
      <c r="FO341" s="33"/>
      <c r="FP341" s="33"/>
      <c r="FQ341" s="33"/>
      <c r="FR341" s="33"/>
      <c r="FS341" s="33"/>
      <c r="FT341" s="33"/>
      <c r="FU341" s="33"/>
      <c r="FV341" s="33"/>
      <c r="FW341" s="33"/>
      <c r="FX341" s="33"/>
      <c r="FY341" s="33"/>
      <c r="FZ341" s="33"/>
      <c r="GA341" s="33"/>
      <c r="GB341" s="33"/>
      <c r="GC341" s="33"/>
      <c r="GD341" s="33"/>
      <c r="GE341" s="33"/>
      <c r="GF341" s="33"/>
      <c r="GG341" s="33"/>
      <c r="GH341" s="33"/>
      <c r="GI341" s="33"/>
      <c r="GJ341" s="33"/>
      <c r="GK341" s="33"/>
      <c r="GL341" s="33"/>
      <c r="GM341" s="33"/>
      <c r="GN341" s="33"/>
      <c r="GO341" s="33"/>
      <c r="GP341" s="33"/>
      <c r="GQ341" s="33"/>
      <c r="GR341" s="33"/>
      <c r="GS341" s="33"/>
      <c r="GT341" s="33"/>
      <c r="GU341" s="33"/>
      <c r="GV341" s="33"/>
      <c r="GW341" s="33"/>
      <c r="GX341" s="33"/>
      <c r="GY341" s="33"/>
      <c r="GZ341" s="33"/>
      <c r="HA341" s="33"/>
      <c r="HB341" s="33"/>
      <c r="HC341" s="33"/>
      <c r="HD341" s="33"/>
      <c r="HE341" s="33"/>
      <c r="HF341" s="33"/>
      <c r="HG341" s="33"/>
      <c r="HH341" s="33"/>
      <c r="HI341" s="33"/>
      <c r="HJ341" s="33"/>
      <c r="HK341" s="33"/>
      <c r="HL341" s="33"/>
      <c r="HM341" s="33"/>
      <c r="HN341" s="33"/>
      <c r="HO341" s="33"/>
      <c r="HP341" s="33"/>
      <c r="HQ341" s="33"/>
      <c r="HR341" s="33"/>
      <c r="HS341" s="33"/>
      <c r="HT341" s="33"/>
      <c r="HU341" s="33"/>
      <c r="HV341" s="33"/>
      <c r="HW341" s="33"/>
      <c r="HX341" s="33"/>
      <c r="HY341" s="33"/>
      <c r="HZ341" s="33"/>
      <c r="IA341" s="33"/>
      <c r="IB341" s="33"/>
      <c r="IC341" s="33"/>
      <c r="ID341" s="33"/>
      <c r="IE341" s="33"/>
      <c r="IF341" s="33"/>
      <c r="IG341" s="33"/>
      <c r="IH341" s="33"/>
      <c r="II341" s="33"/>
      <c r="IJ341" s="33"/>
      <c r="IK341" s="33"/>
      <c r="IL341" s="33"/>
      <c r="IM341" s="33"/>
      <c r="IN341" s="33"/>
      <c r="IO341" s="33"/>
      <c r="IP341" s="33"/>
      <c r="IQ341" s="33"/>
      <c r="IR341" s="33"/>
      <c r="IS341" s="33"/>
      <c r="IT341" s="33"/>
      <c r="IU341" s="33"/>
      <c r="IV341" s="33"/>
      <c r="IW341" s="33"/>
      <c r="IX341" s="33"/>
      <c r="IY341" s="33"/>
      <c r="IZ341" s="33"/>
      <c r="JA341" s="33"/>
      <c r="JB341" s="33"/>
      <c r="JC341" s="33"/>
      <c r="JD341" s="33"/>
      <c r="JE341" s="33"/>
      <c r="JF341" s="33"/>
      <c r="JG341" s="33"/>
      <c r="JH341" s="33"/>
      <c r="JI341" s="33"/>
      <c r="JJ341" s="33"/>
      <c r="JK341" s="33"/>
      <c r="JL341" s="33"/>
      <c r="JM341" s="33"/>
      <c r="JN341" s="33"/>
      <c r="JO341" s="33"/>
      <c r="JP341" s="33"/>
      <c r="JQ341" s="33"/>
      <c r="JR341" s="33"/>
      <c r="JS341" s="33"/>
      <c r="JT341" s="33"/>
      <c r="JU341" s="33"/>
      <c r="JV341" s="33"/>
      <c r="JW341" s="33"/>
      <c r="JX341" s="33"/>
      <c r="JY341" s="33"/>
      <c r="JZ341" s="33"/>
      <c r="KA341" s="33"/>
      <c r="KB341" s="33"/>
      <c r="KC341" s="33"/>
      <c r="KD341" s="33"/>
      <c r="KE341" s="33"/>
      <c r="KF341" s="33"/>
      <c r="KG341" s="33"/>
      <c r="KH341" s="33"/>
      <c r="KI341" s="33"/>
      <c r="KJ341" s="33"/>
      <c r="KK341" s="33"/>
      <c r="KL341" s="33"/>
      <c r="KM341" s="33"/>
      <c r="KN341" s="33"/>
      <c r="KO341" s="33"/>
      <c r="KP341" s="33"/>
      <c r="KQ341" s="33"/>
      <c r="KR341" s="33"/>
      <c r="KS341" s="33"/>
      <c r="KT341" s="33"/>
      <c r="KU341" s="33"/>
      <c r="KV341" s="33"/>
      <c r="KW341" s="33"/>
      <c r="KX341" s="33"/>
      <c r="KY341" s="33"/>
      <c r="KZ341" s="33"/>
      <c r="LA341" s="33"/>
      <c r="LB341" s="33"/>
      <c r="LC341" s="33"/>
      <c r="LD341" s="33"/>
      <c r="LE341" s="33"/>
      <c r="LF341" s="33"/>
      <c r="LG341" s="33"/>
      <c r="LH341" s="33"/>
      <c r="LI341" s="33"/>
      <c r="LJ341" s="33"/>
      <c r="LK341" s="33"/>
      <c r="LL341" s="33"/>
      <c r="LM341" s="33"/>
      <c r="LN341" s="33"/>
      <c r="LO341" s="33"/>
      <c r="LP341" s="33"/>
      <c r="LQ341" s="33"/>
      <c r="LR341" s="33"/>
      <c r="LS341" s="33"/>
      <c r="LT341" s="33"/>
      <c r="LU341" s="33"/>
      <c r="LV341" s="33"/>
      <c r="LW341" s="33"/>
      <c r="LX341" s="33"/>
      <c r="LY341" s="33"/>
      <c r="LZ341" s="33"/>
      <c r="MA341" s="33"/>
      <c r="MB341" s="33"/>
      <c r="MC341" s="33"/>
      <c r="MD341" s="33"/>
      <c r="ME341" s="33"/>
      <c r="MF341" s="33"/>
      <c r="MG341" s="33"/>
      <c r="MH341" s="33"/>
      <c r="MI341" s="33"/>
      <c r="MJ341" s="33"/>
      <c r="MK341" s="33"/>
      <c r="ML341" s="33"/>
      <c r="MM341" s="33"/>
      <c r="MN341" s="33"/>
      <c r="MO341" s="33"/>
      <c r="MP341" s="33"/>
      <c r="MQ341" s="33"/>
      <c r="MR341" s="33"/>
      <c r="MS341" s="33"/>
      <c r="MT341" s="33"/>
      <c r="MU341" s="33"/>
      <c r="MV341" s="33"/>
      <c r="MW341" s="33"/>
      <c r="MX341" s="33"/>
      <c r="MY341" s="33"/>
      <c r="MZ341" s="33"/>
      <c r="NA341" s="33"/>
      <c r="NB341" s="33"/>
      <c r="NC341" s="33"/>
      <c r="ND341" s="33"/>
      <c r="NE341" s="33"/>
      <c r="NF341" s="33"/>
      <c r="NG341" s="33"/>
      <c r="NH341" s="33"/>
      <c r="NI341" s="33"/>
      <c r="NJ341" s="33"/>
      <c r="NK341" s="33"/>
      <c r="NL341" s="33"/>
      <c r="NM341" s="33"/>
      <c r="NN341" s="33"/>
      <c r="NO341" s="33"/>
      <c r="NP341" s="33"/>
      <c r="NQ341" s="33"/>
      <c r="NR341" s="33"/>
      <c r="NS341" s="33"/>
      <c r="NT341" s="33"/>
      <c r="NU341" s="33"/>
      <c r="NV341" s="33"/>
      <c r="NW341" s="33"/>
      <c r="NX341" s="33"/>
      <c r="NY341" s="33"/>
      <c r="NZ341" s="33"/>
      <c r="OA341" s="33"/>
      <c r="OB341" s="33"/>
      <c r="OC341" s="33"/>
      <c r="OD341" s="33"/>
      <c r="OE341" s="33"/>
      <c r="OF341" s="33"/>
      <c r="OG341" s="33"/>
      <c r="OH341" s="33"/>
      <c r="OI341" s="33"/>
      <c r="OJ341" s="33"/>
      <c r="OK341" s="33"/>
      <c r="OL341" s="33"/>
      <c r="OM341" s="33"/>
      <c r="ON341" s="33"/>
      <c r="OO341" s="33"/>
      <c r="OP341" s="33"/>
      <c r="OQ341" s="33"/>
      <c r="OR341" s="33"/>
      <c r="OS341" s="33"/>
      <c r="OT341" s="33"/>
      <c r="OU341" s="33"/>
      <c r="OV341" s="33"/>
      <c r="OW341" s="33"/>
      <c r="OX341" s="33"/>
      <c r="OY341" s="33"/>
      <c r="OZ341" s="33"/>
      <c r="PA341" s="33"/>
      <c r="PB341" s="33"/>
      <c r="PC341" s="33"/>
      <c r="PD341" s="33"/>
      <c r="PE341" s="33"/>
      <c r="PF341" s="33"/>
      <c r="PG341" s="33"/>
      <c r="PH341" s="33"/>
      <c r="PI341" s="33"/>
      <c r="PJ341" s="33"/>
      <c r="PK341" s="33"/>
      <c r="PL341" s="33"/>
      <c r="PM341" s="33"/>
      <c r="PN341" s="33"/>
      <c r="PO341" s="33"/>
      <c r="PP341" s="33"/>
      <c r="PQ341" s="33"/>
      <c r="PR341" s="33"/>
      <c r="PS341" s="33"/>
      <c r="PT341" s="33"/>
      <c r="PU341" s="33"/>
      <c r="PV341" s="33"/>
      <c r="PW341" s="33"/>
      <c r="PX341" s="33"/>
      <c r="PY341" s="33"/>
      <c r="PZ341" s="33"/>
      <c r="QA341" s="33"/>
      <c r="QB341" s="33"/>
      <c r="QC341" s="33"/>
      <c r="QD341" s="33"/>
      <c r="QE341" s="33"/>
      <c r="QF341" s="33"/>
      <c r="QG341" s="33"/>
      <c r="QH341" s="33"/>
      <c r="QI341" s="33"/>
      <c r="QJ341" s="33"/>
      <c r="QK341" s="33"/>
      <c r="QL341" s="33"/>
      <c r="QM341" s="33"/>
      <c r="QN341" s="33"/>
      <c r="QO341" s="33"/>
      <c r="QP341" s="33"/>
      <c r="QQ341" s="33"/>
      <c r="QR341" s="33"/>
      <c r="QS341" s="33"/>
      <c r="QT341" s="33"/>
      <c r="QU341" s="33"/>
      <c r="QV341" s="33"/>
      <c r="QW341" s="33"/>
      <c r="QX341" s="33"/>
      <c r="QY341" s="33"/>
      <c r="QZ341" s="33"/>
      <c r="RA341" s="33"/>
      <c r="RB341" s="33"/>
      <c r="RC341" s="33"/>
      <c r="RD341" s="33"/>
      <c r="RE341" s="33"/>
      <c r="RF341" s="33"/>
      <c r="RG341" s="33"/>
      <c r="RH341" s="33"/>
      <c r="RI341" s="33"/>
      <c r="RJ341" s="33"/>
      <c r="RK341" s="33"/>
      <c r="RL341" s="33"/>
      <c r="RM341" s="33"/>
      <c r="RN341" s="33"/>
      <c r="RO341" s="33"/>
      <c r="RP341" s="33"/>
      <c r="RQ341" s="33"/>
      <c r="RR341" s="33"/>
      <c r="RS341" s="33"/>
      <c r="RT341" s="33"/>
      <c r="RU341" s="33"/>
      <c r="RV341" s="33"/>
      <c r="RW341" s="33"/>
      <c r="RX341" s="33"/>
      <c r="RY341" s="33"/>
      <c r="RZ341" s="33"/>
      <c r="SA341" s="33"/>
      <c r="SB341" s="33"/>
      <c r="SC341" s="33"/>
      <c r="SD341" s="33"/>
      <c r="SE341" s="33"/>
      <c r="SF341" s="33"/>
      <c r="SG341" s="33"/>
      <c r="SH341" s="33"/>
      <c r="SI341" s="33"/>
      <c r="SJ341" s="33"/>
      <c r="SK341" s="33"/>
      <c r="SL341" s="33"/>
      <c r="SM341" s="33"/>
      <c r="SN341" s="33"/>
      <c r="SO341" s="33"/>
      <c r="SP341" s="33"/>
      <c r="SQ341" s="33"/>
      <c r="SR341" s="33"/>
      <c r="SS341" s="33"/>
      <c r="ST341" s="33"/>
      <c r="SU341" s="33"/>
      <c r="SV341" s="33"/>
      <c r="SW341" s="33"/>
      <c r="SX341" s="33"/>
      <c r="SY341" s="33"/>
      <c r="SZ341" s="33"/>
      <c r="TA341" s="33"/>
      <c r="TB341" s="33"/>
      <c r="TC341" s="33"/>
      <c r="TD341" s="33"/>
      <c r="TE341" s="33"/>
    </row>
    <row r="342" spans="1:525" s="34" customFormat="1" ht="26.25" customHeight="1" x14ac:dyDescent="0.25">
      <c r="A342" s="167"/>
      <c r="B342" s="168"/>
      <c r="C342" s="168"/>
      <c r="D342" s="169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9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  <c r="DB342" s="33"/>
      <c r="DC342" s="33"/>
      <c r="DD342" s="33"/>
      <c r="DE342" s="33"/>
      <c r="DF342" s="33"/>
      <c r="DG342" s="33"/>
      <c r="DH342" s="33"/>
      <c r="DI342" s="33"/>
      <c r="DJ342" s="33"/>
      <c r="DK342" s="33"/>
      <c r="DL342" s="33"/>
      <c r="DM342" s="33"/>
      <c r="DN342" s="33"/>
      <c r="DO342" s="33"/>
      <c r="DP342" s="33"/>
      <c r="DQ342" s="33"/>
      <c r="DR342" s="33"/>
      <c r="DS342" s="33"/>
      <c r="DT342" s="33"/>
      <c r="DU342" s="33"/>
      <c r="DV342" s="33"/>
      <c r="DW342" s="33"/>
      <c r="DX342" s="33"/>
      <c r="DY342" s="33"/>
      <c r="DZ342" s="33"/>
      <c r="EA342" s="33"/>
      <c r="EB342" s="33"/>
      <c r="EC342" s="33"/>
      <c r="ED342" s="33"/>
      <c r="EE342" s="33"/>
      <c r="EF342" s="33"/>
      <c r="EG342" s="33"/>
      <c r="EH342" s="33"/>
      <c r="EI342" s="33"/>
      <c r="EJ342" s="33"/>
      <c r="EK342" s="33"/>
      <c r="EL342" s="33"/>
      <c r="EM342" s="33"/>
      <c r="EN342" s="33"/>
      <c r="EO342" s="33"/>
      <c r="EP342" s="33"/>
      <c r="EQ342" s="33"/>
      <c r="ER342" s="33"/>
      <c r="ES342" s="33"/>
      <c r="ET342" s="33"/>
      <c r="EU342" s="33"/>
      <c r="EV342" s="33"/>
      <c r="EW342" s="33"/>
      <c r="EX342" s="33"/>
      <c r="EY342" s="33"/>
      <c r="EZ342" s="33"/>
      <c r="FA342" s="33"/>
      <c r="FB342" s="33"/>
      <c r="FC342" s="33"/>
      <c r="FD342" s="33"/>
      <c r="FE342" s="33"/>
      <c r="FF342" s="33"/>
      <c r="FG342" s="33"/>
      <c r="FH342" s="33"/>
      <c r="FI342" s="33"/>
      <c r="FJ342" s="33"/>
      <c r="FK342" s="33"/>
      <c r="FL342" s="33"/>
      <c r="FM342" s="33"/>
      <c r="FN342" s="33"/>
      <c r="FO342" s="33"/>
      <c r="FP342" s="33"/>
      <c r="FQ342" s="33"/>
      <c r="FR342" s="33"/>
      <c r="FS342" s="33"/>
      <c r="FT342" s="33"/>
      <c r="FU342" s="33"/>
      <c r="FV342" s="33"/>
      <c r="FW342" s="33"/>
      <c r="FX342" s="33"/>
      <c r="FY342" s="33"/>
      <c r="FZ342" s="33"/>
      <c r="GA342" s="33"/>
      <c r="GB342" s="33"/>
      <c r="GC342" s="33"/>
      <c r="GD342" s="33"/>
      <c r="GE342" s="33"/>
      <c r="GF342" s="33"/>
      <c r="GG342" s="33"/>
      <c r="GH342" s="33"/>
      <c r="GI342" s="33"/>
      <c r="GJ342" s="33"/>
      <c r="GK342" s="33"/>
      <c r="GL342" s="33"/>
      <c r="GM342" s="33"/>
      <c r="GN342" s="33"/>
      <c r="GO342" s="33"/>
      <c r="GP342" s="33"/>
      <c r="GQ342" s="33"/>
      <c r="GR342" s="33"/>
      <c r="GS342" s="33"/>
      <c r="GT342" s="33"/>
      <c r="GU342" s="33"/>
      <c r="GV342" s="33"/>
      <c r="GW342" s="33"/>
      <c r="GX342" s="33"/>
      <c r="GY342" s="33"/>
      <c r="GZ342" s="33"/>
      <c r="HA342" s="33"/>
      <c r="HB342" s="33"/>
      <c r="HC342" s="33"/>
      <c r="HD342" s="33"/>
      <c r="HE342" s="33"/>
      <c r="HF342" s="33"/>
      <c r="HG342" s="33"/>
      <c r="HH342" s="33"/>
      <c r="HI342" s="33"/>
      <c r="HJ342" s="33"/>
      <c r="HK342" s="33"/>
      <c r="HL342" s="33"/>
      <c r="HM342" s="33"/>
      <c r="HN342" s="33"/>
      <c r="HO342" s="33"/>
      <c r="HP342" s="33"/>
      <c r="HQ342" s="33"/>
      <c r="HR342" s="33"/>
      <c r="HS342" s="33"/>
      <c r="HT342" s="33"/>
      <c r="HU342" s="33"/>
      <c r="HV342" s="33"/>
      <c r="HW342" s="33"/>
      <c r="HX342" s="33"/>
      <c r="HY342" s="33"/>
      <c r="HZ342" s="33"/>
      <c r="IA342" s="33"/>
      <c r="IB342" s="33"/>
      <c r="IC342" s="33"/>
      <c r="ID342" s="33"/>
      <c r="IE342" s="33"/>
      <c r="IF342" s="33"/>
      <c r="IG342" s="33"/>
      <c r="IH342" s="33"/>
      <c r="II342" s="33"/>
      <c r="IJ342" s="33"/>
      <c r="IK342" s="33"/>
      <c r="IL342" s="33"/>
      <c r="IM342" s="33"/>
      <c r="IN342" s="33"/>
      <c r="IO342" s="33"/>
      <c r="IP342" s="33"/>
      <c r="IQ342" s="33"/>
      <c r="IR342" s="33"/>
      <c r="IS342" s="33"/>
      <c r="IT342" s="33"/>
      <c r="IU342" s="33"/>
      <c r="IV342" s="33"/>
      <c r="IW342" s="33"/>
      <c r="IX342" s="33"/>
      <c r="IY342" s="33"/>
      <c r="IZ342" s="33"/>
      <c r="JA342" s="33"/>
      <c r="JB342" s="33"/>
      <c r="JC342" s="33"/>
      <c r="JD342" s="33"/>
      <c r="JE342" s="33"/>
      <c r="JF342" s="33"/>
      <c r="JG342" s="33"/>
      <c r="JH342" s="33"/>
      <c r="JI342" s="33"/>
      <c r="JJ342" s="33"/>
      <c r="JK342" s="33"/>
      <c r="JL342" s="33"/>
      <c r="JM342" s="33"/>
      <c r="JN342" s="33"/>
      <c r="JO342" s="33"/>
      <c r="JP342" s="33"/>
      <c r="JQ342" s="33"/>
      <c r="JR342" s="33"/>
      <c r="JS342" s="33"/>
      <c r="JT342" s="33"/>
      <c r="JU342" s="33"/>
      <c r="JV342" s="33"/>
      <c r="JW342" s="33"/>
      <c r="JX342" s="33"/>
      <c r="JY342" s="33"/>
      <c r="JZ342" s="33"/>
      <c r="KA342" s="33"/>
      <c r="KB342" s="33"/>
      <c r="KC342" s="33"/>
      <c r="KD342" s="33"/>
      <c r="KE342" s="33"/>
      <c r="KF342" s="33"/>
      <c r="KG342" s="33"/>
      <c r="KH342" s="33"/>
      <c r="KI342" s="33"/>
      <c r="KJ342" s="33"/>
      <c r="KK342" s="33"/>
      <c r="KL342" s="33"/>
      <c r="KM342" s="33"/>
      <c r="KN342" s="33"/>
      <c r="KO342" s="33"/>
      <c r="KP342" s="33"/>
      <c r="KQ342" s="33"/>
      <c r="KR342" s="33"/>
      <c r="KS342" s="33"/>
      <c r="KT342" s="33"/>
      <c r="KU342" s="33"/>
      <c r="KV342" s="33"/>
      <c r="KW342" s="33"/>
      <c r="KX342" s="33"/>
      <c r="KY342" s="33"/>
      <c r="KZ342" s="33"/>
      <c r="LA342" s="33"/>
      <c r="LB342" s="33"/>
      <c r="LC342" s="33"/>
      <c r="LD342" s="33"/>
      <c r="LE342" s="33"/>
      <c r="LF342" s="33"/>
      <c r="LG342" s="33"/>
      <c r="LH342" s="33"/>
      <c r="LI342" s="33"/>
      <c r="LJ342" s="33"/>
      <c r="LK342" s="33"/>
      <c r="LL342" s="33"/>
      <c r="LM342" s="33"/>
      <c r="LN342" s="33"/>
      <c r="LO342" s="33"/>
      <c r="LP342" s="33"/>
      <c r="LQ342" s="33"/>
      <c r="LR342" s="33"/>
      <c r="LS342" s="33"/>
      <c r="LT342" s="33"/>
      <c r="LU342" s="33"/>
      <c r="LV342" s="33"/>
      <c r="LW342" s="33"/>
      <c r="LX342" s="33"/>
      <c r="LY342" s="33"/>
      <c r="LZ342" s="33"/>
      <c r="MA342" s="33"/>
      <c r="MB342" s="33"/>
      <c r="MC342" s="33"/>
      <c r="MD342" s="33"/>
      <c r="ME342" s="33"/>
      <c r="MF342" s="33"/>
      <c r="MG342" s="33"/>
      <c r="MH342" s="33"/>
      <c r="MI342" s="33"/>
      <c r="MJ342" s="33"/>
      <c r="MK342" s="33"/>
      <c r="ML342" s="33"/>
      <c r="MM342" s="33"/>
      <c r="MN342" s="33"/>
      <c r="MO342" s="33"/>
      <c r="MP342" s="33"/>
      <c r="MQ342" s="33"/>
      <c r="MR342" s="33"/>
      <c r="MS342" s="33"/>
      <c r="MT342" s="33"/>
      <c r="MU342" s="33"/>
      <c r="MV342" s="33"/>
      <c r="MW342" s="33"/>
      <c r="MX342" s="33"/>
      <c r="MY342" s="33"/>
      <c r="MZ342" s="33"/>
      <c r="NA342" s="33"/>
      <c r="NB342" s="33"/>
      <c r="NC342" s="33"/>
      <c r="ND342" s="33"/>
      <c r="NE342" s="33"/>
      <c r="NF342" s="33"/>
      <c r="NG342" s="33"/>
      <c r="NH342" s="33"/>
      <c r="NI342" s="33"/>
      <c r="NJ342" s="33"/>
      <c r="NK342" s="33"/>
      <c r="NL342" s="33"/>
      <c r="NM342" s="33"/>
      <c r="NN342" s="33"/>
      <c r="NO342" s="33"/>
      <c r="NP342" s="33"/>
      <c r="NQ342" s="33"/>
      <c r="NR342" s="33"/>
      <c r="NS342" s="33"/>
      <c r="NT342" s="33"/>
      <c r="NU342" s="33"/>
      <c r="NV342" s="33"/>
      <c r="NW342" s="33"/>
      <c r="NX342" s="33"/>
      <c r="NY342" s="33"/>
      <c r="NZ342" s="33"/>
      <c r="OA342" s="33"/>
      <c r="OB342" s="33"/>
      <c r="OC342" s="33"/>
      <c r="OD342" s="33"/>
      <c r="OE342" s="33"/>
      <c r="OF342" s="33"/>
      <c r="OG342" s="33"/>
      <c r="OH342" s="33"/>
      <c r="OI342" s="33"/>
      <c r="OJ342" s="33"/>
      <c r="OK342" s="33"/>
      <c r="OL342" s="33"/>
      <c r="OM342" s="33"/>
      <c r="ON342" s="33"/>
      <c r="OO342" s="33"/>
      <c r="OP342" s="33"/>
      <c r="OQ342" s="33"/>
      <c r="OR342" s="33"/>
      <c r="OS342" s="33"/>
      <c r="OT342" s="33"/>
      <c r="OU342" s="33"/>
      <c r="OV342" s="33"/>
      <c r="OW342" s="33"/>
      <c r="OX342" s="33"/>
      <c r="OY342" s="33"/>
      <c r="OZ342" s="33"/>
      <c r="PA342" s="33"/>
      <c r="PB342" s="33"/>
      <c r="PC342" s="33"/>
      <c r="PD342" s="33"/>
      <c r="PE342" s="33"/>
      <c r="PF342" s="33"/>
      <c r="PG342" s="33"/>
      <c r="PH342" s="33"/>
      <c r="PI342" s="33"/>
      <c r="PJ342" s="33"/>
      <c r="PK342" s="33"/>
      <c r="PL342" s="33"/>
      <c r="PM342" s="33"/>
      <c r="PN342" s="33"/>
      <c r="PO342" s="33"/>
      <c r="PP342" s="33"/>
      <c r="PQ342" s="33"/>
      <c r="PR342" s="33"/>
      <c r="PS342" s="33"/>
      <c r="PT342" s="33"/>
      <c r="PU342" s="33"/>
      <c r="PV342" s="33"/>
      <c r="PW342" s="33"/>
      <c r="PX342" s="33"/>
      <c r="PY342" s="33"/>
      <c r="PZ342" s="33"/>
      <c r="QA342" s="33"/>
      <c r="QB342" s="33"/>
      <c r="QC342" s="33"/>
      <c r="QD342" s="33"/>
      <c r="QE342" s="33"/>
      <c r="QF342" s="33"/>
      <c r="QG342" s="33"/>
      <c r="QH342" s="33"/>
      <c r="QI342" s="33"/>
      <c r="QJ342" s="33"/>
      <c r="QK342" s="33"/>
      <c r="QL342" s="33"/>
      <c r="QM342" s="33"/>
      <c r="QN342" s="33"/>
      <c r="QO342" s="33"/>
      <c r="QP342" s="33"/>
      <c r="QQ342" s="33"/>
      <c r="QR342" s="33"/>
      <c r="QS342" s="33"/>
      <c r="QT342" s="33"/>
      <c r="QU342" s="33"/>
      <c r="QV342" s="33"/>
      <c r="QW342" s="33"/>
      <c r="QX342" s="33"/>
      <c r="QY342" s="33"/>
      <c r="QZ342" s="33"/>
      <c r="RA342" s="33"/>
      <c r="RB342" s="33"/>
      <c r="RC342" s="33"/>
      <c r="RD342" s="33"/>
      <c r="RE342" s="33"/>
      <c r="RF342" s="33"/>
      <c r="RG342" s="33"/>
      <c r="RH342" s="33"/>
      <c r="RI342" s="33"/>
      <c r="RJ342" s="33"/>
      <c r="RK342" s="33"/>
      <c r="RL342" s="33"/>
      <c r="RM342" s="33"/>
      <c r="RN342" s="33"/>
      <c r="RO342" s="33"/>
      <c r="RP342" s="33"/>
      <c r="RQ342" s="33"/>
      <c r="RR342" s="33"/>
      <c r="RS342" s="33"/>
      <c r="RT342" s="33"/>
      <c r="RU342" s="33"/>
      <c r="RV342" s="33"/>
      <c r="RW342" s="33"/>
      <c r="RX342" s="33"/>
      <c r="RY342" s="33"/>
      <c r="RZ342" s="33"/>
      <c r="SA342" s="33"/>
      <c r="SB342" s="33"/>
      <c r="SC342" s="33"/>
      <c r="SD342" s="33"/>
      <c r="SE342" s="33"/>
      <c r="SF342" s="33"/>
      <c r="SG342" s="33"/>
      <c r="SH342" s="33"/>
      <c r="SI342" s="33"/>
      <c r="SJ342" s="33"/>
      <c r="SK342" s="33"/>
      <c r="SL342" s="33"/>
      <c r="SM342" s="33"/>
      <c r="SN342" s="33"/>
      <c r="SO342" s="33"/>
      <c r="SP342" s="33"/>
      <c r="SQ342" s="33"/>
      <c r="SR342" s="33"/>
      <c r="SS342" s="33"/>
      <c r="ST342" s="33"/>
      <c r="SU342" s="33"/>
      <c r="SV342" s="33"/>
      <c r="SW342" s="33"/>
      <c r="SX342" s="33"/>
      <c r="SY342" s="33"/>
      <c r="SZ342" s="33"/>
      <c r="TA342" s="33"/>
      <c r="TB342" s="33"/>
      <c r="TC342" s="33"/>
      <c r="TD342" s="33"/>
      <c r="TE342" s="33"/>
    </row>
    <row r="343" spans="1:525" s="34" customFormat="1" ht="26.25" customHeight="1" x14ac:dyDescent="0.25">
      <c r="A343" s="167"/>
      <c r="B343" s="168"/>
      <c r="C343" s="168"/>
      <c r="D343" s="169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9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3"/>
      <c r="CS343" s="33"/>
      <c r="CT343" s="33"/>
      <c r="CU343" s="33"/>
      <c r="CV343" s="33"/>
      <c r="CW343" s="33"/>
      <c r="CX343" s="33"/>
      <c r="CY343" s="33"/>
      <c r="CZ343" s="33"/>
      <c r="DA343" s="33"/>
      <c r="DB343" s="33"/>
      <c r="DC343" s="33"/>
      <c r="DD343" s="33"/>
      <c r="DE343" s="33"/>
      <c r="DF343" s="33"/>
      <c r="DG343" s="33"/>
      <c r="DH343" s="33"/>
      <c r="DI343" s="33"/>
      <c r="DJ343" s="33"/>
      <c r="DK343" s="33"/>
      <c r="DL343" s="33"/>
      <c r="DM343" s="33"/>
      <c r="DN343" s="33"/>
      <c r="DO343" s="33"/>
      <c r="DP343" s="33"/>
      <c r="DQ343" s="33"/>
      <c r="DR343" s="33"/>
      <c r="DS343" s="33"/>
      <c r="DT343" s="33"/>
      <c r="DU343" s="33"/>
      <c r="DV343" s="33"/>
      <c r="DW343" s="33"/>
      <c r="DX343" s="33"/>
      <c r="DY343" s="33"/>
      <c r="DZ343" s="33"/>
      <c r="EA343" s="33"/>
      <c r="EB343" s="33"/>
      <c r="EC343" s="33"/>
      <c r="ED343" s="33"/>
      <c r="EE343" s="33"/>
      <c r="EF343" s="33"/>
      <c r="EG343" s="33"/>
      <c r="EH343" s="33"/>
      <c r="EI343" s="33"/>
      <c r="EJ343" s="33"/>
      <c r="EK343" s="33"/>
      <c r="EL343" s="33"/>
      <c r="EM343" s="33"/>
      <c r="EN343" s="33"/>
      <c r="EO343" s="33"/>
      <c r="EP343" s="33"/>
      <c r="EQ343" s="33"/>
      <c r="ER343" s="33"/>
      <c r="ES343" s="33"/>
      <c r="ET343" s="33"/>
      <c r="EU343" s="33"/>
      <c r="EV343" s="33"/>
      <c r="EW343" s="33"/>
      <c r="EX343" s="33"/>
      <c r="EY343" s="33"/>
      <c r="EZ343" s="33"/>
      <c r="FA343" s="33"/>
      <c r="FB343" s="33"/>
      <c r="FC343" s="33"/>
      <c r="FD343" s="33"/>
      <c r="FE343" s="33"/>
      <c r="FF343" s="33"/>
      <c r="FG343" s="33"/>
      <c r="FH343" s="33"/>
      <c r="FI343" s="33"/>
      <c r="FJ343" s="33"/>
      <c r="FK343" s="33"/>
      <c r="FL343" s="33"/>
      <c r="FM343" s="33"/>
      <c r="FN343" s="33"/>
      <c r="FO343" s="33"/>
      <c r="FP343" s="33"/>
      <c r="FQ343" s="33"/>
      <c r="FR343" s="33"/>
      <c r="FS343" s="33"/>
      <c r="FT343" s="33"/>
      <c r="FU343" s="33"/>
      <c r="FV343" s="33"/>
      <c r="FW343" s="33"/>
      <c r="FX343" s="33"/>
      <c r="FY343" s="33"/>
      <c r="FZ343" s="33"/>
      <c r="GA343" s="33"/>
      <c r="GB343" s="33"/>
      <c r="GC343" s="33"/>
      <c r="GD343" s="33"/>
      <c r="GE343" s="33"/>
      <c r="GF343" s="33"/>
      <c r="GG343" s="33"/>
      <c r="GH343" s="33"/>
      <c r="GI343" s="33"/>
      <c r="GJ343" s="33"/>
      <c r="GK343" s="33"/>
      <c r="GL343" s="33"/>
      <c r="GM343" s="33"/>
      <c r="GN343" s="33"/>
      <c r="GO343" s="33"/>
      <c r="GP343" s="33"/>
      <c r="GQ343" s="33"/>
      <c r="GR343" s="33"/>
      <c r="GS343" s="33"/>
      <c r="GT343" s="33"/>
      <c r="GU343" s="33"/>
      <c r="GV343" s="33"/>
      <c r="GW343" s="33"/>
      <c r="GX343" s="33"/>
      <c r="GY343" s="33"/>
      <c r="GZ343" s="33"/>
      <c r="HA343" s="33"/>
      <c r="HB343" s="33"/>
      <c r="HC343" s="33"/>
      <c r="HD343" s="33"/>
      <c r="HE343" s="33"/>
      <c r="HF343" s="33"/>
      <c r="HG343" s="33"/>
      <c r="HH343" s="33"/>
      <c r="HI343" s="33"/>
      <c r="HJ343" s="33"/>
      <c r="HK343" s="33"/>
      <c r="HL343" s="33"/>
      <c r="HM343" s="33"/>
      <c r="HN343" s="33"/>
      <c r="HO343" s="33"/>
      <c r="HP343" s="33"/>
      <c r="HQ343" s="33"/>
      <c r="HR343" s="33"/>
      <c r="HS343" s="33"/>
      <c r="HT343" s="33"/>
      <c r="HU343" s="33"/>
      <c r="HV343" s="33"/>
      <c r="HW343" s="33"/>
      <c r="HX343" s="33"/>
      <c r="HY343" s="33"/>
      <c r="HZ343" s="33"/>
      <c r="IA343" s="33"/>
      <c r="IB343" s="33"/>
      <c r="IC343" s="33"/>
      <c r="ID343" s="33"/>
      <c r="IE343" s="33"/>
      <c r="IF343" s="33"/>
      <c r="IG343" s="33"/>
      <c r="IH343" s="33"/>
      <c r="II343" s="33"/>
      <c r="IJ343" s="33"/>
      <c r="IK343" s="33"/>
      <c r="IL343" s="33"/>
      <c r="IM343" s="33"/>
      <c r="IN343" s="33"/>
      <c r="IO343" s="33"/>
      <c r="IP343" s="33"/>
      <c r="IQ343" s="33"/>
      <c r="IR343" s="33"/>
      <c r="IS343" s="33"/>
      <c r="IT343" s="33"/>
      <c r="IU343" s="33"/>
      <c r="IV343" s="33"/>
      <c r="IW343" s="33"/>
      <c r="IX343" s="33"/>
      <c r="IY343" s="33"/>
      <c r="IZ343" s="33"/>
      <c r="JA343" s="33"/>
      <c r="JB343" s="33"/>
      <c r="JC343" s="33"/>
      <c r="JD343" s="33"/>
      <c r="JE343" s="33"/>
      <c r="JF343" s="33"/>
      <c r="JG343" s="33"/>
      <c r="JH343" s="33"/>
      <c r="JI343" s="33"/>
      <c r="JJ343" s="33"/>
      <c r="JK343" s="33"/>
      <c r="JL343" s="33"/>
      <c r="JM343" s="33"/>
      <c r="JN343" s="33"/>
      <c r="JO343" s="33"/>
      <c r="JP343" s="33"/>
      <c r="JQ343" s="33"/>
      <c r="JR343" s="33"/>
      <c r="JS343" s="33"/>
      <c r="JT343" s="33"/>
      <c r="JU343" s="33"/>
      <c r="JV343" s="33"/>
      <c r="JW343" s="33"/>
      <c r="JX343" s="33"/>
      <c r="JY343" s="33"/>
      <c r="JZ343" s="33"/>
      <c r="KA343" s="33"/>
      <c r="KB343" s="33"/>
      <c r="KC343" s="33"/>
      <c r="KD343" s="33"/>
      <c r="KE343" s="33"/>
      <c r="KF343" s="33"/>
      <c r="KG343" s="33"/>
      <c r="KH343" s="33"/>
      <c r="KI343" s="33"/>
      <c r="KJ343" s="33"/>
      <c r="KK343" s="33"/>
      <c r="KL343" s="33"/>
      <c r="KM343" s="33"/>
      <c r="KN343" s="33"/>
      <c r="KO343" s="33"/>
      <c r="KP343" s="33"/>
      <c r="KQ343" s="33"/>
      <c r="KR343" s="33"/>
      <c r="KS343" s="33"/>
      <c r="KT343" s="33"/>
      <c r="KU343" s="33"/>
      <c r="KV343" s="33"/>
      <c r="KW343" s="33"/>
      <c r="KX343" s="33"/>
      <c r="KY343" s="33"/>
      <c r="KZ343" s="33"/>
      <c r="LA343" s="33"/>
      <c r="LB343" s="33"/>
      <c r="LC343" s="33"/>
      <c r="LD343" s="33"/>
      <c r="LE343" s="33"/>
      <c r="LF343" s="33"/>
      <c r="LG343" s="33"/>
      <c r="LH343" s="33"/>
      <c r="LI343" s="33"/>
      <c r="LJ343" s="33"/>
      <c r="LK343" s="33"/>
      <c r="LL343" s="33"/>
      <c r="LM343" s="33"/>
      <c r="LN343" s="33"/>
      <c r="LO343" s="33"/>
      <c r="LP343" s="33"/>
      <c r="LQ343" s="33"/>
      <c r="LR343" s="33"/>
      <c r="LS343" s="33"/>
      <c r="LT343" s="33"/>
      <c r="LU343" s="33"/>
      <c r="LV343" s="33"/>
      <c r="LW343" s="33"/>
      <c r="LX343" s="33"/>
      <c r="LY343" s="33"/>
      <c r="LZ343" s="33"/>
      <c r="MA343" s="33"/>
      <c r="MB343" s="33"/>
      <c r="MC343" s="33"/>
      <c r="MD343" s="33"/>
      <c r="ME343" s="33"/>
      <c r="MF343" s="33"/>
      <c r="MG343" s="33"/>
      <c r="MH343" s="33"/>
      <c r="MI343" s="33"/>
      <c r="MJ343" s="33"/>
      <c r="MK343" s="33"/>
      <c r="ML343" s="33"/>
      <c r="MM343" s="33"/>
      <c r="MN343" s="33"/>
      <c r="MO343" s="33"/>
      <c r="MP343" s="33"/>
      <c r="MQ343" s="33"/>
      <c r="MR343" s="33"/>
      <c r="MS343" s="33"/>
      <c r="MT343" s="33"/>
      <c r="MU343" s="33"/>
      <c r="MV343" s="33"/>
      <c r="MW343" s="33"/>
      <c r="MX343" s="33"/>
      <c r="MY343" s="33"/>
      <c r="MZ343" s="33"/>
      <c r="NA343" s="33"/>
      <c r="NB343" s="33"/>
      <c r="NC343" s="33"/>
      <c r="ND343" s="33"/>
      <c r="NE343" s="33"/>
      <c r="NF343" s="33"/>
      <c r="NG343" s="33"/>
      <c r="NH343" s="33"/>
      <c r="NI343" s="33"/>
      <c r="NJ343" s="33"/>
      <c r="NK343" s="33"/>
      <c r="NL343" s="33"/>
      <c r="NM343" s="33"/>
      <c r="NN343" s="33"/>
      <c r="NO343" s="33"/>
      <c r="NP343" s="33"/>
      <c r="NQ343" s="33"/>
      <c r="NR343" s="33"/>
      <c r="NS343" s="33"/>
      <c r="NT343" s="33"/>
      <c r="NU343" s="33"/>
      <c r="NV343" s="33"/>
      <c r="NW343" s="33"/>
      <c r="NX343" s="33"/>
      <c r="NY343" s="33"/>
      <c r="NZ343" s="33"/>
      <c r="OA343" s="33"/>
      <c r="OB343" s="33"/>
      <c r="OC343" s="33"/>
      <c r="OD343" s="33"/>
      <c r="OE343" s="33"/>
      <c r="OF343" s="33"/>
      <c r="OG343" s="33"/>
      <c r="OH343" s="33"/>
      <c r="OI343" s="33"/>
      <c r="OJ343" s="33"/>
      <c r="OK343" s="33"/>
      <c r="OL343" s="33"/>
      <c r="OM343" s="33"/>
      <c r="ON343" s="33"/>
      <c r="OO343" s="33"/>
      <c r="OP343" s="33"/>
      <c r="OQ343" s="33"/>
      <c r="OR343" s="33"/>
      <c r="OS343" s="33"/>
      <c r="OT343" s="33"/>
      <c r="OU343" s="33"/>
      <c r="OV343" s="33"/>
      <c r="OW343" s="33"/>
      <c r="OX343" s="33"/>
      <c r="OY343" s="33"/>
      <c r="OZ343" s="33"/>
      <c r="PA343" s="33"/>
      <c r="PB343" s="33"/>
      <c r="PC343" s="33"/>
      <c r="PD343" s="33"/>
      <c r="PE343" s="33"/>
      <c r="PF343" s="33"/>
      <c r="PG343" s="33"/>
      <c r="PH343" s="33"/>
      <c r="PI343" s="33"/>
      <c r="PJ343" s="33"/>
      <c r="PK343" s="33"/>
      <c r="PL343" s="33"/>
      <c r="PM343" s="33"/>
      <c r="PN343" s="33"/>
      <c r="PO343" s="33"/>
      <c r="PP343" s="33"/>
      <c r="PQ343" s="33"/>
      <c r="PR343" s="33"/>
      <c r="PS343" s="33"/>
      <c r="PT343" s="33"/>
      <c r="PU343" s="33"/>
      <c r="PV343" s="33"/>
      <c r="PW343" s="33"/>
      <c r="PX343" s="33"/>
      <c r="PY343" s="33"/>
      <c r="PZ343" s="33"/>
      <c r="QA343" s="33"/>
      <c r="QB343" s="33"/>
      <c r="QC343" s="33"/>
      <c r="QD343" s="33"/>
      <c r="QE343" s="33"/>
      <c r="QF343" s="33"/>
      <c r="QG343" s="33"/>
      <c r="QH343" s="33"/>
      <c r="QI343" s="33"/>
      <c r="QJ343" s="33"/>
      <c r="QK343" s="33"/>
      <c r="QL343" s="33"/>
      <c r="QM343" s="33"/>
      <c r="QN343" s="33"/>
      <c r="QO343" s="33"/>
      <c r="QP343" s="33"/>
      <c r="QQ343" s="33"/>
      <c r="QR343" s="33"/>
      <c r="QS343" s="33"/>
      <c r="QT343" s="33"/>
      <c r="QU343" s="33"/>
      <c r="QV343" s="33"/>
      <c r="QW343" s="33"/>
      <c r="QX343" s="33"/>
      <c r="QY343" s="33"/>
      <c r="QZ343" s="33"/>
      <c r="RA343" s="33"/>
      <c r="RB343" s="33"/>
      <c r="RC343" s="33"/>
      <c r="RD343" s="33"/>
      <c r="RE343" s="33"/>
      <c r="RF343" s="33"/>
      <c r="RG343" s="33"/>
      <c r="RH343" s="33"/>
      <c r="RI343" s="33"/>
      <c r="RJ343" s="33"/>
      <c r="RK343" s="33"/>
      <c r="RL343" s="33"/>
      <c r="RM343" s="33"/>
      <c r="RN343" s="33"/>
      <c r="RO343" s="33"/>
      <c r="RP343" s="33"/>
      <c r="RQ343" s="33"/>
      <c r="RR343" s="33"/>
      <c r="RS343" s="33"/>
      <c r="RT343" s="33"/>
      <c r="RU343" s="33"/>
      <c r="RV343" s="33"/>
      <c r="RW343" s="33"/>
      <c r="RX343" s="33"/>
      <c r="RY343" s="33"/>
      <c r="RZ343" s="33"/>
      <c r="SA343" s="33"/>
      <c r="SB343" s="33"/>
      <c r="SC343" s="33"/>
      <c r="SD343" s="33"/>
      <c r="SE343" s="33"/>
      <c r="SF343" s="33"/>
      <c r="SG343" s="33"/>
      <c r="SH343" s="33"/>
      <c r="SI343" s="33"/>
      <c r="SJ343" s="33"/>
      <c r="SK343" s="33"/>
      <c r="SL343" s="33"/>
      <c r="SM343" s="33"/>
      <c r="SN343" s="33"/>
      <c r="SO343" s="33"/>
      <c r="SP343" s="33"/>
      <c r="SQ343" s="33"/>
      <c r="SR343" s="33"/>
      <c r="SS343" s="33"/>
      <c r="ST343" s="33"/>
      <c r="SU343" s="33"/>
      <c r="SV343" s="33"/>
      <c r="SW343" s="33"/>
      <c r="SX343" s="33"/>
      <c r="SY343" s="33"/>
      <c r="SZ343" s="33"/>
      <c r="TA343" s="33"/>
      <c r="TB343" s="33"/>
      <c r="TC343" s="33"/>
      <c r="TD343" s="33"/>
      <c r="TE343" s="33"/>
    </row>
    <row r="344" spans="1:525" s="34" customFormat="1" ht="26.25" customHeight="1" x14ac:dyDescent="0.25">
      <c r="A344" s="167"/>
      <c r="B344" s="168"/>
      <c r="C344" s="168"/>
      <c r="D344" s="169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9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  <c r="DB344" s="33"/>
      <c r="DC344" s="33"/>
      <c r="DD344" s="33"/>
      <c r="DE344" s="33"/>
      <c r="DF344" s="33"/>
      <c r="DG344" s="33"/>
      <c r="DH344" s="33"/>
      <c r="DI344" s="33"/>
      <c r="DJ344" s="33"/>
      <c r="DK344" s="33"/>
      <c r="DL344" s="33"/>
      <c r="DM344" s="33"/>
      <c r="DN344" s="33"/>
      <c r="DO344" s="33"/>
      <c r="DP344" s="33"/>
      <c r="DQ344" s="33"/>
      <c r="DR344" s="33"/>
      <c r="DS344" s="33"/>
      <c r="DT344" s="33"/>
      <c r="DU344" s="33"/>
      <c r="DV344" s="33"/>
      <c r="DW344" s="33"/>
      <c r="DX344" s="33"/>
      <c r="DY344" s="33"/>
      <c r="DZ344" s="33"/>
      <c r="EA344" s="33"/>
      <c r="EB344" s="33"/>
      <c r="EC344" s="33"/>
      <c r="ED344" s="33"/>
      <c r="EE344" s="33"/>
      <c r="EF344" s="33"/>
      <c r="EG344" s="33"/>
      <c r="EH344" s="33"/>
      <c r="EI344" s="33"/>
      <c r="EJ344" s="33"/>
      <c r="EK344" s="33"/>
      <c r="EL344" s="33"/>
      <c r="EM344" s="33"/>
      <c r="EN344" s="33"/>
      <c r="EO344" s="33"/>
      <c r="EP344" s="33"/>
      <c r="EQ344" s="33"/>
      <c r="ER344" s="33"/>
      <c r="ES344" s="33"/>
      <c r="ET344" s="33"/>
      <c r="EU344" s="33"/>
      <c r="EV344" s="33"/>
      <c r="EW344" s="33"/>
      <c r="EX344" s="33"/>
      <c r="EY344" s="33"/>
      <c r="EZ344" s="33"/>
      <c r="FA344" s="33"/>
      <c r="FB344" s="33"/>
      <c r="FC344" s="33"/>
      <c r="FD344" s="33"/>
      <c r="FE344" s="33"/>
      <c r="FF344" s="33"/>
      <c r="FG344" s="33"/>
      <c r="FH344" s="33"/>
      <c r="FI344" s="33"/>
      <c r="FJ344" s="33"/>
      <c r="FK344" s="33"/>
      <c r="FL344" s="33"/>
      <c r="FM344" s="33"/>
      <c r="FN344" s="33"/>
      <c r="FO344" s="33"/>
      <c r="FP344" s="33"/>
      <c r="FQ344" s="33"/>
      <c r="FR344" s="33"/>
      <c r="FS344" s="33"/>
      <c r="FT344" s="33"/>
      <c r="FU344" s="33"/>
      <c r="FV344" s="33"/>
      <c r="FW344" s="33"/>
      <c r="FX344" s="33"/>
      <c r="FY344" s="33"/>
      <c r="FZ344" s="33"/>
      <c r="GA344" s="33"/>
      <c r="GB344" s="33"/>
      <c r="GC344" s="33"/>
      <c r="GD344" s="33"/>
      <c r="GE344" s="33"/>
      <c r="GF344" s="33"/>
      <c r="GG344" s="33"/>
      <c r="GH344" s="33"/>
      <c r="GI344" s="33"/>
      <c r="GJ344" s="33"/>
      <c r="GK344" s="33"/>
      <c r="GL344" s="33"/>
      <c r="GM344" s="33"/>
      <c r="GN344" s="33"/>
      <c r="GO344" s="33"/>
      <c r="GP344" s="33"/>
      <c r="GQ344" s="33"/>
      <c r="GR344" s="33"/>
      <c r="GS344" s="33"/>
      <c r="GT344" s="33"/>
      <c r="GU344" s="33"/>
      <c r="GV344" s="33"/>
      <c r="GW344" s="33"/>
      <c r="GX344" s="33"/>
      <c r="GY344" s="33"/>
      <c r="GZ344" s="33"/>
      <c r="HA344" s="33"/>
      <c r="HB344" s="33"/>
      <c r="HC344" s="33"/>
      <c r="HD344" s="33"/>
      <c r="HE344" s="33"/>
      <c r="HF344" s="33"/>
      <c r="HG344" s="33"/>
      <c r="HH344" s="33"/>
      <c r="HI344" s="33"/>
      <c r="HJ344" s="33"/>
      <c r="HK344" s="33"/>
      <c r="HL344" s="33"/>
      <c r="HM344" s="33"/>
      <c r="HN344" s="33"/>
      <c r="HO344" s="33"/>
      <c r="HP344" s="33"/>
      <c r="HQ344" s="33"/>
      <c r="HR344" s="33"/>
      <c r="HS344" s="33"/>
      <c r="HT344" s="33"/>
      <c r="HU344" s="33"/>
      <c r="HV344" s="33"/>
      <c r="HW344" s="33"/>
      <c r="HX344" s="33"/>
      <c r="HY344" s="33"/>
      <c r="HZ344" s="33"/>
      <c r="IA344" s="33"/>
      <c r="IB344" s="33"/>
      <c r="IC344" s="33"/>
      <c r="ID344" s="33"/>
      <c r="IE344" s="33"/>
      <c r="IF344" s="33"/>
      <c r="IG344" s="33"/>
      <c r="IH344" s="33"/>
      <c r="II344" s="33"/>
      <c r="IJ344" s="33"/>
      <c r="IK344" s="33"/>
      <c r="IL344" s="33"/>
      <c r="IM344" s="33"/>
      <c r="IN344" s="33"/>
      <c r="IO344" s="33"/>
      <c r="IP344" s="33"/>
      <c r="IQ344" s="33"/>
      <c r="IR344" s="33"/>
      <c r="IS344" s="33"/>
      <c r="IT344" s="33"/>
      <c r="IU344" s="33"/>
      <c r="IV344" s="33"/>
      <c r="IW344" s="33"/>
      <c r="IX344" s="33"/>
      <c r="IY344" s="33"/>
      <c r="IZ344" s="33"/>
      <c r="JA344" s="33"/>
      <c r="JB344" s="33"/>
      <c r="JC344" s="33"/>
      <c r="JD344" s="33"/>
      <c r="JE344" s="33"/>
      <c r="JF344" s="33"/>
      <c r="JG344" s="33"/>
      <c r="JH344" s="33"/>
      <c r="JI344" s="33"/>
      <c r="JJ344" s="33"/>
      <c r="JK344" s="33"/>
      <c r="JL344" s="33"/>
      <c r="JM344" s="33"/>
      <c r="JN344" s="33"/>
      <c r="JO344" s="33"/>
      <c r="JP344" s="33"/>
      <c r="JQ344" s="33"/>
      <c r="JR344" s="33"/>
      <c r="JS344" s="33"/>
      <c r="JT344" s="33"/>
      <c r="JU344" s="33"/>
      <c r="JV344" s="33"/>
      <c r="JW344" s="33"/>
      <c r="JX344" s="33"/>
      <c r="JY344" s="33"/>
      <c r="JZ344" s="33"/>
      <c r="KA344" s="33"/>
      <c r="KB344" s="33"/>
      <c r="KC344" s="33"/>
      <c r="KD344" s="33"/>
      <c r="KE344" s="33"/>
      <c r="KF344" s="33"/>
      <c r="KG344" s="33"/>
      <c r="KH344" s="33"/>
      <c r="KI344" s="33"/>
      <c r="KJ344" s="33"/>
      <c r="KK344" s="33"/>
      <c r="KL344" s="33"/>
      <c r="KM344" s="33"/>
      <c r="KN344" s="33"/>
      <c r="KO344" s="33"/>
      <c r="KP344" s="33"/>
      <c r="KQ344" s="33"/>
      <c r="KR344" s="33"/>
      <c r="KS344" s="33"/>
      <c r="KT344" s="33"/>
      <c r="KU344" s="33"/>
      <c r="KV344" s="33"/>
      <c r="KW344" s="33"/>
      <c r="KX344" s="33"/>
      <c r="KY344" s="33"/>
      <c r="KZ344" s="33"/>
      <c r="LA344" s="33"/>
      <c r="LB344" s="33"/>
      <c r="LC344" s="33"/>
      <c r="LD344" s="33"/>
      <c r="LE344" s="33"/>
      <c r="LF344" s="33"/>
      <c r="LG344" s="33"/>
      <c r="LH344" s="33"/>
      <c r="LI344" s="33"/>
      <c r="LJ344" s="33"/>
      <c r="LK344" s="33"/>
      <c r="LL344" s="33"/>
      <c r="LM344" s="33"/>
      <c r="LN344" s="33"/>
      <c r="LO344" s="33"/>
      <c r="LP344" s="33"/>
      <c r="LQ344" s="33"/>
      <c r="LR344" s="33"/>
      <c r="LS344" s="33"/>
      <c r="LT344" s="33"/>
      <c r="LU344" s="33"/>
      <c r="LV344" s="33"/>
      <c r="LW344" s="33"/>
      <c r="LX344" s="33"/>
      <c r="LY344" s="33"/>
      <c r="LZ344" s="33"/>
      <c r="MA344" s="33"/>
      <c r="MB344" s="33"/>
      <c r="MC344" s="33"/>
      <c r="MD344" s="33"/>
      <c r="ME344" s="33"/>
      <c r="MF344" s="33"/>
      <c r="MG344" s="33"/>
      <c r="MH344" s="33"/>
      <c r="MI344" s="33"/>
      <c r="MJ344" s="33"/>
      <c r="MK344" s="33"/>
      <c r="ML344" s="33"/>
      <c r="MM344" s="33"/>
      <c r="MN344" s="33"/>
      <c r="MO344" s="33"/>
      <c r="MP344" s="33"/>
      <c r="MQ344" s="33"/>
      <c r="MR344" s="33"/>
      <c r="MS344" s="33"/>
      <c r="MT344" s="33"/>
      <c r="MU344" s="33"/>
      <c r="MV344" s="33"/>
      <c r="MW344" s="33"/>
      <c r="MX344" s="33"/>
      <c r="MY344" s="33"/>
      <c r="MZ344" s="33"/>
      <c r="NA344" s="33"/>
      <c r="NB344" s="33"/>
      <c r="NC344" s="33"/>
      <c r="ND344" s="33"/>
      <c r="NE344" s="33"/>
      <c r="NF344" s="33"/>
      <c r="NG344" s="33"/>
      <c r="NH344" s="33"/>
      <c r="NI344" s="33"/>
      <c r="NJ344" s="33"/>
      <c r="NK344" s="33"/>
      <c r="NL344" s="33"/>
      <c r="NM344" s="33"/>
      <c r="NN344" s="33"/>
      <c r="NO344" s="33"/>
      <c r="NP344" s="33"/>
      <c r="NQ344" s="33"/>
      <c r="NR344" s="33"/>
      <c r="NS344" s="33"/>
      <c r="NT344" s="33"/>
      <c r="NU344" s="33"/>
      <c r="NV344" s="33"/>
      <c r="NW344" s="33"/>
      <c r="NX344" s="33"/>
      <c r="NY344" s="33"/>
      <c r="NZ344" s="33"/>
      <c r="OA344" s="33"/>
      <c r="OB344" s="33"/>
      <c r="OC344" s="33"/>
      <c r="OD344" s="33"/>
      <c r="OE344" s="33"/>
      <c r="OF344" s="33"/>
      <c r="OG344" s="33"/>
      <c r="OH344" s="33"/>
      <c r="OI344" s="33"/>
      <c r="OJ344" s="33"/>
      <c r="OK344" s="33"/>
      <c r="OL344" s="33"/>
      <c r="OM344" s="33"/>
      <c r="ON344" s="33"/>
      <c r="OO344" s="33"/>
      <c r="OP344" s="33"/>
      <c r="OQ344" s="33"/>
      <c r="OR344" s="33"/>
      <c r="OS344" s="33"/>
      <c r="OT344" s="33"/>
      <c r="OU344" s="33"/>
      <c r="OV344" s="33"/>
      <c r="OW344" s="33"/>
      <c r="OX344" s="33"/>
      <c r="OY344" s="33"/>
      <c r="OZ344" s="33"/>
      <c r="PA344" s="33"/>
      <c r="PB344" s="33"/>
      <c r="PC344" s="33"/>
      <c r="PD344" s="33"/>
      <c r="PE344" s="33"/>
      <c r="PF344" s="33"/>
      <c r="PG344" s="33"/>
      <c r="PH344" s="33"/>
      <c r="PI344" s="33"/>
      <c r="PJ344" s="33"/>
      <c r="PK344" s="33"/>
      <c r="PL344" s="33"/>
      <c r="PM344" s="33"/>
      <c r="PN344" s="33"/>
      <c r="PO344" s="33"/>
      <c r="PP344" s="33"/>
      <c r="PQ344" s="33"/>
      <c r="PR344" s="33"/>
      <c r="PS344" s="33"/>
      <c r="PT344" s="33"/>
      <c r="PU344" s="33"/>
      <c r="PV344" s="33"/>
      <c r="PW344" s="33"/>
      <c r="PX344" s="33"/>
      <c r="PY344" s="33"/>
      <c r="PZ344" s="33"/>
      <c r="QA344" s="33"/>
      <c r="QB344" s="33"/>
      <c r="QC344" s="33"/>
      <c r="QD344" s="33"/>
      <c r="QE344" s="33"/>
      <c r="QF344" s="33"/>
      <c r="QG344" s="33"/>
      <c r="QH344" s="33"/>
      <c r="QI344" s="33"/>
      <c r="QJ344" s="33"/>
      <c r="QK344" s="33"/>
      <c r="QL344" s="33"/>
      <c r="QM344" s="33"/>
      <c r="QN344" s="33"/>
      <c r="QO344" s="33"/>
      <c r="QP344" s="33"/>
      <c r="QQ344" s="33"/>
      <c r="QR344" s="33"/>
      <c r="QS344" s="33"/>
      <c r="QT344" s="33"/>
      <c r="QU344" s="33"/>
      <c r="QV344" s="33"/>
      <c r="QW344" s="33"/>
      <c r="QX344" s="33"/>
      <c r="QY344" s="33"/>
      <c r="QZ344" s="33"/>
      <c r="RA344" s="33"/>
      <c r="RB344" s="33"/>
      <c r="RC344" s="33"/>
      <c r="RD344" s="33"/>
      <c r="RE344" s="33"/>
      <c r="RF344" s="33"/>
      <c r="RG344" s="33"/>
      <c r="RH344" s="33"/>
      <c r="RI344" s="33"/>
      <c r="RJ344" s="33"/>
      <c r="RK344" s="33"/>
      <c r="RL344" s="33"/>
      <c r="RM344" s="33"/>
      <c r="RN344" s="33"/>
      <c r="RO344" s="33"/>
      <c r="RP344" s="33"/>
      <c r="RQ344" s="33"/>
      <c r="RR344" s="33"/>
      <c r="RS344" s="33"/>
      <c r="RT344" s="33"/>
      <c r="RU344" s="33"/>
      <c r="RV344" s="33"/>
      <c r="RW344" s="33"/>
      <c r="RX344" s="33"/>
      <c r="RY344" s="33"/>
      <c r="RZ344" s="33"/>
      <c r="SA344" s="33"/>
      <c r="SB344" s="33"/>
      <c r="SC344" s="33"/>
      <c r="SD344" s="33"/>
      <c r="SE344" s="33"/>
      <c r="SF344" s="33"/>
      <c r="SG344" s="33"/>
      <c r="SH344" s="33"/>
      <c r="SI344" s="33"/>
      <c r="SJ344" s="33"/>
      <c r="SK344" s="33"/>
      <c r="SL344" s="33"/>
      <c r="SM344" s="33"/>
      <c r="SN344" s="33"/>
      <c r="SO344" s="33"/>
      <c r="SP344" s="33"/>
      <c r="SQ344" s="33"/>
      <c r="SR344" s="33"/>
      <c r="SS344" s="33"/>
      <c r="ST344" s="33"/>
      <c r="SU344" s="33"/>
      <c r="SV344" s="33"/>
      <c r="SW344" s="33"/>
      <c r="SX344" s="33"/>
      <c r="SY344" s="33"/>
      <c r="SZ344" s="33"/>
      <c r="TA344" s="33"/>
      <c r="TB344" s="33"/>
      <c r="TC344" s="33"/>
      <c r="TD344" s="33"/>
      <c r="TE344" s="33"/>
    </row>
    <row r="345" spans="1:525" s="27" customFormat="1" ht="30" customHeight="1" x14ac:dyDescent="0.25">
      <c r="A345" s="61"/>
      <c r="B345" s="62"/>
      <c r="C345" s="63"/>
      <c r="D345" s="64"/>
      <c r="E345" s="144"/>
      <c r="F345" s="145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79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  <c r="IG345" s="32"/>
      <c r="IH345" s="32"/>
      <c r="II345" s="32"/>
      <c r="IJ345" s="32"/>
      <c r="IK345" s="32"/>
      <c r="IL345" s="32"/>
      <c r="IM345" s="32"/>
      <c r="IN345" s="32"/>
      <c r="IO345" s="32"/>
      <c r="IP345" s="32"/>
      <c r="IQ345" s="32"/>
      <c r="IR345" s="32"/>
      <c r="IS345" s="32"/>
      <c r="IT345" s="32"/>
      <c r="IU345" s="32"/>
      <c r="IV345" s="32"/>
      <c r="IW345" s="32"/>
      <c r="IX345" s="32"/>
      <c r="IY345" s="32"/>
      <c r="IZ345" s="32"/>
      <c r="JA345" s="32"/>
      <c r="JB345" s="32"/>
      <c r="JC345" s="32"/>
      <c r="JD345" s="32"/>
      <c r="JE345" s="32"/>
      <c r="JF345" s="32"/>
      <c r="JG345" s="32"/>
      <c r="JH345" s="32"/>
      <c r="JI345" s="32"/>
      <c r="JJ345" s="32"/>
      <c r="JK345" s="32"/>
      <c r="JL345" s="32"/>
      <c r="JM345" s="32"/>
      <c r="JN345" s="32"/>
      <c r="JO345" s="32"/>
      <c r="JP345" s="32"/>
      <c r="JQ345" s="32"/>
      <c r="JR345" s="32"/>
      <c r="JS345" s="32"/>
      <c r="JT345" s="32"/>
      <c r="JU345" s="32"/>
      <c r="JV345" s="32"/>
      <c r="JW345" s="32"/>
      <c r="JX345" s="32"/>
      <c r="JY345" s="32"/>
      <c r="JZ345" s="32"/>
      <c r="KA345" s="32"/>
      <c r="KB345" s="32"/>
      <c r="KC345" s="32"/>
      <c r="KD345" s="32"/>
      <c r="KE345" s="32"/>
      <c r="KF345" s="32"/>
      <c r="KG345" s="32"/>
      <c r="KH345" s="32"/>
      <c r="KI345" s="32"/>
      <c r="KJ345" s="32"/>
      <c r="KK345" s="32"/>
      <c r="KL345" s="32"/>
      <c r="KM345" s="32"/>
      <c r="KN345" s="32"/>
      <c r="KO345" s="32"/>
      <c r="KP345" s="32"/>
      <c r="KQ345" s="32"/>
      <c r="KR345" s="32"/>
      <c r="KS345" s="32"/>
      <c r="KT345" s="32"/>
      <c r="KU345" s="32"/>
      <c r="KV345" s="32"/>
      <c r="KW345" s="32"/>
      <c r="KX345" s="32"/>
      <c r="KY345" s="32"/>
      <c r="KZ345" s="32"/>
      <c r="LA345" s="32"/>
      <c r="LB345" s="32"/>
      <c r="LC345" s="32"/>
      <c r="LD345" s="32"/>
      <c r="LE345" s="32"/>
      <c r="LF345" s="32"/>
      <c r="LG345" s="32"/>
      <c r="LH345" s="32"/>
      <c r="LI345" s="32"/>
      <c r="LJ345" s="32"/>
      <c r="LK345" s="32"/>
      <c r="LL345" s="32"/>
      <c r="LM345" s="32"/>
      <c r="LN345" s="32"/>
      <c r="LO345" s="32"/>
      <c r="LP345" s="32"/>
      <c r="LQ345" s="32"/>
      <c r="LR345" s="32"/>
      <c r="LS345" s="32"/>
      <c r="LT345" s="32"/>
      <c r="LU345" s="32"/>
      <c r="LV345" s="32"/>
      <c r="LW345" s="32"/>
      <c r="LX345" s="32"/>
      <c r="LY345" s="32"/>
      <c r="LZ345" s="32"/>
      <c r="MA345" s="32"/>
      <c r="MB345" s="32"/>
      <c r="MC345" s="32"/>
      <c r="MD345" s="32"/>
      <c r="ME345" s="32"/>
      <c r="MF345" s="32"/>
      <c r="MG345" s="32"/>
      <c r="MH345" s="32"/>
      <c r="MI345" s="32"/>
      <c r="MJ345" s="32"/>
      <c r="MK345" s="32"/>
      <c r="ML345" s="32"/>
      <c r="MM345" s="32"/>
      <c r="MN345" s="32"/>
      <c r="MO345" s="32"/>
      <c r="MP345" s="32"/>
      <c r="MQ345" s="32"/>
      <c r="MR345" s="32"/>
      <c r="MS345" s="32"/>
      <c r="MT345" s="32"/>
      <c r="MU345" s="32"/>
      <c r="MV345" s="32"/>
      <c r="MW345" s="32"/>
      <c r="MX345" s="32"/>
      <c r="MY345" s="32"/>
      <c r="MZ345" s="32"/>
      <c r="NA345" s="32"/>
      <c r="NB345" s="32"/>
      <c r="NC345" s="32"/>
      <c r="ND345" s="32"/>
      <c r="NE345" s="32"/>
      <c r="NF345" s="32"/>
      <c r="NG345" s="32"/>
      <c r="NH345" s="32"/>
      <c r="NI345" s="32"/>
      <c r="NJ345" s="32"/>
      <c r="NK345" s="32"/>
      <c r="NL345" s="32"/>
      <c r="NM345" s="32"/>
      <c r="NN345" s="32"/>
      <c r="NO345" s="32"/>
      <c r="NP345" s="32"/>
      <c r="NQ345" s="32"/>
      <c r="NR345" s="32"/>
      <c r="NS345" s="32"/>
      <c r="NT345" s="32"/>
      <c r="NU345" s="32"/>
      <c r="NV345" s="32"/>
      <c r="NW345" s="32"/>
      <c r="NX345" s="32"/>
      <c r="NY345" s="32"/>
      <c r="NZ345" s="32"/>
      <c r="OA345" s="32"/>
      <c r="OB345" s="32"/>
      <c r="OC345" s="32"/>
      <c r="OD345" s="32"/>
      <c r="OE345" s="32"/>
      <c r="OF345" s="32"/>
      <c r="OG345" s="32"/>
      <c r="OH345" s="32"/>
      <c r="OI345" s="32"/>
      <c r="OJ345" s="32"/>
      <c r="OK345" s="32"/>
      <c r="OL345" s="32"/>
      <c r="OM345" s="32"/>
      <c r="ON345" s="32"/>
      <c r="OO345" s="32"/>
      <c r="OP345" s="32"/>
      <c r="OQ345" s="32"/>
      <c r="OR345" s="32"/>
      <c r="OS345" s="32"/>
      <c r="OT345" s="32"/>
      <c r="OU345" s="32"/>
      <c r="OV345" s="32"/>
      <c r="OW345" s="32"/>
      <c r="OX345" s="32"/>
      <c r="OY345" s="32"/>
      <c r="OZ345" s="32"/>
      <c r="PA345" s="32"/>
      <c r="PB345" s="32"/>
      <c r="PC345" s="32"/>
      <c r="PD345" s="32"/>
      <c r="PE345" s="32"/>
      <c r="PF345" s="32"/>
      <c r="PG345" s="32"/>
      <c r="PH345" s="32"/>
      <c r="PI345" s="32"/>
      <c r="PJ345" s="32"/>
      <c r="PK345" s="32"/>
      <c r="PL345" s="32"/>
      <c r="PM345" s="32"/>
      <c r="PN345" s="32"/>
      <c r="PO345" s="32"/>
      <c r="PP345" s="32"/>
      <c r="PQ345" s="32"/>
      <c r="PR345" s="32"/>
      <c r="PS345" s="32"/>
      <c r="PT345" s="32"/>
      <c r="PU345" s="32"/>
      <c r="PV345" s="32"/>
      <c r="PW345" s="32"/>
      <c r="PX345" s="32"/>
      <c r="PY345" s="32"/>
      <c r="PZ345" s="32"/>
      <c r="QA345" s="32"/>
      <c r="QB345" s="32"/>
      <c r="QC345" s="32"/>
      <c r="QD345" s="32"/>
      <c r="QE345" s="32"/>
      <c r="QF345" s="32"/>
      <c r="QG345" s="32"/>
      <c r="QH345" s="32"/>
      <c r="QI345" s="32"/>
      <c r="QJ345" s="32"/>
      <c r="QK345" s="32"/>
      <c r="QL345" s="32"/>
      <c r="QM345" s="32"/>
      <c r="QN345" s="32"/>
      <c r="QO345" s="32"/>
      <c r="QP345" s="32"/>
      <c r="QQ345" s="32"/>
      <c r="QR345" s="32"/>
      <c r="QS345" s="32"/>
      <c r="QT345" s="32"/>
      <c r="QU345" s="32"/>
      <c r="QV345" s="32"/>
      <c r="QW345" s="32"/>
      <c r="QX345" s="32"/>
      <c r="QY345" s="32"/>
      <c r="QZ345" s="32"/>
      <c r="RA345" s="32"/>
      <c r="RB345" s="32"/>
      <c r="RC345" s="32"/>
      <c r="RD345" s="32"/>
      <c r="RE345" s="32"/>
      <c r="RF345" s="32"/>
      <c r="RG345" s="32"/>
      <c r="RH345" s="32"/>
      <c r="RI345" s="32"/>
      <c r="RJ345" s="32"/>
      <c r="RK345" s="32"/>
      <c r="RL345" s="32"/>
      <c r="RM345" s="32"/>
      <c r="RN345" s="32"/>
      <c r="RO345" s="32"/>
      <c r="RP345" s="32"/>
      <c r="RQ345" s="32"/>
      <c r="RR345" s="32"/>
      <c r="RS345" s="32"/>
      <c r="RT345" s="32"/>
      <c r="RU345" s="32"/>
      <c r="RV345" s="32"/>
      <c r="RW345" s="32"/>
      <c r="RX345" s="32"/>
      <c r="RY345" s="32"/>
      <c r="RZ345" s="32"/>
      <c r="SA345" s="32"/>
      <c r="SB345" s="32"/>
      <c r="SC345" s="32"/>
      <c r="SD345" s="32"/>
      <c r="SE345" s="32"/>
      <c r="SF345" s="32"/>
      <c r="SG345" s="32"/>
      <c r="SH345" s="32"/>
      <c r="SI345" s="32"/>
      <c r="SJ345" s="32"/>
      <c r="SK345" s="32"/>
      <c r="SL345" s="32"/>
      <c r="SM345" s="32"/>
      <c r="SN345" s="32"/>
      <c r="SO345" s="32"/>
      <c r="SP345" s="32"/>
      <c r="SQ345" s="32"/>
      <c r="SR345" s="32"/>
      <c r="SS345" s="32"/>
      <c r="ST345" s="32"/>
      <c r="SU345" s="32"/>
      <c r="SV345" s="32"/>
      <c r="SW345" s="32"/>
      <c r="SX345" s="32"/>
      <c r="SY345" s="32"/>
      <c r="SZ345" s="32"/>
      <c r="TA345" s="32"/>
      <c r="TB345" s="32"/>
      <c r="TC345" s="32"/>
      <c r="TD345" s="32"/>
      <c r="TE345" s="32"/>
    </row>
    <row r="346" spans="1:525" s="27" customFormat="1" ht="32.25" hidden="1" customHeight="1" x14ac:dyDescent="0.25">
      <c r="A346" s="61"/>
      <c r="B346" s="62"/>
      <c r="C346" s="63"/>
      <c r="D346" s="64"/>
      <c r="E346" s="144">
        <f>E341-'дод 7'!D265</f>
        <v>0</v>
      </c>
      <c r="F346" s="144">
        <f>F341-'дод 7'!E265</f>
        <v>0</v>
      </c>
      <c r="G346" s="144">
        <f>G341-'дод 7'!F265</f>
        <v>0</v>
      </c>
      <c r="H346" s="144">
        <f>H341-'дод 7'!G265</f>
        <v>0</v>
      </c>
      <c r="I346" s="144">
        <f>I341-'дод 7'!H265</f>
        <v>0</v>
      </c>
      <c r="J346" s="144">
        <f>J341-'дод 7'!I265</f>
        <v>0</v>
      </c>
      <c r="K346" s="144">
        <f>K341-'дод 7'!J265</f>
        <v>0</v>
      </c>
      <c r="L346" s="144">
        <f>L341-'дод 7'!K265</f>
        <v>0</v>
      </c>
      <c r="M346" s="144">
        <f>M341-'дод 7'!L265</f>
        <v>0</v>
      </c>
      <c r="N346" s="144">
        <f>N341-'дод 7'!M265</f>
        <v>0</v>
      </c>
      <c r="O346" s="144">
        <f>O341-'дод 7'!N265</f>
        <v>0</v>
      </c>
      <c r="P346" s="144">
        <f>P341-'дод 7'!O265</f>
        <v>0</v>
      </c>
      <c r="Q346" s="179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  <c r="IG346" s="32"/>
      <c r="IH346" s="32"/>
      <c r="II346" s="32"/>
      <c r="IJ346" s="32"/>
      <c r="IK346" s="32"/>
      <c r="IL346" s="32"/>
      <c r="IM346" s="32"/>
      <c r="IN346" s="32"/>
      <c r="IO346" s="32"/>
      <c r="IP346" s="32"/>
      <c r="IQ346" s="32"/>
      <c r="IR346" s="32"/>
      <c r="IS346" s="32"/>
      <c r="IT346" s="32"/>
      <c r="IU346" s="32"/>
      <c r="IV346" s="32"/>
      <c r="IW346" s="32"/>
      <c r="IX346" s="32"/>
      <c r="IY346" s="32"/>
      <c r="IZ346" s="32"/>
      <c r="JA346" s="32"/>
      <c r="JB346" s="32"/>
      <c r="JC346" s="32"/>
      <c r="JD346" s="32"/>
      <c r="JE346" s="32"/>
      <c r="JF346" s="32"/>
      <c r="JG346" s="32"/>
      <c r="JH346" s="32"/>
      <c r="JI346" s="32"/>
      <c r="JJ346" s="32"/>
      <c r="JK346" s="32"/>
      <c r="JL346" s="32"/>
      <c r="JM346" s="32"/>
      <c r="JN346" s="32"/>
      <c r="JO346" s="32"/>
      <c r="JP346" s="32"/>
      <c r="JQ346" s="32"/>
      <c r="JR346" s="32"/>
      <c r="JS346" s="32"/>
      <c r="JT346" s="32"/>
      <c r="JU346" s="32"/>
      <c r="JV346" s="32"/>
      <c r="JW346" s="32"/>
      <c r="JX346" s="32"/>
      <c r="JY346" s="32"/>
      <c r="JZ346" s="32"/>
      <c r="KA346" s="32"/>
      <c r="KB346" s="32"/>
      <c r="KC346" s="32"/>
      <c r="KD346" s="32"/>
      <c r="KE346" s="32"/>
      <c r="KF346" s="32"/>
      <c r="KG346" s="32"/>
      <c r="KH346" s="32"/>
      <c r="KI346" s="32"/>
      <c r="KJ346" s="32"/>
      <c r="KK346" s="32"/>
      <c r="KL346" s="32"/>
      <c r="KM346" s="32"/>
      <c r="KN346" s="32"/>
      <c r="KO346" s="32"/>
      <c r="KP346" s="32"/>
      <c r="KQ346" s="32"/>
      <c r="KR346" s="32"/>
      <c r="KS346" s="32"/>
      <c r="KT346" s="32"/>
      <c r="KU346" s="32"/>
      <c r="KV346" s="32"/>
      <c r="KW346" s="32"/>
      <c r="KX346" s="32"/>
      <c r="KY346" s="32"/>
      <c r="KZ346" s="32"/>
      <c r="LA346" s="32"/>
      <c r="LB346" s="32"/>
      <c r="LC346" s="32"/>
      <c r="LD346" s="32"/>
      <c r="LE346" s="32"/>
      <c r="LF346" s="32"/>
      <c r="LG346" s="32"/>
      <c r="LH346" s="32"/>
      <c r="LI346" s="32"/>
      <c r="LJ346" s="32"/>
      <c r="LK346" s="32"/>
      <c r="LL346" s="32"/>
      <c r="LM346" s="32"/>
      <c r="LN346" s="32"/>
      <c r="LO346" s="32"/>
      <c r="LP346" s="32"/>
      <c r="LQ346" s="32"/>
      <c r="LR346" s="32"/>
      <c r="LS346" s="32"/>
      <c r="LT346" s="32"/>
      <c r="LU346" s="32"/>
      <c r="LV346" s="32"/>
      <c r="LW346" s="32"/>
      <c r="LX346" s="32"/>
      <c r="LY346" s="32"/>
      <c r="LZ346" s="32"/>
      <c r="MA346" s="32"/>
      <c r="MB346" s="32"/>
      <c r="MC346" s="32"/>
      <c r="MD346" s="32"/>
      <c r="ME346" s="32"/>
      <c r="MF346" s="32"/>
      <c r="MG346" s="32"/>
      <c r="MH346" s="32"/>
      <c r="MI346" s="32"/>
      <c r="MJ346" s="32"/>
      <c r="MK346" s="32"/>
      <c r="ML346" s="32"/>
      <c r="MM346" s="32"/>
      <c r="MN346" s="32"/>
      <c r="MO346" s="32"/>
      <c r="MP346" s="32"/>
      <c r="MQ346" s="32"/>
      <c r="MR346" s="32"/>
      <c r="MS346" s="32"/>
      <c r="MT346" s="32"/>
      <c r="MU346" s="32"/>
      <c r="MV346" s="32"/>
      <c r="MW346" s="32"/>
      <c r="MX346" s="32"/>
      <c r="MY346" s="32"/>
      <c r="MZ346" s="32"/>
      <c r="NA346" s="32"/>
      <c r="NB346" s="32"/>
      <c r="NC346" s="32"/>
      <c r="ND346" s="32"/>
      <c r="NE346" s="32"/>
      <c r="NF346" s="32"/>
      <c r="NG346" s="32"/>
      <c r="NH346" s="32"/>
      <c r="NI346" s="32"/>
      <c r="NJ346" s="32"/>
      <c r="NK346" s="32"/>
      <c r="NL346" s="32"/>
      <c r="NM346" s="32"/>
      <c r="NN346" s="32"/>
      <c r="NO346" s="32"/>
      <c r="NP346" s="32"/>
      <c r="NQ346" s="32"/>
      <c r="NR346" s="32"/>
      <c r="NS346" s="32"/>
      <c r="NT346" s="32"/>
      <c r="NU346" s="32"/>
      <c r="NV346" s="32"/>
      <c r="NW346" s="32"/>
      <c r="NX346" s="32"/>
      <c r="NY346" s="32"/>
      <c r="NZ346" s="32"/>
      <c r="OA346" s="32"/>
      <c r="OB346" s="32"/>
      <c r="OC346" s="32"/>
      <c r="OD346" s="32"/>
      <c r="OE346" s="32"/>
      <c r="OF346" s="32"/>
      <c r="OG346" s="32"/>
      <c r="OH346" s="32"/>
      <c r="OI346" s="32"/>
      <c r="OJ346" s="32"/>
      <c r="OK346" s="32"/>
      <c r="OL346" s="32"/>
      <c r="OM346" s="32"/>
      <c r="ON346" s="32"/>
      <c r="OO346" s="32"/>
      <c r="OP346" s="32"/>
      <c r="OQ346" s="32"/>
      <c r="OR346" s="32"/>
      <c r="OS346" s="32"/>
      <c r="OT346" s="32"/>
      <c r="OU346" s="32"/>
      <c r="OV346" s="32"/>
      <c r="OW346" s="32"/>
      <c r="OX346" s="32"/>
      <c r="OY346" s="32"/>
      <c r="OZ346" s="32"/>
      <c r="PA346" s="32"/>
      <c r="PB346" s="32"/>
      <c r="PC346" s="32"/>
      <c r="PD346" s="32"/>
      <c r="PE346" s="32"/>
      <c r="PF346" s="32"/>
      <c r="PG346" s="32"/>
      <c r="PH346" s="32"/>
      <c r="PI346" s="32"/>
      <c r="PJ346" s="32"/>
      <c r="PK346" s="32"/>
      <c r="PL346" s="32"/>
      <c r="PM346" s="32"/>
      <c r="PN346" s="32"/>
      <c r="PO346" s="32"/>
      <c r="PP346" s="32"/>
      <c r="PQ346" s="32"/>
      <c r="PR346" s="32"/>
      <c r="PS346" s="32"/>
      <c r="PT346" s="32"/>
      <c r="PU346" s="32"/>
      <c r="PV346" s="32"/>
      <c r="PW346" s="32"/>
      <c r="PX346" s="32"/>
      <c r="PY346" s="32"/>
      <c r="PZ346" s="32"/>
      <c r="QA346" s="32"/>
      <c r="QB346" s="32"/>
      <c r="QC346" s="32"/>
      <c r="QD346" s="32"/>
      <c r="QE346" s="32"/>
      <c r="QF346" s="32"/>
      <c r="QG346" s="32"/>
      <c r="QH346" s="32"/>
      <c r="QI346" s="32"/>
      <c r="QJ346" s="32"/>
      <c r="QK346" s="32"/>
      <c r="QL346" s="32"/>
      <c r="QM346" s="32"/>
      <c r="QN346" s="32"/>
      <c r="QO346" s="32"/>
      <c r="QP346" s="32"/>
      <c r="QQ346" s="32"/>
      <c r="QR346" s="32"/>
      <c r="QS346" s="32"/>
      <c r="QT346" s="32"/>
      <c r="QU346" s="32"/>
      <c r="QV346" s="32"/>
      <c r="QW346" s="32"/>
      <c r="QX346" s="32"/>
      <c r="QY346" s="32"/>
      <c r="QZ346" s="32"/>
      <c r="RA346" s="32"/>
      <c r="RB346" s="32"/>
      <c r="RC346" s="32"/>
      <c r="RD346" s="32"/>
      <c r="RE346" s="32"/>
      <c r="RF346" s="32"/>
      <c r="RG346" s="32"/>
      <c r="RH346" s="32"/>
      <c r="RI346" s="32"/>
      <c r="RJ346" s="32"/>
      <c r="RK346" s="32"/>
      <c r="RL346" s="32"/>
      <c r="RM346" s="32"/>
      <c r="RN346" s="32"/>
      <c r="RO346" s="32"/>
      <c r="RP346" s="32"/>
      <c r="RQ346" s="32"/>
      <c r="RR346" s="32"/>
      <c r="RS346" s="32"/>
      <c r="RT346" s="32"/>
      <c r="RU346" s="32"/>
      <c r="RV346" s="32"/>
      <c r="RW346" s="32"/>
      <c r="RX346" s="32"/>
      <c r="RY346" s="32"/>
      <c r="RZ346" s="32"/>
      <c r="SA346" s="32"/>
      <c r="SB346" s="32"/>
      <c r="SC346" s="32"/>
      <c r="SD346" s="32"/>
      <c r="SE346" s="32"/>
      <c r="SF346" s="32"/>
      <c r="SG346" s="32"/>
      <c r="SH346" s="32"/>
      <c r="SI346" s="32"/>
      <c r="SJ346" s="32"/>
      <c r="SK346" s="32"/>
      <c r="SL346" s="32"/>
      <c r="SM346" s="32"/>
      <c r="SN346" s="32"/>
      <c r="SO346" s="32"/>
      <c r="SP346" s="32"/>
      <c r="SQ346" s="32"/>
      <c r="SR346" s="32"/>
      <c r="SS346" s="32"/>
      <c r="ST346" s="32"/>
      <c r="SU346" s="32"/>
      <c r="SV346" s="32"/>
      <c r="SW346" s="32"/>
      <c r="SX346" s="32"/>
      <c r="SY346" s="32"/>
      <c r="SZ346" s="32"/>
      <c r="TA346" s="32"/>
      <c r="TB346" s="32"/>
      <c r="TC346" s="32"/>
      <c r="TD346" s="32"/>
      <c r="TE346" s="32"/>
    </row>
    <row r="347" spans="1:525" s="27" customFormat="1" ht="30" hidden="1" customHeight="1" x14ac:dyDescent="0.25">
      <c r="A347" s="61"/>
      <c r="B347" s="62"/>
      <c r="C347" s="63"/>
      <c r="D347" s="64"/>
      <c r="E347" s="144"/>
      <c r="F347" s="145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79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/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  <c r="FK347" s="32"/>
      <c r="FL347" s="32"/>
      <c r="FM347" s="32"/>
      <c r="FN347" s="32"/>
      <c r="FO347" s="32"/>
      <c r="FP347" s="32"/>
      <c r="FQ347" s="32"/>
      <c r="FR347" s="32"/>
      <c r="FS347" s="32"/>
      <c r="FT347" s="32"/>
      <c r="FU347" s="32"/>
      <c r="FV347" s="32"/>
      <c r="FW347" s="32"/>
      <c r="FX347" s="32"/>
      <c r="FY347" s="32"/>
      <c r="FZ347" s="32"/>
      <c r="GA347" s="32"/>
      <c r="GB347" s="32"/>
      <c r="GC347" s="32"/>
      <c r="GD347" s="32"/>
      <c r="GE347" s="32"/>
      <c r="GF347" s="32"/>
      <c r="GG347" s="32"/>
      <c r="GH347" s="32"/>
      <c r="GI347" s="32"/>
      <c r="GJ347" s="32"/>
      <c r="GK347" s="32"/>
      <c r="GL347" s="32"/>
      <c r="GM347" s="32"/>
      <c r="GN347" s="32"/>
      <c r="GO347" s="32"/>
      <c r="GP347" s="32"/>
      <c r="GQ347" s="32"/>
      <c r="GR347" s="32"/>
      <c r="GS347" s="32"/>
      <c r="GT347" s="32"/>
      <c r="GU347" s="32"/>
      <c r="GV347" s="32"/>
      <c r="GW347" s="32"/>
      <c r="GX347" s="32"/>
      <c r="GY347" s="32"/>
      <c r="GZ347" s="32"/>
      <c r="HA347" s="32"/>
      <c r="HB347" s="32"/>
      <c r="HC347" s="32"/>
      <c r="HD347" s="32"/>
      <c r="HE347" s="32"/>
      <c r="HF347" s="32"/>
      <c r="HG347" s="32"/>
      <c r="HH347" s="32"/>
      <c r="HI347" s="32"/>
      <c r="HJ347" s="32"/>
      <c r="HK347" s="32"/>
      <c r="HL347" s="32"/>
      <c r="HM347" s="32"/>
      <c r="HN347" s="32"/>
      <c r="HO347" s="32"/>
      <c r="HP347" s="32"/>
      <c r="HQ347" s="32"/>
      <c r="HR347" s="32"/>
      <c r="HS347" s="32"/>
      <c r="HT347" s="32"/>
      <c r="HU347" s="32"/>
      <c r="HV347" s="32"/>
      <c r="HW347" s="32"/>
      <c r="HX347" s="32"/>
      <c r="HY347" s="32"/>
      <c r="HZ347" s="32"/>
      <c r="IA347" s="32"/>
      <c r="IB347" s="32"/>
      <c r="IC347" s="32"/>
      <c r="ID347" s="32"/>
      <c r="IE347" s="32"/>
      <c r="IF347" s="32"/>
      <c r="IG347" s="32"/>
      <c r="IH347" s="32"/>
      <c r="II347" s="32"/>
      <c r="IJ347" s="32"/>
      <c r="IK347" s="32"/>
      <c r="IL347" s="32"/>
      <c r="IM347" s="32"/>
      <c r="IN347" s="32"/>
      <c r="IO347" s="32"/>
      <c r="IP347" s="32"/>
      <c r="IQ347" s="32"/>
      <c r="IR347" s="32"/>
      <c r="IS347" s="32"/>
      <c r="IT347" s="32"/>
      <c r="IU347" s="32"/>
      <c r="IV347" s="32"/>
      <c r="IW347" s="32"/>
      <c r="IX347" s="32"/>
      <c r="IY347" s="32"/>
      <c r="IZ347" s="32"/>
      <c r="JA347" s="32"/>
      <c r="JB347" s="32"/>
      <c r="JC347" s="32"/>
      <c r="JD347" s="32"/>
      <c r="JE347" s="32"/>
      <c r="JF347" s="32"/>
      <c r="JG347" s="32"/>
      <c r="JH347" s="32"/>
      <c r="JI347" s="32"/>
      <c r="JJ347" s="32"/>
      <c r="JK347" s="32"/>
      <c r="JL347" s="32"/>
      <c r="JM347" s="32"/>
      <c r="JN347" s="32"/>
      <c r="JO347" s="32"/>
      <c r="JP347" s="32"/>
      <c r="JQ347" s="32"/>
      <c r="JR347" s="32"/>
      <c r="JS347" s="32"/>
      <c r="JT347" s="32"/>
      <c r="JU347" s="32"/>
      <c r="JV347" s="32"/>
      <c r="JW347" s="32"/>
      <c r="JX347" s="32"/>
      <c r="JY347" s="32"/>
      <c r="JZ347" s="32"/>
      <c r="KA347" s="32"/>
      <c r="KB347" s="32"/>
      <c r="KC347" s="32"/>
      <c r="KD347" s="32"/>
      <c r="KE347" s="32"/>
      <c r="KF347" s="32"/>
      <c r="KG347" s="32"/>
      <c r="KH347" s="32"/>
      <c r="KI347" s="32"/>
      <c r="KJ347" s="32"/>
      <c r="KK347" s="32"/>
      <c r="KL347" s="32"/>
      <c r="KM347" s="32"/>
      <c r="KN347" s="32"/>
      <c r="KO347" s="32"/>
      <c r="KP347" s="32"/>
      <c r="KQ347" s="32"/>
      <c r="KR347" s="32"/>
      <c r="KS347" s="32"/>
      <c r="KT347" s="32"/>
      <c r="KU347" s="32"/>
      <c r="KV347" s="32"/>
      <c r="KW347" s="32"/>
      <c r="KX347" s="32"/>
      <c r="KY347" s="32"/>
      <c r="KZ347" s="32"/>
      <c r="LA347" s="32"/>
      <c r="LB347" s="32"/>
      <c r="LC347" s="32"/>
      <c r="LD347" s="32"/>
      <c r="LE347" s="32"/>
      <c r="LF347" s="32"/>
      <c r="LG347" s="32"/>
      <c r="LH347" s="32"/>
      <c r="LI347" s="32"/>
      <c r="LJ347" s="32"/>
      <c r="LK347" s="32"/>
      <c r="LL347" s="32"/>
      <c r="LM347" s="32"/>
      <c r="LN347" s="32"/>
      <c r="LO347" s="32"/>
      <c r="LP347" s="32"/>
      <c r="LQ347" s="32"/>
      <c r="LR347" s="32"/>
      <c r="LS347" s="32"/>
      <c r="LT347" s="32"/>
      <c r="LU347" s="32"/>
      <c r="LV347" s="32"/>
      <c r="LW347" s="32"/>
      <c r="LX347" s="32"/>
      <c r="LY347" s="32"/>
      <c r="LZ347" s="32"/>
      <c r="MA347" s="32"/>
      <c r="MB347" s="32"/>
      <c r="MC347" s="32"/>
      <c r="MD347" s="32"/>
      <c r="ME347" s="32"/>
      <c r="MF347" s="32"/>
      <c r="MG347" s="32"/>
      <c r="MH347" s="32"/>
      <c r="MI347" s="32"/>
      <c r="MJ347" s="32"/>
      <c r="MK347" s="32"/>
      <c r="ML347" s="32"/>
      <c r="MM347" s="32"/>
      <c r="MN347" s="32"/>
      <c r="MO347" s="32"/>
      <c r="MP347" s="32"/>
      <c r="MQ347" s="32"/>
      <c r="MR347" s="32"/>
      <c r="MS347" s="32"/>
      <c r="MT347" s="32"/>
      <c r="MU347" s="32"/>
      <c r="MV347" s="32"/>
      <c r="MW347" s="32"/>
      <c r="MX347" s="32"/>
      <c r="MY347" s="32"/>
      <c r="MZ347" s="32"/>
      <c r="NA347" s="32"/>
      <c r="NB347" s="32"/>
      <c r="NC347" s="32"/>
      <c r="ND347" s="32"/>
      <c r="NE347" s="32"/>
      <c r="NF347" s="32"/>
      <c r="NG347" s="32"/>
      <c r="NH347" s="32"/>
      <c r="NI347" s="32"/>
      <c r="NJ347" s="32"/>
      <c r="NK347" s="32"/>
      <c r="NL347" s="32"/>
      <c r="NM347" s="32"/>
      <c r="NN347" s="32"/>
      <c r="NO347" s="32"/>
      <c r="NP347" s="32"/>
      <c r="NQ347" s="32"/>
      <c r="NR347" s="32"/>
      <c r="NS347" s="32"/>
      <c r="NT347" s="32"/>
      <c r="NU347" s="32"/>
      <c r="NV347" s="32"/>
      <c r="NW347" s="32"/>
      <c r="NX347" s="32"/>
      <c r="NY347" s="32"/>
      <c r="NZ347" s="32"/>
      <c r="OA347" s="32"/>
      <c r="OB347" s="32"/>
      <c r="OC347" s="32"/>
      <c r="OD347" s="32"/>
      <c r="OE347" s="32"/>
      <c r="OF347" s="32"/>
      <c r="OG347" s="32"/>
      <c r="OH347" s="32"/>
      <c r="OI347" s="32"/>
      <c r="OJ347" s="32"/>
      <c r="OK347" s="32"/>
      <c r="OL347" s="32"/>
      <c r="OM347" s="32"/>
      <c r="ON347" s="32"/>
      <c r="OO347" s="32"/>
      <c r="OP347" s="32"/>
      <c r="OQ347" s="32"/>
      <c r="OR347" s="32"/>
      <c r="OS347" s="32"/>
      <c r="OT347" s="32"/>
      <c r="OU347" s="32"/>
      <c r="OV347" s="32"/>
      <c r="OW347" s="32"/>
      <c r="OX347" s="32"/>
      <c r="OY347" s="32"/>
      <c r="OZ347" s="32"/>
      <c r="PA347" s="32"/>
      <c r="PB347" s="32"/>
      <c r="PC347" s="32"/>
      <c r="PD347" s="32"/>
      <c r="PE347" s="32"/>
      <c r="PF347" s="32"/>
      <c r="PG347" s="32"/>
      <c r="PH347" s="32"/>
      <c r="PI347" s="32"/>
      <c r="PJ347" s="32"/>
      <c r="PK347" s="32"/>
      <c r="PL347" s="32"/>
      <c r="PM347" s="32"/>
      <c r="PN347" s="32"/>
      <c r="PO347" s="32"/>
      <c r="PP347" s="32"/>
      <c r="PQ347" s="32"/>
      <c r="PR347" s="32"/>
      <c r="PS347" s="32"/>
      <c r="PT347" s="32"/>
      <c r="PU347" s="32"/>
      <c r="PV347" s="32"/>
      <c r="PW347" s="32"/>
      <c r="PX347" s="32"/>
      <c r="PY347" s="32"/>
      <c r="PZ347" s="32"/>
      <c r="QA347" s="32"/>
      <c r="QB347" s="32"/>
      <c r="QC347" s="32"/>
      <c r="QD347" s="32"/>
      <c r="QE347" s="32"/>
      <c r="QF347" s="32"/>
      <c r="QG347" s="32"/>
      <c r="QH347" s="32"/>
      <c r="QI347" s="32"/>
      <c r="QJ347" s="32"/>
      <c r="QK347" s="32"/>
      <c r="QL347" s="32"/>
      <c r="QM347" s="32"/>
      <c r="QN347" s="32"/>
      <c r="QO347" s="32"/>
      <c r="QP347" s="32"/>
      <c r="QQ347" s="32"/>
      <c r="QR347" s="32"/>
      <c r="QS347" s="32"/>
      <c r="QT347" s="32"/>
      <c r="QU347" s="32"/>
      <c r="QV347" s="32"/>
      <c r="QW347" s="32"/>
      <c r="QX347" s="32"/>
      <c r="QY347" s="32"/>
      <c r="QZ347" s="32"/>
      <c r="RA347" s="32"/>
      <c r="RB347" s="32"/>
      <c r="RC347" s="32"/>
      <c r="RD347" s="32"/>
      <c r="RE347" s="32"/>
      <c r="RF347" s="32"/>
      <c r="RG347" s="32"/>
      <c r="RH347" s="32"/>
      <c r="RI347" s="32"/>
      <c r="RJ347" s="32"/>
      <c r="RK347" s="32"/>
      <c r="RL347" s="32"/>
      <c r="RM347" s="32"/>
      <c r="RN347" s="32"/>
      <c r="RO347" s="32"/>
      <c r="RP347" s="32"/>
      <c r="RQ347" s="32"/>
      <c r="RR347" s="32"/>
      <c r="RS347" s="32"/>
      <c r="RT347" s="32"/>
      <c r="RU347" s="32"/>
      <c r="RV347" s="32"/>
      <c r="RW347" s="32"/>
      <c r="RX347" s="32"/>
      <c r="RY347" s="32"/>
      <c r="RZ347" s="32"/>
      <c r="SA347" s="32"/>
      <c r="SB347" s="32"/>
      <c r="SC347" s="32"/>
      <c r="SD347" s="32"/>
      <c r="SE347" s="32"/>
      <c r="SF347" s="32"/>
      <c r="SG347" s="32"/>
      <c r="SH347" s="32"/>
      <c r="SI347" s="32"/>
      <c r="SJ347" s="32"/>
      <c r="SK347" s="32"/>
      <c r="SL347" s="32"/>
      <c r="SM347" s="32"/>
      <c r="SN347" s="32"/>
      <c r="SO347" s="32"/>
      <c r="SP347" s="32"/>
      <c r="SQ347" s="32"/>
      <c r="SR347" s="32"/>
      <c r="SS347" s="32"/>
      <c r="ST347" s="32"/>
      <c r="SU347" s="32"/>
      <c r="SV347" s="32"/>
      <c r="SW347" s="32"/>
      <c r="SX347" s="32"/>
      <c r="SY347" s="32"/>
      <c r="SZ347" s="32"/>
      <c r="TA347" s="32"/>
      <c r="TB347" s="32"/>
      <c r="TC347" s="32"/>
      <c r="TD347" s="32"/>
      <c r="TE347" s="32"/>
    </row>
    <row r="348" spans="1:525" s="119" customFormat="1" ht="40.5" customHeight="1" x14ac:dyDescent="0.55000000000000004">
      <c r="A348" s="116" t="s">
        <v>630</v>
      </c>
      <c r="B348" s="117"/>
      <c r="C348" s="118"/>
      <c r="D348" s="114"/>
      <c r="E348" s="144"/>
      <c r="F348" s="145"/>
      <c r="G348" s="114"/>
      <c r="H348" s="114"/>
      <c r="I348" s="114"/>
      <c r="J348" s="114"/>
      <c r="K348" s="146"/>
      <c r="L348" s="146"/>
      <c r="M348" s="114"/>
      <c r="N348" s="114" t="s">
        <v>631</v>
      </c>
      <c r="O348" s="147"/>
      <c r="P348" s="147"/>
      <c r="Q348" s="179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  <c r="IN348" s="120"/>
      <c r="IO348" s="120"/>
      <c r="IP348" s="120"/>
      <c r="IQ348" s="120"/>
      <c r="IR348" s="120"/>
      <c r="IS348" s="120"/>
      <c r="IT348" s="120"/>
      <c r="IU348" s="120"/>
      <c r="IV348" s="120"/>
      <c r="IW348" s="120"/>
      <c r="IX348" s="120"/>
      <c r="IY348" s="120"/>
      <c r="IZ348" s="120"/>
      <c r="JA348" s="120"/>
      <c r="JB348" s="120"/>
      <c r="JC348" s="120"/>
      <c r="JD348" s="120"/>
      <c r="JE348" s="120"/>
      <c r="JF348" s="120"/>
      <c r="JG348" s="120"/>
      <c r="JH348" s="120"/>
      <c r="JI348" s="120"/>
      <c r="JJ348" s="120"/>
      <c r="JK348" s="120"/>
      <c r="JL348" s="120"/>
      <c r="JM348" s="120"/>
      <c r="JN348" s="120"/>
      <c r="JO348" s="120"/>
      <c r="JP348" s="120"/>
      <c r="JQ348" s="120"/>
      <c r="JR348" s="120"/>
      <c r="JS348" s="120"/>
      <c r="JT348" s="120"/>
      <c r="JU348" s="120"/>
      <c r="JV348" s="120"/>
      <c r="JW348" s="120"/>
      <c r="JX348" s="120"/>
      <c r="JY348" s="120"/>
      <c r="JZ348" s="120"/>
      <c r="KA348" s="120"/>
      <c r="KB348" s="120"/>
      <c r="KC348" s="120"/>
      <c r="KD348" s="120"/>
      <c r="KE348" s="120"/>
      <c r="KF348" s="120"/>
      <c r="KG348" s="120"/>
      <c r="KH348" s="120"/>
      <c r="KI348" s="120"/>
      <c r="KJ348" s="120"/>
      <c r="KK348" s="120"/>
      <c r="KL348" s="120"/>
      <c r="KM348" s="120"/>
      <c r="KN348" s="120"/>
      <c r="KO348" s="120"/>
      <c r="KP348" s="120"/>
      <c r="KQ348" s="120"/>
      <c r="KR348" s="120"/>
      <c r="KS348" s="120"/>
      <c r="KT348" s="120"/>
      <c r="KU348" s="120"/>
      <c r="KV348" s="120"/>
      <c r="KW348" s="120"/>
      <c r="KX348" s="120"/>
      <c r="KY348" s="120"/>
      <c r="KZ348" s="120"/>
      <c r="LA348" s="120"/>
      <c r="LB348" s="120"/>
      <c r="LC348" s="120"/>
      <c r="LD348" s="120"/>
      <c r="LE348" s="120"/>
      <c r="LF348" s="120"/>
      <c r="LG348" s="120"/>
      <c r="LH348" s="120"/>
      <c r="LI348" s="120"/>
      <c r="LJ348" s="120"/>
      <c r="LK348" s="120"/>
      <c r="LL348" s="120"/>
      <c r="LM348" s="120"/>
      <c r="LN348" s="120"/>
      <c r="LO348" s="120"/>
      <c r="LP348" s="120"/>
      <c r="LQ348" s="120"/>
      <c r="LR348" s="120"/>
      <c r="LS348" s="120"/>
      <c r="LT348" s="120"/>
      <c r="LU348" s="120"/>
      <c r="LV348" s="120"/>
      <c r="LW348" s="120"/>
      <c r="LX348" s="120"/>
      <c r="LY348" s="120"/>
      <c r="LZ348" s="120"/>
      <c r="MA348" s="120"/>
      <c r="MB348" s="120"/>
      <c r="MC348" s="120"/>
      <c r="MD348" s="120"/>
      <c r="ME348" s="120"/>
      <c r="MF348" s="120"/>
      <c r="MG348" s="120"/>
      <c r="MH348" s="120"/>
      <c r="MI348" s="120"/>
      <c r="MJ348" s="120"/>
      <c r="MK348" s="120"/>
      <c r="ML348" s="120"/>
      <c r="MM348" s="120"/>
      <c r="MN348" s="120"/>
      <c r="MO348" s="120"/>
      <c r="MP348" s="120"/>
      <c r="MQ348" s="120"/>
      <c r="MR348" s="120"/>
      <c r="MS348" s="120"/>
      <c r="MT348" s="120"/>
      <c r="MU348" s="120"/>
      <c r="MV348" s="120"/>
      <c r="MW348" s="120"/>
      <c r="MX348" s="120"/>
      <c r="MY348" s="120"/>
      <c r="MZ348" s="120"/>
      <c r="NA348" s="120"/>
      <c r="NB348" s="120"/>
      <c r="NC348" s="120"/>
      <c r="ND348" s="120"/>
      <c r="NE348" s="120"/>
      <c r="NF348" s="120"/>
      <c r="NG348" s="120"/>
      <c r="NH348" s="120"/>
      <c r="NI348" s="120"/>
      <c r="NJ348" s="120"/>
      <c r="NK348" s="120"/>
      <c r="NL348" s="120"/>
      <c r="NM348" s="120"/>
      <c r="NN348" s="120"/>
      <c r="NO348" s="120"/>
      <c r="NP348" s="120"/>
      <c r="NQ348" s="120"/>
      <c r="NR348" s="120"/>
      <c r="NS348" s="120"/>
      <c r="NT348" s="120"/>
      <c r="NU348" s="120"/>
      <c r="NV348" s="120"/>
      <c r="NW348" s="120"/>
      <c r="NX348" s="120"/>
      <c r="NY348" s="120"/>
      <c r="NZ348" s="120"/>
      <c r="OA348" s="120"/>
      <c r="OB348" s="120"/>
      <c r="OC348" s="120"/>
      <c r="OD348" s="120"/>
      <c r="OE348" s="120"/>
      <c r="OF348" s="120"/>
      <c r="OG348" s="120"/>
      <c r="OH348" s="120"/>
      <c r="OI348" s="120"/>
      <c r="OJ348" s="120"/>
      <c r="OK348" s="120"/>
      <c r="OL348" s="120"/>
      <c r="OM348" s="120"/>
      <c r="ON348" s="120"/>
      <c r="OO348" s="120"/>
      <c r="OP348" s="120"/>
      <c r="OQ348" s="120"/>
      <c r="OR348" s="120"/>
      <c r="OS348" s="120"/>
      <c r="OT348" s="120"/>
      <c r="OU348" s="120"/>
      <c r="OV348" s="120"/>
      <c r="OW348" s="120"/>
      <c r="OX348" s="120"/>
      <c r="OY348" s="120"/>
      <c r="OZ348" s="120"/>
      <c r="PA348" s="120"/>
      <c r="PB348" s="120"/>
      <c r="PC348" s="120"/>
      <c r="PD348" s="120"/>
      <c r="PE348" s="120"/>
      <c r="PF348" s="120"/>
      <c r="PG348" s="120"/>
      <c r="PH348" s="120"/>
      <c r="PI348" s="120"/>
      <c r="PJ348" s="120"/>
      <c r="PK348" s="120"/>
      <c r="PL348" s="120"/>
      <c r="PM348" s="120"/>
      <c r="PN348" s="120"/>
      <c r="PO348" s="120"/>
      <c r="PP348" s="120"/>
      <c r="PQ348" s="120"/>
      <c r="PR348" s="120"/>
      <c r="PS348" s="120"/>
      <c r="PT348" s="120"/>
      <c r="PU348" s="120"/>
      <c r="PV348" s="120"/>
      <c r="PW348" s="120"/>
      <c r="PX348" s="120"/>
      <c r="PY348" s="120"/>
      <c r="PZ348" s="120"/>
      <c r="QA348" s="120"/>
      <c r="QB348" s="120"/>
      <c r="QC348" s="120"/>
      <c r="QD348" s="120"/>
      <c r="QE348" s="120"/>
      <c r="QF348" s="120"/>
      <c r="QG348" s="120"/>
      <c r="QH348" s="120"/>
      <c r="QI348" s="120"/>
      <c r="QJ348" s="120"/>
      <c r="QK348" s="120"/>
      <c r="QL348" s="120"/>
      <c r="QM348" s="120"/>
      <c r="QN348" s="120"/>
      <c r="QO348" s="120"/>
      <c r="QP348" s="120"/>
      <c r="QQ348" s="120"/>
      <c r="QR348" s="120"/>
      <c r="QS348" s="120"/>
      <c r="QT348" s="120"/>
      <c r="QU348" s="120"/>
      <c r="QV348" s="120"/>
      <c r="QW348" s="120"/>
      <c r="QX348" s="120"/>
      <c r="QY348" s="120"/>
      <c r="QZ348" s="120"/>
      <c r="RA348" s="120"/>
      <c r="RB348" s="120"/>
      <c r="RC348" s="120"/>
      <c r="RD348" s="120"/>
      <c r="RE348" s="120"/>
      <c r="RF348" s="120"/>
      <c r="RG348" s="120"/>
      <c r="RH348" s="120"/>
      <c r="RI348" s="120"/>
      <c r="RJ348" s="120"/>
      <c r="RK348" s="120"/>
      <c r="RL348" s="120"/>
      <c r="RM348" s="120"/>
      <c r="RN348" s="120"/>
      <c r="RO348" s="120"/>
      <c r="RP348" s="120"/>
      <c r="RQ348" s="120"/>
      <c r="RR348" s="120"/>
      <c r="RS348" s="120"/>
      <c r="RT348" s="120"/>
      <c r="RU348" s="120"/>
      <c r="RV348" s="120"/>
      <c r="RW348" s="120"/>
      <c r="RX348" s="120"/>
      <c r="RY348" s="120"/>
      <c r="RZ348" s="120"/>
      <c r="SA348" s="120"/>
      <c r="SB348" s="120"/>
      <c r="SC348" s="120"/>
      <c r="SD348" s="120"/>
      <c r="SE348" s="120"/>
      <c r="SF348" s="120"/>
      <c r="SG348" s="120"/>
      <c r="SH348" s="120"/>
      <c r="SI348" s="120"/>
      <c r="SJ348" s="120"/>
      <c r="SK348" s="120"/>
      <c r="SL348" s="120"/>
      <c r="SM348" s="120"/>
      <c r="SN348" s="120"/>
      <c r="SO348" s="120"/>
      <c r="SP348" s="120"/>
      <c r="SQ348" s="120"/>
      <c r="SR348" s="120"/>
      <c r="SS348" s="120"/>
      <c r="ST348" s="120"/>
      <c r="SU348" s="120"/>
      <c r="SV348" s="120"/>
      <c r="SW348" s="120"/>
      <c r="SX348" s="120"/>
      <c r="SY348" s="120"/>
      <c r="SZ348" s="120"/>
      <c r="TA348" s="120"/>
      <c r="TB348" s="120"/>
      <c r="TC348" s="120"/>
      <c r="TD348" s="120"/>
      <c r="TE348" s="120"/>
    </row>
    <row r="349" spans="1:525" s="28" customFormat="1" ht="18.75" customHeight="1" x14ac:dyDescent="0.25">
      <c r="A349" s="53"/>
      <c r="B349" s="58"/>
      <c r="C349" s="58"/>
      <c r="D349" s="35"/>
      <c r="E349" s="144"/>
      <c r="F349" s="145"/>
      <c r="G349" s="129"/>
      <c r="H349" s="129"/>
      <c r="I349" s="129"/>
      <c r="J349" s="129"/>
      <c r="K349" s="129"/>
      <c r="L349" s="129"/>
      <c r="M349" s="129"/>
      <c r="N349" s="129"/>
      <c r="O349" s="129"/>
      <c r="P349" s="148"/>
      <c r="Q349" s="179"/>
    </row>
    <row r="350" spans="1:525" s="125" customFormat="1" ht="18.75" x14ac:dyDescent="0.3">
      <c r="A350" s="123"/>
      <c r="B350" s="123"/>
      <c r="C350" s="123"/>
      <c r="D350" s="124"/>
      <c r="E350" s="151">
        <f>E338-'дод 7'!D262</f>
        <v>0</v>
      </c>
      <c r="F350" s="151">
        <f>F338-'дод 7'!E262</f>
        <v>0</v>
      </c>
      <c r="G350" s="151">
        <f>G338-'дод 7'!F262</f>
        <v>0</v>
      </c>
      <c r="H350" s="151">
        <f>H338-'дод 7'!G262</f>
        <v>0</v>
      </c>
      <c r="I350" s="151">
        <f>I338-'дод 7'!H262</f>
        <v>0</v>
      </c>
      <c r="J350" s="151">
        <f>J338-'дод 7'!I262</f>
        <v>0</v>
      </c>
      <c r="K350" s="151">
        <f>K338-'дод 7'!J262</f>
        <v>0</v>
      </c>
      <c r="L350" s="151">
        <f>L338-'дод 7'!K262</f>
        <v>0</v>
      </c>
      <c r="M350" s="151">
        <f>M338-'дод 7'!L262</f>
        <v>0</v>
      </c>
      <c r="N350" s="151">
        <f>N338-'дод 7'!M262</f>
        <v>0</v>
      </c>
      <c r="O350" s="151">
        <f>O338-'дод 7'!N262</f>
        <v>0</v>
      </c>
      <c r="P350" s="151">
        <f>P338-'дод 7'!O262</f>
        <v>0</v>
      </c>
      <c r="Q350" s="171"/>
    </row>
    <row r="351" spans="1:525" s="125" customFormat="1" ht="18.75" x14ac:dyDescent="0.3">
      <c r="A351" s="123"/>
      <c r="B351" s="123"/>
      <c r="C351" s="123"/>
      <c r="D351" s="124"/>
      <c r="E351" s="151">
        <f>E339-'дод 7'!D263</f>
        <v>0</v>
      </c>
      <c r="F351" s="151">
        <f>F339-'дод 7'!E263</f>
        <v>0</v>
      </c>
      <c r="G351" s="151">
        <f>G339-'дод 7'!F263</f>
        <v>0</v>
      </c>
      <c r="H351" s="151">
        <f>H339-'дод 7'!G263</f>
        <v>0</v>
      </c>
      <c r="I351" s="151">
        <f>I339-'дод 7'!H263</f>
        <v>0</v>
      </c>
      <c r="J351" s="151">
        <f>J339-'дод 7'!I263</f>
        <v>0</v>
      </c>
      <c r="K351" s="151">
        <f>K339-'дод 7'!J263</f>
        <v>0</v>
      </c>
      <c r="L351" s="151">
        <f>L339-'дод 7'!K263</f>
        <v>0</v>
      </c>
      <c r="M351" s="151">
        <f>M339-'дод 7'!L263</f>
        <v>0</v>
      </c>
      <c r="N351" s="151">
        <f>N339-'дод 7'!M263</f>
        <v>0</v>
      </c>
      <c r="O351" s="151">
        <f>O339-'дод 7'!N263</f>
        <v>0</v>
      </c>
      <c r="P351" s="151">
        <f>P339-'дод 7'!O263</f>
        <v>0</v>
      </c>
      <c r="Q351" s="171"/>
    </row>
    <row r="352" spans="1:525" s="125" customFormat="1" ht="18.75" x14ac:dyDescent="0.3">
      <c r="A352" s="123"/>
      <c r="B352" s="123"/>
      <c r="C352" s="123"/>
      <c r="D352" s="124"/>
      <c r="E352" s="151">
        <f>E340-'дод 7'!D264</f>
        <v>0</v>
      </c>
      <c r="F352" s="151">
        <f>F340-'дод 7'!E264</f>
        <v>0</v>
      </c>
      <c r="G352" s="151">
        <f>G340-'дод 7'!F264</f>
        <v>0</v>
      </c>
      <c r="H352" s="151">
        <f>H340-'дод 7'!G264</f>
        <v>0</v>
      </c>
      <c r="I352" s="151">
        <f>I340-'дод 7'!H264</f>
        <v>0</v>
      </c>
      <c r="J352" s="151">
        <f>J340-'дод 7'!I264</f>
        <v>0</v>
      </c>
      <c r="K352" s="151">
        <f>K340-'дод 7'!J264</f>
        <v>0</v>
      </c>
      <c r="L352" s="151">
        <f>L340-'дод 7'!K264</f>
        <v>0</v>
      </c>
      <c r="M352" s="151">
        <f>M340-'дод 7'!L264</f>
        <v>0</v>
      </c>
      <c r="N352" s="151">
        <f>N340-'дод 7'!M264</f>
        <v>0</v>
      </c>
      <c r="O352" s="151">
        <f>O340-'дод 7'!N264</f>
        <v>0</v>
      </c>
      <c r="P352" s="151">
        <f>P340-'дод 7'!O264</f>
        <v>0</v>
      </c>
      <c r="Q352" s="171"/>
    </row>
    <row r="353" spans="1:17" s="125" customFormat="1" ht="18.75" x14ac:dyDescent="0.3">
      <c r="A353" s="123"/>
      <c r="B353" s="123"/>
      <c r="C353" s="123"/>
      <c r="D353" s="124"/>
      <c r="E353" s="151">
        <f>E341-'дод 7'!D265</f>
        <v>0</v>
      </c>
      <c r="F353" s="151">
        <f>F341-'дод 7'!E265</f>
        <v>0</v>
      </c>
      <c r="G353" s="151">
        <f>G341-'дод 7'!F265</f>
        <v>0</v>
      </c>
      <c r="H353" s="151">
        <f>H341-'дод 7'!G265</f>
        <v>0</v>
      </c>
      <c r="I353" s="151">
        <f>I341-'дод 7'!H265</f>
        <v>0</v>
      </c>
      <c r="J353" s="151">
        <f>J341-'дод 7'!I265</f>
        <v>0</v>
      </c>
      <c r="K353" s="151">
        <f>K341-'дод 7'!J265</f>
        <v>0</v>
      </c>
      <c r="L353" s="151">
        <f>L341-'дод 7'!K265</f>
        <v>0</v>
      </c>
      <c r="M353" s="151">
        <f>M341-'дод 7'!L265</f>
        <v>0</v>
      </c>
      <c r="N353" s="151">
        <f>N341-'дод 7'!M265</f>
        <v>0</v>
      </c>
      <c r="O353" s="151">
        <f>O341-'дод 7'!N265</f>
        <v>0</v>
      </c>
      <c r="P353" s="151">
        <f>P341-'дод 7'!O265</f>
        <v>0</v>
      </c>
      <c r="Q353" s="171"/>
    </row>
    <row r="354" spans="1:17" s="128" customFormat="1" x14ac:dyDescent="0.25">
      <c r="A354" s="126"/>
      <c r="B354" s="126"/>
      <c r="C354" s="126"/>
      <c r="D354" s="127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48"/>
      <c r="Q354" s="171"/>
    </row>
    <row r="355" spans="1:17" s="28" customFormat="1" x14ac:dyDescent="0.25">
      <c r="A355" s="53"/>
      <c r="B355" s="58"/>
      <c r="C355" s="58"/>
      <c r="D355" s="35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48"/>
      <c r="Q355" s="174"/>
    </row>
    <row r="356" spans="1:17" s="28" customFormat="1" x14ac:dyDescent="0.25">
      <c r="A356" s="53"/>
      <c r="B356" s="58"/>
      <c r="C356" s="58"/>
      <c r="D356" s="35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48"/>
      <c r="Q356" s="174"/>
    </row>
    <row r="357" spans="1:17" s="28" customFormat="1" x14ac:dyDescent="0.25">
      <c r="A357" s="53"/>
      <c r="B357" s="58"/>
      <c r="C357" s="58"/>
      <c r="D357" s="35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48"/>
      <c r="Q357" s="174"/>
    </row>
    <row r="358" spans="1:17" s="28" customFormat="1" x14ac:dyDescent="0.25">
      <c r="A358" s="53"/>
      <c r="B358" s="58"/>
      <c r="C358" s="58"/>
      <c r="D358" s="35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48"/>
      <c r="Q358" s="174"/>
    </row>
    <row r="359" spans="1:17" s="28" customFormat="1" x14ac:dyDescent="0.25">
      <c r="A359" s="53"/>
      <c r="B359" s="58"/>
      <c r="C359" s="58"/>
      <c r="D359" s="35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48"/>
      <c r="Q359" s="174"/>
    </row>
    <row r="360" spans="1:17" s="28" customFormat="1" x14ac:dyDescent="0.25">
      <c r="A360" s="53"/>
      <c r="B360" s="58"/>
      <c r="C360" s="58"/>
      <c r="D360" s="35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48"/>
      <c r="Q360" s="174"/>
    </row>
    <row r="361" spans="1:17" s="28" customFormat="1" x14ac:dyDescent="0.25">
      <c r="A361" s="53"/>
      <c r="B361" s="58"/>
      <c r="C361" s="58"/>
      <c r="D361" s="35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48"/>
      <c r="Q361" s="174"/>
    </row>
    <row r="362" spans="1:17" s="28" customFormat="1" x14ac:dyDescent="0.25">
      <c r="A362" s="53"/>
      <c r="B362" s="58"/>
      <c r="C362" s="58"/>
      <c r="D362" s="35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48"/>
      <c r="Q362" s="174"/>
    </row>
    <row r="363" spans="1:17" s="28" customFormat="1" x14ac:dyDescent="0.25">
      <c r="A363" s="53"/>
      <c r="B363" s="58"/>
      <c r="C363" s="58"/>
      <c r="D363" s="35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48"/>
      <c r="Q363" s="174"/>
    </row>
    <row r="364" spans="1:17" s="28" customFormat="1" x14ac:dyDescent="0.25">
      <c r="A364" s="53"/>
      <c r="B364" s="58"/>
      <c r="C364" s="58"/>
      <c r="D364" s="35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48"/>
      <c r="Q364" s="174"/>
    </row>
    <row r="365" spans="1:17" s="28" customFormat="1" x14ac:dyDescent="0.25">
      <c r="A365" s="53"/>
      <c r="B365" s="58"/>
      <c r="C365" s="58"/>
      <c r="D365" s="35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48"/>
      <c r="Q365" s="174"/>
    </row>
    <row r="366" spans="1:17" s="28" customFormat="1" x14ac:dyDescent="0.25">
      <c r="A366" s="53"/>
      <c r="B366" s="58"/>
      <c r="C366" s="58"/>
      <c r="D366" s="35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48"/>
      <c r="Q366" s="174"/>
    </row>
    <row r="367" spans="1:17" s="28" customFormat="1" x14ac:dyDescent="0.25">
      <c r="A367" s="53"/>
      <c r="B367" s="58"/>
      <c r="C367" s="58"/>
      <c r="D367" s="35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48"/>
      <c r="Q367" s="174"/>
    </row>
    <row r="368" spans="1:17" s="28" customFormat="1" x14ac:dyDescent="0.25">
      <c r="A368" s="53"/>
      <c r="B368" s="58"/>
      <c r="C368" s="58"/>
      <c r="D368" s="35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48"/>
      <c r="Q368" s="174"/>
    </row>
    <row r="369" spans="1:17" s="28" customFormat="1" x14ac:dyDescent="0.25">
      <c r="A369" s="53"/>
      <c r="B369" s="58"/>
      <c r="C369" s="58"/>
      <c r="D369" s="35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48"/>
      <c r="Q369" s="174"/>
    </row>
    <row r="370" spans="1:17" s="28" customFormat="1" x14ac:dyDescent="0.25">
      <c r="A370" s="53"/>
      <c r="B370" s="58"/>
      <c r="C370" s="58"/>
      <c r="D370" s="35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48"/>
      <c r="Q370" s="174"/>
    </row>
    <row r="371" spans="1:17" s="28" customFormat="1" x14ac:dyDescent="0.25">
      <c r="A371" s="53"/>
      <c r="B371" s="58"/>
      <c r="C371" s="58"/>
      <c r="D371" s="35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48"/>
      <c r="Q371" s="174"/>
    </row>
    <row r="372" spans="1:17" s="28" customFormat="1" x14ac:dyDescent="0.25">
      <c r="A372" s="53"/>
      <c r="B372" s="58"/>
      <c r="C372" s="58"/>
      <c r="D372" s="35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48"/>
      <c r="Q372" s="174"/>
    </row>
    <row r="373" spans="1:17" s="28" customFormat="1" x14ac:dyDescent="0.25">
      <c r="A373" s="53"/>
      <c r="B373" s="58"/>
      <c r="C373" s="58"/>
      <c r="D373" s="35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48"/>
      <c r="Q373" s="174"/>
    </row>
    <row r="374" spans="1:17" s="28" customFormat="1" x14ac:dyDescent="0.25">
      <c r="A374" s="53"/>
      <c r="B374" s="58"/>
      <c r="C374" s="58"/>
      <c r="D374" s="35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48"/>
      <c r="Q374" s="174"/>
    </row>
    <row r="375" spans="1:17" s="28" customFormat="1" x14ac:dyDescent="0.25">
      <c r="A375" s="53"/>
      <c r="B375" s="58"/>
      <c r="C375" s="58"/>
      <c r="D375" s="35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48"/>
      <c r="Q375" s="174"/>
    </row>
    <row r="376" spans="1:17" s="28" customFormat="1" x14ac:dyDescent="0.25">
      <c r="A376" s="53"/>
      <c r="B376" s="58"/>
      <c r="C376" s="58"/>
      <c r="D376" s="35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48"/>
      <c r="Q376" s="174"/>
    </row>
    <row r="377" spans="1:17" s="28" customFormat="1" x14ac:dyDescent="0.25">
      <c r="A377" s="53"/>
      <c r="B377" s="58"/>
      <c r="C377" s="58"/>
      <c r="D377" s="35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48"/>
      <c r="Q377" s="174"/>
    </row>
    <row r="378" spans="1:17" s="28" customFormat="1" x14ac:dyDescent="0.25">
      <c r="A378" s="53"/>
      <c r="B378" s="58"/>
      <c r="C378" s="58"/>
      <c r="D378" s="35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48"/>
      <c r="Q378" s="174"/>
    </row>
    <row r="379" spans="1:17" s="28" customFormat="1" x14ac:dyDescent="0.25">
      <c r="A379" s="53"/>
      <c r="B379" s="58"/>
      <c r="C379" s="58"/>
      <c r="D379" s="35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48"/>
      <c r="Q379" s="174"/>
    </row>
    <row r="380" spans="1:17" s="28" customFormat="1" x14ac:dyDescent="0.25">
      <c r="A380" s="53"/>
      <c r="B380" s="58"/>
      <c r="C380" s="58"/>
      <c r="D380" s="35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48"/>
      <c r="Q380" s="174"/>
    </row>
    <row r="381" spans="1:17" s="28" customFormat="1" x14ac:dyDescent="0.25">
      <c r="A381" s="53"/>
      <c r="B381" s="58"/>
      <c r="C381" s="58"/>
      <c r="D381" s="35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48"/>
      <c r="Q381" s="174"/>
    </row>
    <row r="382" spans="1:17" s="28" customFormat="1" x14ac:dyDescent="0.25">
      <c r="A382" s="53"/>
      <c r="B382" s="58"/>
      <c r="C382" s="58"/>
      <c r="D382" s="35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48"/>
      <c r="Q382" s="174"/>
    </row>
    <row r="383" spans="1:17" s="28" customFormat="1" x14ac:dyDescent="0.25">
      <c r="A383" s="53"/>
      <c r="B383" s="58"/>
      <c r="C383" s="58"/>
      <c r="D383" s="35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48"/>
      <c r="Q383" s="174"/>
    </row>
    <row r="384" spans="1:17" s="28" customFormat="1" x14ac:dyDescent="0.25">
      <c r="A384" s="53"/>
      <c r="B384" s="58"/>
      <c r="C384" s="58"/>
      <c r="D384" s="35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48"/>
      <c r="Q384" s="174"/>
    </row>
    <row r="385" spans="1:17" s="28" customFormat="1" x14ac:dyDescent="0.25">
      <c r="A385" s="53"/>
      <c r="B385" s="58"/>
      <c r="C385" s="58"/>
      <c r="D385" s="35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48"/>
      <c r="Q385" s="174"/>
    </row>
    <row r="386" spans="1:17" s="28" customFormat="1" x14ac:dyDescent="0.25">
      <c r="A386" s="53"/>
      <c r="B386" s="58"/>
      <c r="C386" s="58"/>
      <c r="D386" s="35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48"/>
      <c r="Q386" s="174"/>
    </row>
    <row r="387" spans="1:17" s="28" customFormat="1" x14ac:dyDescent="0.25">
      <c r="A387" s="53"/>
      <c r="B387" s="58"/>
      <c r="C387" s="58"/>
      <c r="D387" s="35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48"/>
      <c r="Q387" s="174"/>
    </row>
    <row r="388" spans="1:17" s="28" customFormat="1" x14ac:dyDescent="0.25">
      <c r="A388" s="53"/>
      <c r="B388" s="58"/>
      <c r="C388" s="58"/>
      <c r="D388" s="35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48"/>
      <c r="Q388" s="174"/>
    </row>
    <row r="389" spans="1:17" s="28" customFormat="1" x14ac:dyDescent="0.25">
      <c r="A389" s="53"/>
      <c r="B389" s="58"/>
      <c r="C389" s="58"/>
      <c r="D389" s="35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48"/>
      <c r="Q389" s="174"/>
    </row>
    <row r="390" spans="1:17" s="28" customFormat="1" x14ac:dyDescent="0.25">
      <c r="A390" s="53"/>
      <c r="B390" s="58"/>
      <c r="C390" s="58"/>
      <c r="D390" s="35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48"/>
      <c r="Q390" s="174"/>
    </row>
    <row r="391" spans="1:17" s="28" customFormat="1" x14ac:dyDescent="0.25">
      <c r="A391" s="53"/>
      <c r="B391" s="58"/>
      <c r="C391" s="58"/>
      <c r="D391" s="35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48"/>
      <c r="Q391" s="174"/>
    </row>
    <row r="392" spans="1:17" s="28" customFormat="1" x14ac:dyDescent="0.25">
      <c r="A392" s="53"/>
      <c r="B392" s="58"/>
      <c r="C392" s="58"/>
      <c r="D392" s="35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48"/>
      <c r="Q392" s="174"/>
    </row>
    <row r="393" spans="1:17" s="28" customFormat="1" x14ac:dyDescent="0.25">
      <c r="A393" s="53"/>
      <c r="B393" s="58"/>
      <c r="C393" s="58"/>
      <c r="D393" s="35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48"/>
      <c r="Q393" s="174"/>
    </row>
    <row r="394" spans="1:17" s="28" customFormat="1" x14ac:dyDescent="0.25">
      <c r="A394" s="53"/>
      <c r="B394" s="58"/>
      <c r="C394" s="58"/>
      <c r="D394" s="35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48"/>
      <c r="Q394" s="174"/>
    </row>
    <row r="395" spans="1:17" s="28" customFormat="1" x14ac:dyDescent="0.25">
      <c r="A395" s="53"/>
      <c r="B395" s="58"/>
      <c r="C395" s="58"/>
      <c r="D395" s="35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48"/>
      <c r="Q395" s="174"/>
    </row>
    <row r="396" spans="1:17" s="28" customFormat="1" x14ac:dyDescent="0.25">
      <c r="A396" s="53"/>
      <c r="B396" s="58"/>
      <c r="C396" s="58"/>
      <c r="D396" s="35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48"/>
      <c r="Q396" s="174"/>
    </row>
    <row r="397" spans="1:17" s="28" customFormat="1" x14ac:dyDescent="0.25">
      <c r="A397" s="53"/>
      <c r="B397" s="58"/>
      <c r="C397" s="58"/>
      <c r="D397" s="35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48"/>
      <c r="Q397" s="174"/>
    </row>
    <row r="398" spans="1:17" s="28" customFormat="1" x14ac:dyDescent="0.25">
      <c r="A398" s="53"/>
      <c r="B398" s="58"/>
      <c r="C398" s="58"/>
      <c r="D398" s="35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48"/>
      <c r="Q398" s="174"/>
    </row>
    <row r="399" spans="1:17" s="28" customFormat="1" x14ac:dyDescent="0.25">
      <c r="A399" s="53"/>
      <c r="B399" s="58"/>
      <c r="C399" s="58"/>
      <c r="D399" s="35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48"/>
      <c r="Q399" s="174"/>
    </row>
    <row r="400" spans="1:17" s="28" customFormat="1" x14ac:dyDescent="0.25">
      <c r="A400" s="53"/>
      <c r="B400" s="58"/>
      <c r="C400" s="58"/>
      <c r="D400" s="35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48"/>
      <c r="Q400" s="174"/>
    </row>
    <row r="401" spans="1:17" s="28" customFormat="1" x14ac:dyDescent="0.25">
      <c r="A401" s="53"/>
      <c r="B401" s="58"/>
      <c r="C401" s="58"/>
      <c r="D401" s="35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48"/>
      <c r="Q401" s="174"/>
    </row>
    <row r="402" spans="1:17" s="28" customFormat="1" x14ac:dyDescent="0.25">
      <c r="A402" s="53"/>
      <c r="B402" s="58"/>
      <c r="C402" s="58"/>
      <c r="D402" s="35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48"/>
      <c r="Q402" s="174"/>
    </row>
    <row r="403" spans="1:17" s="28" customFormat="1" x14ac:dyDescent="0.25">
      <c r="A403" s="53"/>
      <c r="B403" s="58"/>
      <c r="C403" s="58"/>
      <c r="D403" s="35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48"/>
      <c r="Q403" s="174"/>
    </row>
    <row r="404" spans="1:17" s="28" customFormat="1" x14ac:dyDescent="0.25">
      <c r="A404" s="53"/>
      <c r="B404" s="58"/>
      <c r="C404" s="58"/>
      <c r="D404" s="35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48"/>
      <c r="Q404" s="174"/>
    </row>
    <row r="405" spans="1:17" s="28" customFormat="1" x14ac:dyDescent="0.25">
      <c r="A405" s="53"/>
      <c r="B405" s="58"/>
      <c r="C405" s="58"/>
      <c r="D405" s="35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48"/>
      <c r="Q405" s="174"/>
    </row>
    <row r="406" spans="1:17" s="28" customFormat="1" x14ac:dyDescent="0.25">
      <c r="A406" s="53"/>
      <c r="B406" s="58"/>
      <c r="C406" s="58"/>
      <c r="D406" s="35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48"/>
      <c r="Q406" s="174"/>
    </row>
    <row r="407" spans="1:17" s="28" customFormat="1" x14ac:dyDescent="0.25">
      <c r="A407" s="53"/>
      <c r="B407" s="58"/>
      <c r="C407" s="58"/>
      <c r="D407" s="35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48"/>
      <c r="Q407" s="174"/>
    </row>
    <row r="408" spans="1:17" s="28" customFormat="1" x14ac:dyDescent="0.25">
      <c r="A408" s="53"/>
      <c r="B408" s="58"/>
      <c r="C408" s="58"/>
      <c r="D408" s="35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48"/>
      <c r="Q408" s="174"/>
    </row>
    <row r="409" spans="1:17" s="28" customFormat="1" x14ac:dyDescent="0.25">
      <c r="A409" s="53"/>
      <c r="B409" s="58"/>
      <c r="C409" s="58"/>
      <c r="D409" s="35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48"/>
      <c r="Q409" s="174"/>
    </row>
    <row r="410" spans="1:17" s="28" customFormat="1" x14ac:dyDescent="0.25">
      <c r="A410" s="53"/>
      <c r="B410" s="58"/>
      <c r="C410" s="58"/>
      <c r="D410" s="35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48"/>
      <c r="Q410" s="174"/>
    </row>
    <row r="411" spans="1:17" s="28" customFormat="1" x14ac:dyDescent="0.25">
      <c r="A411" s="53"/>
      <c r="B411" s="58"/>
      <c r="C411" s="58"/>
      <c r="D411" s="35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48"/>
      <c r="Q411" s="174"/>
    </row>
    <row r="412" spans="1:17" s="28" customFormat="1" x14ac:dyDescent="0.25">
      <c r="A412" s="53"/>
      <c r="B412" s="58"/>
      <c r="C412" s="58"/>
      <c r="D412" s="35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48"/>
      <c r="Q412" s="174"/>
    </row>
    <row r="413" spans="1:17" s="28" customFormat="1" x14ac:dyDescent="0.25">
      <c r="A413" s="53"/>
      <c r="B413" s="58"/>
      <c r="C413" s="58"/>
      <c r="D413" s="35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48"/>
      <c r="Q413" s="174"/>
    </row>
    <row r="414" spans="1:17" s="28" customFormat="1" x14ac:dyDescent="0.25">
      <c r="A414" s="53"/>
      <c r="B414" s="58"/>
      <c r="C414" s="58"/>
      <c r="D414" s="35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48"/>
      <c r="Q414" s="174"/>
    </row>
    <row r="415" spans="1:17" s="28" customFormat="1" x14ac:dyDescent="0.25">
      <c r="A415" s="53"/>
      <c r="B415" s="58"/>
      <c r="C415" s="58"/>
      <c r="D415" s="35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48"/>
      <c r="Q415" s="174"/>
    </row>
    <row r="416" spans="1:17" s="28" customFormat="1" x14ac:dyDescent="0.25">
      <c r="A416" s="53"/>
      <c r="B416" s="58"/>
      <c r="C416" s="58"/>
      <c r="D416" s="35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48"/>
      <c r="Q416" s="174"/>
    </row>
    <row r="417" spans="1:17" s="28" customFormat="1" x14ac:dyDescent="0.25">
      <c r="A417" s="53"/>
      <c r="B417" s="58"/>
      <c r="C417" s="58"/>
      <c r="D417" s="35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48"/>
      <c r="Q417" s="174"/>
    </row>
    <row r="418" spans="1:17" s="28" customFormat="1" x14ac:dyDescent="0.25">
      <c r="A418" s="53"/>
      <c r="B418" s="58"/>
      <c r="C418" s="58"/>
      <c r="D418" s="35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48"/>
      <c r="Q418" s="174"/>
    </row>
    <row r="419" spans="1:17" s="28" customFormat="1" x14ac:dyDescent="0.25">
      <c r="A419" s="53"/>
      <c r="B419" s="58"/>
      <c r="C419" s="58"/>
      <c r="D419" s="35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48"/>
      <c r="Q419" s="174"/>
    </row>
    <row r="420" spans="1:17" s="28" customFormat="1" x14ac:dyDescent="0.25">
      <c r="A420" s="53"/>
      <c r="B420" s="58"/>
      <c r="C420" s="58"/>
      <c r="D420" s="35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48"/>
      <c r="Q420" s="174"/>
    </row>
    <row r="421" spans="1:17" s="28" customFormat="1" x14ac:dyDescent="0.25">
      <c r="A421" s="53"/>
      <c r="B421" s="58"/>
      <c r="C421" s="58"/>
      <c r="D421" s="35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48"/>
      <c r="Q421" s="174"/>
    </row>
    <row r="422" spans="1:17" s="28" customFormat="1" x14ac:dyDescent="0.25">
      <c r="A422" s="53"/>
      <c r="B422" s="58"/>
      <c r="C422" s="58"/>
      <c r="D422" s="35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48"/>
      <c r="Q422" s="174"/>
    </row>
    <row r="423" spans="1:17" s="28" customFormat="1" x14ac:dyDescent="0.25">
      <c r="A423" s="53"/>
      <c r="B423" s="58"/>
      <c r="C423" s="58"/>
      <c r="D423" s="35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48"/>
      <c r="Q423" s="174"/>
    </row>
    <row r="424" spans="1:17" s="28" customFormat="1" x14ac:dyDescent="0.25">
      <c r="A424" s="53"/>
      <c r="B424" s="58"/>
      <c r="C424" s="58"/>
      <c r="D424" s="35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48"/>
      <c r="Q424" s="174"/>
    </row>
    <row r="425" spans="1:17" s="28" customFormat="1" x14ac:dyDescent="0.25">
      <c r="A425" s="53"/>
      <c r="B425" s="58"/>
      <c r="C425" s="58"/>
      <c r="D425" s="35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48"/>
      <c r="Q425" s="174"/>
    </row>
    <row r="426" spans="1:17" s="28" customFormat="1" x14ac:dyDescent="0.25">
      <c r="A426" s="53"/>
      <c r="B426" s="58"/>
      <c r="C426" s="58"/>
      <c r="D426" s="35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48"/>
      <c r="Q426" s="174"/>
    </row>
    <row r="427" spans="1:17" s="28" customFormat="1" x14ac:dyDescent="0.25">
      <c r="A427" s="53"/>
      <c r="B427" s="58"/>
      <c r="C427" s="58"/>
      <c r="D427" s="35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48"/>
      <c r="Q427" s="174"/>
    </row>
    <row r="428" spans="1:17" s="28" customFormat="1" x14ac:dyDescent="0.25">
      <c r="A428" s="53"/>
      <c r="B428" s="58"/>
      <c r="C428" s="58"/>
      <c r="D428" s="35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48"/>
      <c r="Q428" s="174"/>
    </row>
    <row r="429" spans="1:17" s="28" customFormat="1" x14ac:dyDescent="0.25">
      <c r="A429" s="53"/>
      <c r="B429" s="58"/>
      <c r="C429" s="58"/>
      <c r="D429" s="35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48"/>
      <c r="Q429" s="174"/>
    </row>
    <row r="430" spans="1:17" s="28" customFormat="1" x14ac:dyDescent="0.25">
      <c r="A430" s="53"/>
      <c r="B430" s="58"/>
      <c r="C430" s="58"/>
      <c r="D430" s="35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48"/>
      <c r="Q430" s="174"/>
    </row>
    <row r="431" spans="1:17" s="28" customFormat="1" x14ac:dyDescent="0.25">
      <c r="A431" s="53"/>
      <c r="B431" s="58"/>
      <c r="C431" s="58"/>
      <c r="D431" s="35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48"/>
      <c r="Q431" s="174"/>
    </row>
    <row r="432" spans="1:17" s="28" customFormat="1" x14ac:dyDescent="0.25">
      <c r="A432" s="53"/>
      <c r="B432" s="58"/>
      <c r="C432" s="58"/>
      <c r="D432" s="35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48"/>
      <c r="Q432" s="174"/>
    </row>
    <row r="433" spans="1:17" s="28" customFormat="1" x14ac:dyDescent="0.25">
      <c r="A433" s="53"/>
      <c r="B433" s="58"/>
      <c r="C433" s="58"/>
      <c r="D433" s="35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48"/>
      <c r="Q433" s="174"/>
    </row>
    <row r="434" spans="1:17" s="28" customFormat="1" x14ac:dyDescent="0.25">
      <c r="A434" s="53"/>
      <c r="B434" s="58"/>
      <c r="C434" s="58"/>
      <c r="D434" s="35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48"/>
      <c r="Q434" s="174"/>
    </row>
    <row r="435" spans="1:17" s="28" customFormat="1" x14ac:dyDescent="0.25">
      <c r="A435" s="53"/>
      <c r="B435" s="58"/>
      <c r="C435" s="58"/>
      <c r="D435" s="35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48"/>
      <c r="Q435" s="174"/>
    </row>
    <row r="436" spans="1:17" s="28" customFormat="1" x14ac:dyDescent="0.25">
      <c r="A436" s="53"/>
      <c r="B436" s="58"/>
      <c r="C436" s="58"/>
      <c r="D436" s="35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48"/>
      <c r="Q436" s="174"/>
    </row>
    <row r="437" spans="1:17" s="28" customFormat="1" x14ac:dyDescent="0.25">
      <c r="A437" s="53"/>
      <c r="B437" s="58"/>
      <c r="C437" s="58"/>
      <c r="D437" s="35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48"/>
      <c r="Q437" s="174"/>
    </row>
    <row r="438" spans="1:17" s="28" customFormat="1" x14ac:dyDescent="0.25">
      <c r="A438" s="53"/>
      <c r="B438" s="58"/>
      <c r="C438" s="58"/>
      <c r="D438" s="35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48"/>
      <c r="Q438" s="174"/>
    </row>
    <row r="439" spans="1:17" s="28" customFormat="1" x14ac:dyDescent="0.25">
      <c r="A439" s="53"/>
      <c r="B439" s="58"/>
      <c r="C439" s="58"/>
      <c r="D439" s="35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48"/>
      <c r="Q439" s="174"/>
    </row>
    <row r="440" spans="1:17" s="28" customFormat="1" x14ac:dyDescent="0.25">
      <c r="A440" s="53"/>
      <c r="B440" s="58"/>
      <c r="C440" s="58"/>
      <c r="D440" s="35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48"/>
      <c r="Q440" s="174"/>
    </row>
    <row r="441" spans="1:17" s="28" customFormat="1" x14ac:dyDescent="0.25">
      <c r="A441" s="53"/>
      <c r="B441" s="58"/>
      <c r="C441" s="58"/>
      <c r="D441" s="35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48"/>
      <c r="Q441" s="174"/>
    </row>
    <row r="442" spans="1:17" s="28" customFormat="1" x14ac:dyDescent="0.25">
      <c r="A442" s="53"/>
      <c r="B442" s="58"/>
      <c r="C442" s="58"/>
      <c r="D442" s="35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48"/>
      <c r="Q442" s="174"/>
    </row>
    <row r="443" spans="1:17" s="28" customFormat="1" x14ac:dyDescent="0.25">
      <c r="A443" s="53"/>
      <c r="B443" s="58"/>
      <c r="C443" s="58"/>
      <c r="D443" s="35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48"/>
      <c r="Q443" s="174"/>
    </row>
    <row r="444" spans="1:17" s="28" customFormat="1" x14ac:dyDescent="0.25">
      <c r="A444" s="53"/>
      <c r="B444" s="58"/>
      <c r="C444" s="58"/>
      <c r="D444" s="35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48"/>
      <c r="Q444" s="174"/>
    </row>
    <row r="445" spans="1:17" s="28" customFormat="1" x14ac:dyDescent="0.25">
      <c r="A445" s="53"/>
      <c r="B445" s="58"/>
      <c r="C445" s="58"/>
      <c r="D445" s="35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48"/>
      <c r="Q445" s="174"/>
    </row>
    <row r="446" spans="1:17" s="28" customFormat="1" x14ac:dyDescent="0.25">
      <c r="A446" s="53"/>
      <c r="B446" s="58"/>
      <c r="C446" s="58"/>
      <c r="D446" s="35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48"/>
      <c r="Q446" s="174"/>
    </row>
    <row r="447" spans="1:17" s="28" customFormat="1" x14ac:dyDescent="0.25">
      <c r="A447" s="53"/>
      <c r="B447" s="58"/>
      <c r="C447" s="58"/>
      <c r="D447" s="35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48"/>
      <c r="Q447" s="174"/>
    </row>
    <row r="448" spans="1:17" s="28" customFormat="1" x14ac:dyDescent="0.25">
      <c r="A448" s="53"/>
      <c r="B448" s="58"/>
      <c r="C448" s="58"/>
      <c r="D448" s="35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48"/>
      <c r="Q448" s="174"/>
    </row>
    <row r="449" spans="1:17" s="28" customFormat="1" x14ac:dyDescent="0.25">
      <c r="A449" s="53"/>
      <c r="B449" s="58"/>
      <c r="C449" s="58"/>
      <c r="D449" s="35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48"/>
      <c r="Q449" s="174"/>
    </row>
    <row r="450" spans="1:17" s="28" customFormat="1" x14ac:dyDescent="0.25">
      <c r="A450" s="53"/>
      <c r="B450" s="58"/>
      <c r="C450" s="58"/>
      <c r="D450" s="35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48"/>
      <c r="Q450" s="174"/>
    </row>
    <row r="451" spans="1:17" s="28" customFormat="1" x14ac:dyDescent="0.25">
      <c r="A451" s="53"/>
      <c r="B451" s="58"/>
      <c r="C451" s="58"/>
      <c r="D451" s="35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48"/>
      <c r="Q451" s="174"/>
    </row>
    <row r="452" spans="1:17" s="28" customFormat="1" x14ac:dyDescent="0.25">
      <c r="A452" s="53"/>
      <c r="B452" s="58"/>
      <c r="C452" s="58"/>
      <c r="D452" s="35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48"/>
      <c r="Q452" s="174"/>
    </row>
    <row r="453" spans="1:17" s="28" customFormat="1" x14ac:dyDescent="0.25">
      <c r="A453" s="53"/>
      <c r="B453" s="58"/>
      <c r="C453" s="58"/>
      <c r="D453" s="35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48"/>
      <c r="Q453" s="174"/>
    </row>
    <row r="454" spans="1:17" s="28" customFormat="1" x14ac:dyDescent="0.25">
      <c r="A454" s="53"/>
      <c r="B454" s="58"/>
      <c r="C454" s="58"/>
      <c r="D454" s="35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48"/>
      <c r="Q454" s="174"/>
    </row>
    <row r="455" spans="1:17" s="28" customFormat="1" x14ac:dyDescent="0.25">
      <c r="A455" s="53"/>
      <c r="B455" s="58"/>
      <c r="C455" s="58"/>
      <c r="D455" s="35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48"/>
      <c r="Q455" s="174"/>
    </row>
    <row r="456" spans="1:17" s="28" customFormat="1" x14ac:dyDescent="0.25">
      <c r="A456" s="53"/>
      <c r="B456" s="58"/>
      <c r="C456" s="58"/>
      <c r="D456" s="35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48"/>
      <c r="Q456" s="174"/>
    </row>
    <row r="457" spans="1:17" s="28" customFormat="1" x14ac:dyDescent="0.25">
      <c r="A457" s="53"/>
      <c r="B457" s="58"/>
      <c r="C457" s="58"/>
      <c r="D457" s="35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48"/>
      <c r="Q457" s="174"/>
    </row>
    <row r="458" spans="1:17" s="28" customFormat="1" x14ac:dyDescent="0.25">
      <c r="A458" s="53"/>
      <c r="B458" s="58"/>
      <c r="C458" s="58"/>
      <c r="D458" s="35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48"/>
      <c r="Q458" s="174"/>
    </row>
    <row r="459" spans="1:17" s="28" customFormat="1" x14ac:dyDescent="0.25">
      <c r="A459" s="53"/>
      <c r="B459" s="58"/>
      <c r="C459" s="58"/>
      <c r="D459" s="35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48"/>
      <c r="Q459" s="174"/>
    </row>
    <row r="460" spans="1:17" s="28" customFormat="1" x14ac:dyDescent="0.25">
      <c r="A460" s="53"/>
      <c r="B460" s="58"/>
      <c r="C460" s="58"/>
      <c r="D460" s="35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48"/>
      <c r="Q460" s="174"/>
    </row>
    <row r="461" spans="1:17" s="28" customFormat="1" x14ac:dyDescent="0.25">
      <c r="A461" s="53"/>
      <c r="B461" s="58"/>
      <c r="C461" s="58"/>
      <c r="D461" s="35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48"/>
      <c r="Q461" s="174"/>
    </row>
    <row r="462" spans="1:17" s="28" customFormat="1" x14ac:dyDescent="0.25">
      <c r="A462" s="53"/>
      <c r="B462" s="58"/>
      <c r="C462" s="58"/>
      <c r="D462" s="35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48"/>
      <c r="Q462" s="174"/>
    </row>
    <row r="463" spans="1:17" s="28" customFormat="1" x14ac:dyDescent="0.25">
      <c r="A463" s="53"/>
      <c r="B463" s="58"/>
      <c r="C463" s="58"/>
      <c r="D463" s="35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48"/>
      <c r="Q463" s="174"/>
    </row>
    <row r="464" spans="1:17" s="28" customFormat="1" x14ac:dyDescent="0.25">
      <c r="A464" s="53"/>
      <c r="B464" s="58"/>
      <c r="C464" s="58"/>
      <c r="D464" s="35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48"/>
      <c r="Q464" s="174"/>
    </row>
    <row r="465" spans="1:17" s="28" customFormat="1" x14ac:dyDescent="0.25">
      <c r="A465" s="53"/>
      <c r="B465" s="58"/>
      <c r="C465" s="58"/>
      <c r="D465" s="35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48"/>
      <c r="Q465" s="174"/>
    </row>
    <row r="466" spans="1:17" s="28" customFormat="1" x14ac:dyDescent="0.25">
      <c r="A466" s="53"/>
      <c r="B466" s="58"/>
      <c r="C466" s="58"/>
      <c r="D466" s="35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48"/>
      <c r="Q466" s="174"/>
    </row>
    <row r="467" spans="1:17" s="28" customFormat="1" x14ac:dyDescent="0.25">
      <c r="A467" s="53"/>
      <c r="B467" s="58"/>
      <c r="C467" s="58"/>
      <c r="D467" s="35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48"/>
      <c r="Q467" s="174"/>
    </row>
    <row r="468" spans="1:17" s="28" customFormat="1" x14ac:dyDescent="0.25">
      <c r="A468" s="53"/>
      <c r="B468" s="58"/>
      <c r="C468" s="58"/>
      <c r="D468" s="35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48"/>
      <c r="Q468" s="174"/>
    </row>
    <row r="469" spans="1:17" s="28" customFormat="1" x14ac:dyDescent="0.25">
      <c r="A469" s="53"/>
      <c r="B469" s="58"/>
      <c r="C469" s="58"/>
      <c r="D469" s="35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48"/>
      <c r="Q469" s="174"/>
    </row>
    <row r="470" spans="1:17" s="28" customFormat="1" x14ac:dyDescent="0.25">
      <c r="A470" s="53"/>
      <c r="B470" s="58"/>
      <c r="C470" s="58"/>
      <c r="D470" s="35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48"/>
      <c r="Q470" s="174"/>
    </row>
    <row r="471" spans="1:17" s="28" customFormat="1" x14ac:dyDescent="0.25">
      <c r="A471" s="53"/>
      <c r="B471" s="58"/>
      <c r="C471" s="58"/>
      <c r="D471" s="35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48"/>
      <c r="Q471" s="174"/>
    </row>
    <row r="472" spans="1:17" s="28" customFormat="1" x14ac:dyDescent="0.25">
      <c r="A472" s="53"/>
      <c r="B472" s="58"/>
      <c r="C472" s="58"/>
      <c r="D472" s="35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48"/>
      <c r="Q472" s="174"/>
    </row>
    <row r="473" spans="1:17" s="28" customFormat="1" x14ac:dyDescent="0.25">
      <c r="A473" s="53"/>
      <c r="B473" s="58"/>
      <c r="C473" s="58"/>
      <c r="D473" s="35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48"/>
      <c r="Q473" s="174"/>
    </row>
    <row r="474" spans="1:17" s="28" customFormat="1" x14ac:dyDescent="0.25">
      <c r="A474" s="53"/>
      <c r="B474" s="58"/>
      <c r="C474" s="58"/>
      <c r="D474" s="35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48"/>
      <c r="Q474" s="174"/>
    </row>
    <row r="475" spans="1:17" s="28" customFormat="1" x14ac:dyDescent="0.25">
      <c r="A475" s="53"/>
      <c r="B475" s="58"/>
      <c r="C475" s="58"/>
      <c r="D475" s="35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48"/>
      <c r="Q475" s="174"/>
    </row>
    <row r="476" spans="1:17" s="28" customFormat="1" x14ac:dyDescent="0.25">
      <c r="A476" s="53"/>
      <c r="B476" s="58"/>
      <c r="C476" s="58"/>
      <c r="D476" s="35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48"/>
      <c r="Q476" s="174"/>
    </row>
    <row r="477" spans="1:17" s="28" customFormat="1" x14ac:dyDescent="0.25">
      <c r="A477" s="53"/>
      <c r="B477" s="58"/>
      <c r="C477" s="58"/>
      <c r="D477" s="35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48"/>
      <c r="Q477" s="174"/>
    </row>
    <row r="478" spans="1:17" s="28" customFormat="1" x14ac:dyDescent="0.25">
      <c r="A478" s="53"/>
      <c r="B478" s="58"/>
      <c r="C478" s="58"/>
      <c r="D478" s="35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48"/>
      <c r="Q478" s="174"/>
    </row>
    <row r="479" spans="1:17" s="28" customFormat="1" x14ac:dyDescent="0.25">
      <c r="A479" s="53"/>
      <c r="B479" s="58"/>
      <c r="C479" s="58"/>
      <c r="D479" s="35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48"/>
      <c r="Q479" s="174"/>
    </row>
    <row r="480" spans="1:17" s="28" customFormat="1" x14ac:dyDescent="0.25">
      <c r="A480" s="53"/>
      <c r="B480" s="58"/>
      <c r="C480" s="58"/>
      <c r="D480" s="35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48"/>
      <c r="Q480" s="174"/>
    </row>
    <row r="481" spans="1:17" s="28" customFormat="1" x14ac:dyDescent="0.25">
      <c r="A481" s="53"/>
      <c r="B481" s="58"/>
      <c r="C481" s="58"/>
      <c r="D481" s="35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48"/>
      <c r="Q481" s="174"/>
    </row>
    <row r="482" spans="1:17" s="28" customFormat="1" x14ac:dyDescent="0.25">
      <c r="A482" s="53"/>
      <c r="B482" s="58"/>
      <c r="C482" s="58"/>
      <c r="D482" s="35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48"/>
      <c r="Q482" s="174"/>
    </row>
    <row r="483" spans="1:17" s="28" customFormat="1" x14ac:dyDescent="0.25">
      <c r="A483" s="53"/>
      <c r="B483" s="58"/>
      <c r="C483" s="58"/>
      <c r="D483" s="35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48"/>
      <c r="Q483" s="174"/>
    </row>
    <row r="484" spans="1:17" s="28" customFormat="1" x14ac:dyDescent="0.25">
      <c r="A484" s="53"/>
      <c r="B484" s="58"/>
      <c r="C484" s="58"/>
      <c r="D484" s="35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48"/>
      <c r="Q484" s="174"/>
    </row>
    <row r="485" spans="1:17" s="28" customFormat="1" x14ac:dyDescent="0.25">
      <c r="A485" s="53"/>
      <c r="B485" s="58"/>
      <c r="C485" s="58"/>
      <c r="D485" s="35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48"/>
      <c r="Q485" s="174"/>
    </row>
    <row r="486" spans="1:17" s="28" customFormat="1" x14ac:dyDescent="0.25">
      <c r="A486" s="53"/>
      <c r="B486" s="58"/>
      <c r="C486" s="58"/>
      <c r="D486" s="35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48"/>
      <c r="Q486" s="174"/>
    </row>
    <row r="487" spans="1:17" s="28" customFormat="1" x14ac:dyDescent="0.25">
      <c r="A487" s="53"/>
      <c r="B487" s="58"/>
      <c r="C487" s="58"/>
      <c r="D487" s="35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48"/>
      <c r="Q487" s="174"/>
    </row>
    <row r="488" spans="1:17" s="28" customFormat="1" x14ac:dyDescent="0.25">
      <c r="A488" s="53"/>
      <c r="B488" s="58"/>
      <c r="C488" s="58"/>
      <c r="D488" s="35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48"/>
      <c r="Q488" s="174"/>
    </row>
    <row r="489" spans="1:17" s="28" customFormat="1" x14ac:dyDescent="0.25">
      <c r="A489" s="53"/>
      <c r="B489" s="58"/>
      <c r="C489" s="58"/>
      <c r="D489" s="35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48"/>
      <c r="Q489" s="174"/>
    </row>
    <row r="490" spans="1:17" s="28" customFormat="1" x14ac:dyDescent="0.25">
      <c r="A490" s="53"/>
      <c r="B490" s="58"/>
      <c r="C490" s="58"/>
      <c r="D490" s="35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48"/>
      <c r="Q490" s="174"/>
    </row>
    <row r="491" spans="1:17" s="28" customFormat="1" x14ac:dyDescent="0.25">
      <c r="A491" s="53"/>
      <c r="B491" s="58"/>
      <c r="C491" s="58"/>
      <c r="D491" s="35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48"/>
      <c r="Q491" s="174"/>
    </row>
    <row r="492" spans="1:17" s="28" customFormat="1" x14ac:dyDescent="0.25">
      <c r="A492" s="53"/>
      <c r="B492" s="58"/>
      <c r="C492" s="58"/>
      <c r="D492" s="35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48"/>
      <c r="Q492" s="174"/>
    </row>
    <row r="493" spans="1:17" s="28" customFormat="1" x14ac:dyDescent="0.25">
      <c r="A493" s="53"/>
      <c r="B493" s="58"/>
      <c r="C493" s="58"/>
      <c r="D493" s="35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48"/>
      <c r="Q493" s="174"/>
    </row>
    <row r="494" spans="1:17" s="28" customFormat="1" x14ac:dyDescent="0.25">
      <c r="A494" s="53"/>
      <c r="B494" s="58"/>
      <c r="C494" s="58"/>
      <c r="D494" s="35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48"/>
      <c r="Q494" s="174"/>
    </row>
    <row r="495" spans="1:17" s="28" customFormat="1" x14ac:dyDescent="0.25">
      <c r="A495" s="53"/>
      <c r="B495" s="58"/>
      <c r="C495" s="58"/>
      <c r="D495" s="35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48"/>
      <c r="Q495" s="174"/>
    </row>
    <row r="496" spans="1:17" s="28" customFormat="1" x14ac:dyDescent="0.25">
      <c r="A496" s="53"/>
      <c r="B496" s="58"/>
      <c r="C496" s="58"/>
      <c r="D496" s="35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48"/>
      <c r="Q496" s="174"/>
    </row>
    <row r="497" spans="1:17" s="28" customFormat="1" x14ac:dyDescent="0.25">
      <c r="A497" s="53"/>
      <c r="B497" s="58"/>
      <c r="C497" s="58"/>
      <c r="D497" s="35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48"/>
      <c r="Q497" s="174"/>
    </row>
    <row r="498" spans="1:17" s="28" customFormat="1" x14ac:dyDescent="0.25">
      <c r="A498" s="53"/>
      <c r="B498" s="58"/>
      <c r="C498" s="58"/>
      <c r="D498" s="35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48"/>
      <c r="Q498" s="174"/>
    </row>
    <row r="499" spans="1:17" s="28" customFormat="1" x14ac:dyDescent="0.25">
      <c r="A499" s="53"/>
      <c r="B499" s="58"/>
      <c r="C499" s="58"/>
      <c r="D499" s="35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48"/>
      <c r="Q499" s="174"/>
    </row>
    <row r="500" spans="1:17" s="28" customFormat="1" x14ac:dyDescent="0.25">
      <c r="A500" s="53"/>
      <c r="B500" s="58"/>
      <c r="C500" s="58"/>
      <c r="D500" s="35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48"/>
      <c r="Q500" s="174"/>
    </row>
    <row r="501" spans="1:17" s="28" customFormat="1" x14ac:dyDescent="0.25">
      <c r="A501" s="53"/>
      <c r="B501" s="58"/>
      <c r="C501" s="58"/>
      <c r="D501" s="35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48"/>
      <c r="Q501" s="174"/>
    </row>
    <row r="502" spans="1:17" s="28" customFormat="1" x14ac:dyDescent="0.25">
      <c r="A502" s="53"/>
      <c r="B502" s="58"/>
      <c r="C502" s="58"/>
      <c r="D502" s="35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48"/>
      <c r="Q502" s="174"/>
    </row>
    <row r="503" spans="1:17" s="28" customFormat="1" x14ac:dyDescent="0.25">
      <c r="A503" s="53"/>
      <c r="B503" s="58"/>
      <c r="C503" s="58"/>
      <c r="D503" s="35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48"/>
      <c r="Q503" s="174"/>
    </row>
    <row r="504" spans="1:17" s="28" customFormat="1" x14ac:dyDescent="0.25">
      <c r="A504" s="53"/>
      <c r="B504" s="58"/>
      <c r="C504" s="58"/>
      <c r="D504" s="35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48"/>
      <c r="Q504" s="174"/>
    </row>
    <row r="505" spans="1:17" s="28" customFormat="1" x14ac:dyDescent="0.25">
      <c r="A505" s="53"/>
      <c r="B505" s="58"/>
      <c r="C505" s="58"/>
      <c r="D505" s="35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48"/>
      <c r="Q505" s="174"/>
    </row>
    <row r="506" spans="1:17" s="28" customFormat="1" x14ac:dyDescent="0.25">
      <c r="A506" s="53"/>
      <c r="B506" s="58"/>
      <c r="C506" s="58"/>
      <c r="D506" s="35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48"/>
      <c r="Q506" s="174"/>
    </row>
    <row r="507" spans="1:17" s="28" customFormat="1" x14ac:dyDescent="0.25">
      <c r="A507" s="53"/>
      <c r="B507" s="58"/>
      <c r="C507" s="58"/>
      <c r="D507" s="35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48"/>
      <c r="Q507" s="174"/>
    </row>
    <row r="508" spans="1:17" s="28" customFormat="1" x14ac:dyDescent="0.25">
      <c r="A508" s="53"/>
      <c r="B508" s="58"/>
      <c r="C508" s="58"/>
      <c r="D508" s="35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48"/>
      <c r="Q508" s="174"/>
    </row>
    <row r="509" spans="1:17" s="28" customFormat="1" x14ac:dyDescent="0.25">
      <c r="A509" s="53"/>
      <c r="B509" s="58"/>
      <c r="C509" s="58"/>
      <c r="D509" s="35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48"/>
      <c r="Q509" s="174"/>
    </row>
    <row r="510" spans="1:17" s="28" customFormat="1" x14ac:dyDescent="0.25">
      <c r="A510" s="53"/>
      <c r="B510" s="58"/>
      <c r="C510" s="58"/>
      <c r="D510" s="35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48"/>
      <c r="Q510" s="174"/>
    </row>
    <row r="511" spans="1:17" s="28" customFormat="1" x14ac:dyDescent="0.25">
      <c r="A511" s="53"/>
      <c r="B511" s="58"/>
      <c r="C511" s="58"/>
      <c r="D511" s="35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48"/>
      <c r="Q511" s="174"/>
    </row>
    <row r="512" spans="1:17" s="28" customFormat="1" x14ac:dyDescent="0.25">
      <c r="A512" s="53"/>
      <c r="B512" s="58"/>
      <c r="C512" s="58"/>
      <c r="D512" s="35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48"/>
      <c r="Q512" s="174"/>
    </row>
    <row r="513" spans="1:17" s="28" customFormat="1" x14ac:dyDescent="0.25">
      <c r="A513" s="53"/>
      <c r="B513" s="58"/>
      <c r="C513" s="58"/>
      <c r="D513" s="35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48"/>
      <c r="Q513" s="174"/>
    </row>
    <row r="514" spans="1:17" s="28" customFormat="1" x14ac:dyDescent="0.25">
      <c r="A514" s="53"/>
      <c r="B514" s="58"/>
      <c r="C514" s="58"/>
      <c r="D514" s="35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48"/>
      <c r="Q514" s="174"/>
    </row>
    <row r="515" spans="1:17" s="28" customFormat="1" x14ac:dyDescent="0.25">
      <c r="A515" s="53"/>
      <c r="B515" s="58"/>
      <c r="C515" s="58"/>
      <c r="D515" s="35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48"/>
      <c r="Q515" s="174"/>
    </row>
    <row r="516" spans="1:17" s="28" customFormat="1" x14ac:dyDescent="0.25">
      <c r="A516" s="53"/>
      <c r="B516" s="58"/>
      <c r="C516" s="58"/>
      <c r="D516" s="35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48"/>
      <c r="Q516" s="174"/>
    </row>
    <row r="517" spans="1:17" s="28" customFormat="1" x14ac:dyDescent="0.25">
      <c r="A517" s="53"/>
      <c r="B517" s="58"/>
      <c r="C517" s="58"/>
      <c r="D517" s="35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48"/>
      <c r="Q517" s="174"/>
    </row>
    <row r="518" spans="1:17" s="28" customFormat="1" x14ac:dyDescent="0.25">
      <c r="A518" s="53"/>
      <c r="B518" s="58"/>
      <c r="C518" s="58"/>
      <c r="D518" s="35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48"/>
      <c r="Q518" s="174"/>
    </row>
    <row r="519" spans="1:17" s="28" customFormat="1" x14ac:dyDescent="0.25">
      <c r="A519" s="53"/>
      <c r="B519" s="58"/>
      <c r="C519" s="58"/>
      <c r="D519" s="35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48"/>
      <c r="Q519" s="174"/>
    </row>
    <row r="520" spans="1:17" s="28" customFormat="1" x14ac:dyDescent="0.25">
      <c r="A520" s="53"/>
      <c r="B520" s="58"/>
      <c r="C520" s="58"/>
      <c r="D520" s="35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48"/>
      <c r="Q520" s="174"/>
    </row>
    <row r="521" spans="1:17" s="28" customFormat="1" x14ac:dyDescent="0.25">
      <c r="A521" s="53"/>
      <c r="B521" s="58"/>
      <c r="C521" s="58"/>
      <c r="D521" s="35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48"/>
      <c r="Q521" s="174"/>
    </row>
    <row r="522" spans="1:17" s="28" customFormat="1" x14ac:dyDescent="0.25">
      <c r="A522" s="53"/>
      <c r="B522" s="58"/>
      <c r="C522" s="58"/>
      <c r="D522" s="35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48"/>
      <c r="Q522" s="174"/>
    </row>
    <row r="523" spans="1:17" s="28" customFormat="1" x14ac:dyDescent="0.25">
      <c r="A523" s="53"/>
      <c r="B523" s="58"/>
      <c r="C523" s="58"/>
      <c r="D523" s="35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48"/>
      <c r="Q523" s="174"/>
    </row>
    <row r="524" spans="1:17" s="28" customFormat="1" x14ac:dyDescent="0.25">
      <c r="A524" s="53"/>
      <c r="B524" s="58"/>
      <c r="C524" s="58"/>
      <c r="D524" s="35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48"/>
      <c r="Q524" s="174"/>
    </row>
    <row r="525" spans="1:17" s="28" customFormat="1" x14ac:dyDescent="0.25">
      <c r="A525" s="53"/>
      <c r="B525" s="58"/>
      <c r="C525" s="58"/>
      <c r="D525" s="35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48"/>
      <c r="Q525" s="174"/>
    </row>
    <row r="526" spans="1:17" s="28" customFormat="1" x14ac:dyDescent="0.25">
      <c r="A526" s="53"/>
      <c r="B526" s="58"/>
      <c r="C526" s="58"/>
      <c r="D526" s="35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48"/>
      <c r="Q526" s="174"/>
    </row>
    <row r="527" spans="1:17" s="28" customFormat="1" x14ac:dyDescent="0.25">
      <c r="A527" s="53"/>
      <c r="B527" s="58"/>
      <c r="C527" s="58"/>
      <c r="D527" s="35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48"/>
      <c r="Q527" s="174"/>
    </row>
    <row r="528" spans="1:17" s="28" customFormat="1" x14ac:dyDescent="0.25">
      <c r="A528" s="53"/>
      <c r="B528" s="58"/>
      <c r="C528" s="58"/>
      <c r="D528" s="35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48"/>
      <c r="Q528" s="174"/>
    </row>
    <row r="529" spans="1:17" s="28" customFormat="1" x14ac:dyDescent="0.25">
      <c r="A529" s="53"/>
      <c r="B529" s="58"/>
      <c r="C529" s="58"/>
      <c r="D529" s="35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48"/>
      <c r="Q529" s="174"/>
    </row>
    <row r="530" spans="1:17" s="28" customFormat="1" x14ac:dyDescent="0.25">
      <c r="A530" s="53"/>
      <c r="B530" s="58"/>
      <c r="C530" s="58"/>
      <c r="D530" s="35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48"/>
      <c r="Q530" s="174"/>
    </row>
    <row r="531" spans="1:17" s="28" customFormat="1" x14ac:dyDescent="0.25">
      <c r="A531" s="53"/>
      <c r="B531" s="58"/>
      <c r="C531" s="58"/>
      <c r="D531" s="35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48"/>
      <c r="Q531" s="174"/>
    </row>
    <row r="532" spans="1:17" s="28" customFormat="1" x14ac:dyDescent="0.25">
      <c r="A532" s="53"/>
      <c r="B532" s="58"/>
      <c r="C532" s="58"/>
      <c r="D532" s="35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48"/>
      <c r="Q532" s="174"/>
    </row>
    <row r="533" spans="1:17" s="28" customFormat="1" x14ac:dyDescent="0.25">
      <c r="A533" s="53"/>
      <c r="B533" s="58"/>
      <c r="C533" s="58"/>
      <c r="D533" s="35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48"/>
      <c r="Q533" s="174"/>
    </row>
    <row r="534" spans="1:17" s="28" customFormat="1" x14ac:dyDescent="0.25">
      <c r="A534" s="53"/>
      <c r="B534" s="58"/>
      <c r="C534" s="58"/>
      <c r="D534" s="35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48"/>
      <c r="Q534" s="174"/>
    </row>
    <row r="535" spans="1:17" s="28" customFormat="1" x14ac:dyDescent="0.25">
      <c r="A535" s="53"/>
      <c r="B535" s="58"/>
      <c r="C535" s="58"/>
      <c r="D535" s="35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48"/>
      <c r="Q535" s="174"/>
    </row>
    <row r="536" spans="1:17" s="28" customFormat="1" x14ac:dyDescent="0.25">
      <c r="A536" s="53"/>
      <c r="B536" s="58"/>
      <c r="C536" s="58"/>
      <c r="D536" s="35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48"/>
      <c r="Q536" s="174"/>
    </row>
    <row r="537" spans="1:17" s="28" customFormat="1" x14ac:dyDescent="0.25">
      <c r="A537" s="53"/>
      <c r="B537" s="58"/>
      <c r="C537" s="58"/>
      <c r="D537" s="35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48"/>
      <c r="Q537" s="174"/>
    </row>
    <row r="538" spans="1:17" s="28" customFormat="1" x14ac:dyDescent="0.25">
      <c r="A538" s="53"/>
      <c r="B538" s="58"/>
      <c r="C538" s="58"/>
      <c r="D538" s="35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48"/>
      <c r="Q538" s="174"/>
    </row>
    <row r="539" spans="1:17" s="28" customFormat="1" x14ac:dyDescent="0.25">
      <c r="A539" s="53"/>
      <c r="B539" s="58"/>
      <c r="C539" s="58"/>
      <c r="D539" s="35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48"/>
      <c r="Q539" s="174"/>
    </row>
    <row r="540" spans="1:17" s="28" customFormat="1" x14ac:dyDescent="0.25">
      <c r="A540" s="53"/>
      <c r="B540" s="58"/>
      <c r="C540" s="58"/>
      <c r="D540" s="35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48"/>
      <c r="Q540" s="174"/>
    </row>
    <row r="541" spans="1:17" s="28" customFormat="1" x14ac:dyDescent="0.25">
      <c r="A541" s="53"/>
      <c r="B541" s="58"/>
      <c r="C541" s="58"/>
      <c r="D541" s="35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48"/>
      <c r="Q541" s="174"/>
    </row>
    <row r="542" spans="1:17" s="28" customFormat="1" x14ac:dyDescent="0.25">
      <c r="A542" s="53"/>
      <c r="B542" s="58"/>
      <c r="C542" s="58"/>
      <c r="D542" s="35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48"/>
      <c r="Q542" s="174"/>
    </row>
    <row r="543" spans="1:17" s="28" customFormat="1" x14ac:dyDescent="0.25">
      <c r="A543" s="53"/>
      <c r="B543" s="58"/>
      <c r="C543" s="58"/>
      <c r="D543" s="35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48"/>
      <c r="Q543" s="174"/>
    </row>
    <row r="544" spans="1:17" s="28" customFormat="1" x14ac:dyDescent="0.25">
      <c r="A544" s="53"/>
      <c r="B544" s="58"/>
      <c r="C544" s="58"/>
      <c r="D544" s="35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48"/>
      <c r="Q544" s="174"/>
    </row>
    <row r="545" spans="1:17" s="28" customFormat="1" x14ac:dyDescent="0.25">
      <c r="A545" s="53"/>
      <c r="B545" s="58"/>
      <c r="C545" s="58"/>
      <c r="D545" s="35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48"/>
      <c r="Q545" s="174"/>
    </row>
    <row r="546" spans="1:17" s="28" customFormat="1" x14ac:dyDescent="0.25">
      <c r="A546" s="53"/>
      <c r="B546" s="58"/>
      <c r="C546" s="58"/>
      <c r="D546" s="35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48"/>
      <c r="Q546" s="174"/>
    </row>
    <row r="547" spans="1:17" s="28" customFormat="1" x14ac:dyDescent="0.25">
      <c r="A547" s="53"/>
      <c r="B547" s="58"/>
      <c r="C547" s="58"/>
      <c r="D547" s="35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48"/>
      <c r="Q547" s="174"/>
    </row>
    <row r="548" spans="1:17" s="28" customFormat="1" x14ac:dyDescent="0.25">
      <c r="A548" s="53"/>
      <c r="B548" s="58"/>
      <c r="C548" s="58"/>
      <c r="D548" s="35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48"/>
      <c r="Q548" s="174"/>
    </row>
    <row r="549" spans="1:17" s="28" customFormat="1" x14ac:dyDescent="0.25">
      <c r="A549" s="53"/>
      <c r="B549" s="58"/>
      <c r="C549" s="58"/>
      <c r="D549" s="35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48"/>
      <c r="Q549" s="174"/>
    </row>
    <row r="550" spans="1:17" s="28" customFormat="1" x14ac:dyDescent="0.25">
      <c r="A550" s="53"/>
      <c r="B550" s="58"/>
      <c r="C550" s="58"/>
      <c r="D550" s="35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48"/>
      <c r="Q550" s="174"/>
    </row>
    <row r="551" spans="1:17" s="28" customFormat="1" x14ac:dyDescent="0.25">
      <c r="A551" s="53"/>
      <c r="B551" s="58"/>
      <c r="C551" s="58"/>
      <c r="D551" s="35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48"/>
      <c r="Q551" s="174"/>
    </row>
    <row r="552" spans="1:17" s="28" customFormat="1" x14ac:dyDescent="0.25">
      <c r="A552" s="53"/>
      <c r="B552" s="58"/>
      <c r="C552" s="58"/>
      <c r="D552" s="35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48"/>
      <c r="Q552" s="174"/>
    </row>
    <row r="553" spans="1:17" s="28" customFormat="1" x14ac:dyDescent="0.25">
      <c r="A553" s="53"/>
      <c r="B553" s="58"/>
      <c r="C553" s="58"/>
      <c r="D553" s="35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48"/>
      <c r="Q553" s="174"/>
    </row>
    <row r="554" spans="1:17" s="28" customFormat="1" x14ac:dyDescent="0.25">
      <c r="A554" s="53"/>
      <c r="B554" s="58"/>
      <c r="C554" s="58"/>
      <c r="D554" s="35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48"/>
      <c r="Q554" s="174"/>
    </row>
    <row r="555" spans="1:17" s="28" customFormat="1" x14ac:dyDescent="0.25">
      <c r="A555" s="53"/>
      <c r="B555" s="58"/>
      <c r="C555" s="58"/>
      <c r="D555" s="35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48"/>
      <c r="Q555" s="174"/>
    </row>
    <row r="556" spans="1:17" s="28" customFormat="1" x14ac:dyDescent="0.25">
      <c r="A556" s="53"/>
      <c r="B556" s="58"/>
      <c r="C556" s="58"/>
      <c r="D556" s="35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48"/>
      <c r="Q556" s="174"/>
    </row>
    <row r="557" spans="1:17" s="28" customFormat="1" x14ac:dyDescent="0.25">
      <c r="A557" s="53"/>
      <c r="B557" s="58"/>
      <c r="C557" s="58"/>
      <c r="D557" s="35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48"/>
      <c r="Q557" s="174"/>
    </row>
    <row r="558" spans="1:17" s="28" customFormat="1" x14ac:dyDescent="0.25">
      <c r="A558" s="53"/>
      <c r="B558" s="58"/>
      <c r="C558" s="58"/>
      <c r="D558" s="35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48"/>
      <c r="Q558" s="174"/>
    </row>
    <row r="559" spans="1:17" s="28" customFormat="1" x14ac:dyDescent="0.25">
      <c r="A559" s="53"/>
      <c r="B559" s="58"/>
      <c r="C559" s="58"/>
      <c r="D559" s="35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48"/>
      <c r="Q559" s="174"/>
    </row>
    <row r="560" spans="1:17" s="28" customFormat="1" x14ac:dyDescent="0.25">
      <c r="A560" s="53"/>
      <c r="B560" s="58"/>
      <c r="C560" s="58"/>
      <c r="D560" s="35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48"/>
      <c r="Q560" s="174"/>
    </row>
    <row r="561" spans="1:17" s="28" customFormat="1" x14ac:dyDescent="0.25">
      <c r="A561" s="53"/>
      <c r="B561" s="58"/>
      <c r="C561" s="58"/>
      <c r="D561" s="35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48"/>
      <c r="Q561" s="174"/>
    </row>
    <row r="562" spans="1:17" s="28" customFormat="1" x14ac:dyDescent="0.25">
      <c r="A562" s="53"/>
      <c r="B562" s="58"/>
      <c r="C562" s="58"/>
      <c r="D562" s="35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48"/>
      <c r="Q562" s="174"/>
    </row>
    <row r="563" spans="1:17" s="28" customFormat="1" x14ac:dyDescent="0.25">
      <c r="A563" s="53"/>
      <c r="B563" s="58"/>
      <c r="C563" s="58"/>
      <c r="D563" s="35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48"/>
      <c r="Q563" s="174"/>
    </row>
    <row r="564" spans="1:17" s="28" customFormat="1" x14ac:dyDescent="0.25">
      <c r="A564" s="53"/>
      <c r="B564" s="58"/>
      <c r="C564" s="58"/>
      <c r="D564" s="35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48"/>
      <c r="Q564" s="174"/>
    </row>
    <row r="565" spans="1:17" s="28" customFormat="1" x14ac:dyDescent="0.25">
      <c r="A565" s="53"/>
      <c r="B565" s="58"/>
      <c r="C565" s="58"/>
      <c r="D565" s="35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48"/>
      <c r="Q565" s="174"/>
    </row>
    <row r="566" spans="1:17" s="28" customFormat="1" x14ac:dyDescent="0.25">
      <c r="A566" s="53"/>
      <c r="B566" s="58"/>
      <c r="C566" s="58"/>
      <c r="D566" s="35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48"/>
      <c r="Q566" s="174"/>
    </row>
    <row r="567" spans="1:17" s="28" customFormat="1" x14ac:dyDescent="0.25">
      <c r="A567" s="53"/>
      <c r="B567" s="58"/>
      <c r="C567" s="58"/>
      <c r="D567" s="35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48"/>
      <c r="Q567" s="174"/>
    </row>
    <row r="568" spans="1:17" s="28" customFormat="1" x14ac:dyDescent="0.25">
      <c r="A568" s="53"/>
      <c r="B568" s="58"/>
      <c r="C568" s="58"/>
      <c r="D568" s="35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48"/>
      <c r="Q568" s="174"/>
    </row>
    <row r="569" spans="1:17" s="28" customFormat="1" x14ac:dyDescent="0.25">
      <c r="A569" s="53"/>
      <c r="B569" s="58"/>
      <c r="C569" s="58"/>
      <c r="D569" s="35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48"/>
      <c r="Q569" s="174"/>
    </row>
    <row r="570" spans="1:17" s="28" customFormat="1" x14ac:dyDescent="0.25">
      <c r="A570" s="53"/>
      <c r="B570" s="58"/>
      <c r="C570" s="58"/>
      <c r="D570" s="35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48"/>
      <c r="Q570" s="174"/>
    </row>
    <row r="571" spans="1:17" s="28" customFormat="1" x14ac:dyDescent="0.25">
      <c r="A571" s="53"/>
      <c r="B571" s="58"/>
      <c r="C571" s="58"/>
      <c r="D571" s="35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48"/>
      <c r="Q571" s="174"/>
    </row>
    <row r="572" spans="1:17" s="28" customFormat="1" x14ac:dyDescent="0.25">
      <c r="A572" s="53"/>
      <c r="B572" s="58"/>
      <c r="C572" s="58"/>
      <c r="D572" s="35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48"/>
      <c r="Q572" s="174"/>
    </row>
    <row r="573" spans="1:17" s="28" customFormat="1" x14ac:dyDescent="0.25">
      <c r="A573" s="53"/>
      <c r="B573" s="58"/>
      <c r="C573" s="58"/>
      <c r="D573" s="35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48"/>
      <c r="Q573" s="174"/>
    </row>
    <row r="574" spans="1:17" s="28" customFormat="1" x14ac:dyDescent="0.25">
      <c r="A574" s="53"/>
      <c r="B574" s="58"/>
      <c r="C574" s="58"/>
      <c r="D574" s="35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48"/>
      <c r="Q574" s="174"/>
    </row>
    <row r="575" spans="1:17" s="28" customFormat="1" x14ac:dyDescent="0.25">
      <c r="A575" s="53"/>
      <c r="B575" s="58"/>
      <c r="C575" s="58"/>
      <c r="D575" s="35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48"/>
      <c r="Q575" s="174"/>
    </row>
    <row r="576" spans="1:17" s="28" customFormat="1" x14ac:dyDescent="0.25">
      <c r="A576" s="53"/>
      <c r="B576" s="58"/>
      <c r="C576" s="58"/>
      <c r="D576" s="35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48"/>
      <c r="Q576" s="174"/>
    </row>
    <row r="577" spans="1:17" s="28" customFormat="1" x14ac:dyDescent="0.25">
      <c r="A577" s="53"/>
      <c r="B577" s="58"/>
      <c r="C577" s="58"/>
      <c r="D577" s="35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48"/>
      <c r="Q577" s="174"/>
    </row>
    <row r="578" spans="1:17" s="28" customFormat="1" x14ac:dyDescent="0.25">
      <c r="A578" s="53"/>
      <c r="B578" s="58"/>
      <c r="C578" s="58"/>
      <c r="D578" s="35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48"/>
      <c r="Q578" s="174"/>
    </row>
    <row r="579" spans="1:17" s="28" customFormat="1" x14ac:dyDescent="0.25">
      <c r="A579" s="53"/>
      <c r="B579" s="58"/>
      <c r="C579" s="58"/>
      <c r="D579" s="35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48"/>
      <c r="Q579" s="174"/>
    </row>
    <row r="580" spans="1:17" s="28" customFormat="1" x14ac:dyDescent="0.25">
      <c r="A580" s="53"/>
      <c r="B580" s="58"/>
      <c r="C580" s="58"/>
      <c r="D580" s="35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48"/>
      <c r="Q580" s="174"/>
    </row>
    <row r="581" spans="1:17" s="28" customFormat="1" x14ac:dyDescent="0.25">
      <c r="A581" s="53"/>
      <c r="B581" s="58"/>
      <c r="C581" s="58"/>
      <c r="D581" s="35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48"/>
      <c r="Q581" s="174"/>
    </row>
    <row r="582" spans="1:17" s="28" customFormat="1" x14ac:dyDescent="0.25">
      <c r="A582" s="53"/>
      <c r="B582" s="58"/>
      <c r="C582" s="58"/>
      <c r="D582" s="35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48"/>
      <c r="Q582" s="174"/>
    </row>
    <row r="583" spans="1:17" s="28" customFormat="1" x14ac:dyDescent="0.25">
      <c r="A583" s="53"/>
      <c r="B583" s="58"/>
      <c r="C583" s="58"/>
      <c r="D583" s="35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48"/>
      <c r="Q583" s="174"/>
    </row>
    <row r="584" spans="1:17" s="28" customFormat="1" x14ac:dyDescent="0.25">
      <c r="A584" s="53"/>
      <c r="B584" s="58"/>
      <c r="C584" s="58"/>
      <c r="D584" s="35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48"/>
      <c r="Q584" s="174"/>
    </row>
    <row r="585" spans="1:17" s="28" customFormat="1" x14ac:dyDescent="0.25">
      <c r="A585" s="53"/>
      <c r="B585" s="58"/>
      <c r="C585" s="58"/>
      <c r="D585" s="35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48"/>
      <c r="Q585" s="174"/>
    </row>
    <row r="586" spans="1:17" s="28" customFormat="1" x14ac:dyDescent="0.25">
      <c r="A586" s="53"/>
      <c r="B586" s="58"/>
      <c r="C586" s="58"/>
      <c r="D586" s="35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48"/>
      <c r="Q586" s="174"/>
    </row>
    <row r="587" spans="1:17" s="28" customFormat="1" x14ac:dyDescent="0.25">
      <c r="A587" s="53"/>
      <c r="B587" s="58"/>
      <c r="C587" s="58"/>
      <c r="D587" s="35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48"/>
      <c r="Q587" s="174"/>
    </row>
    <row r="588" spans="1:17" s="28" customFormat="1" x14ac:dyDescent="0.25">
      <c r="A588" s="53"/>
      <c r="B588" s="58"/>
      <c r="C588" s="58"/>
      <c r="D588" s="35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48"/>
      <c r="Q588" s="174"/>
    </row>
    <row r="589" spans="1:17" s="28" customFormat="1" x14ac:dyDescent="0.25">
      <c r="A589" s="53"/>
      <c r="B589" s="58"/>
      <c r="C589" s="58"/>
      <c r="D589" s="35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48"/>
      <c r="Q589" s="174"/>
    </row>
    <row r="590" spans="1:17" s="28" customFormat="1" x14ac:dyDescent="0.25">
      <c r="A590" s="53"/>
      <c r="B590" s="58"/>
      <c r="C590" s="58"/>
      <c r="D590" s="35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48"/>
      <c r="Q590" s="174"/>
    </row>
    <row r="591" spans="1:17" s="28" customFormat="1" x14ac:dyDescent="0.25">
      <c r="A591" s="53"/>
      <c r="B591" s="58"/>
      <c r="C591" s="58"/>
      <c r="D591" s="35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48"/>
      <c r="Q591" s="174"/>
    </row>
    <row r="592" spans="1:17" s="28" customFormat="1" x14ac:dyDescent="0.25">
      <c r="A592" s="53"/>
      <c r="B592" s="58"/>
      <c r="C592" s="58"/>
      <c r="D592" s="35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48"/>
      <c r="Q592" s="174"/>
    </row>
    <row r="593" spans="1:17" s="28" customFormat="1" x14ac:dyDescent="0.25">
      <c r="A593" s="53"/>
      <c r="B593" s="58"/>
      <c r="C593" s="58"/>
      <c r="D593" s="35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48"/>
      <c r="Q593" s="174"/>
    </row>
    <row r="594" spans="1:17" s="28" customFormat="1" x14ac:dyDescent="0.25">
      <c r="A594" s="53"/>
      <c r="B594" s="58"/>
      <c r="C594" s="58"/>
      <c r="D594" s="35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48"/>
      <c r="Q594" s="174"/>
    </row>
    <row r="595" spans="1:17" s="28" customFormat="1" x14ac:dyDescent="0.25">
      <c r="A595" s="53"/>
      <c r="B595" s="58"/>
      <c r="C595" s="58"/>
      <c r="D595" s="35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48"/>
      <c r="Q595" s="174"/>
    </row>
    <row r="596" spans="1:17" s="28" customFormat="1" x14ac:dyDescent="0.25">
      <c r="A596" s="53"/>
      <c r="B596" s="58"/>
      <c r="C596" s="58"/>
      <c r="D596" s="35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48"/>
      <c r="Q596" s="174"/>
    </row>
    <row r="597" spans="1:17" s="28" customFormat="1" x14ac:dyDescent="0.25">
      <c r="A597" s="53"/>
      <c r="B597" s="58"/>
      <c r="C597" s="58"/>
      <c r="D597" s="35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48"/>
      <c r="Q597" s="174"/>
    </row>
    <row r="598" spans="1:17" s="28" customFormat="1" x14ac:dyDescent="0.25">
      <c r="A598" s="53"/>
      <c r="B598" s="58"/>
      <c r="C598" s="58"/>
      <c r="D598" s="35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48"/>
      <c r="Q598" s="174"/>
    </row>
    <row r="599" spans="1:17" s="28" customFormat="1" x14ac:dyDescent="0.25">
      <c r="A599" s="53"/>
      <c r="B599" s="58"/>
      <c r="C599" s="58"/>
      <c r="D599" s="35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48"/>
      <c r="Q599" s="174"/>
    </row>
    <row r="600" spans="1:17" s="28" customFormat="1" x14ac:dyDescent="0.25">
      <c r="A600" s="53"/>
      <c r="B600" s="58"/>
      <c r="C600" s="58"/>
      <c r="D600" s="35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48"/>
      <c r="Q600" s="174"/>
    </row>
    <row r="601" spans="1:17" s="28" customFormat="1" x14ac:dyDescent="0.25">
      <c r="A601" s="53"/>
      <c r="B601" s="58"/>
      <c r="C601" s="58"/>
      <c r="D601" s="35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48"/>
      <c r="Q601" s="174"/>
    </row>
    <row r="602" spans="1:17" s="28" customFormat="1" x14ac:dyDescent="0.25">
      <c r="A602" s="53"/>
      <c r="B602" s="58"/>
      <c r="C602" s="58"/>
      <c r="D602" s="35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48"/>
      <c r="Q602" s="174"/>
    </row>
    <row r="603" spans="1:17" s="28" customFormat="1" x14ac:dyDescent="0.25">
      <c r="A603" s="53"/>
      <c r="B603" s="58"/>
      <c r="C603" s="58"/>
      <c r="D603" s="35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48"/>
      <c r="Q603" s="174"/>
    </row>
    <row r="604" spans="1:17" s="28" customFormat="1" x14ac:dyDescent="0.25">
      <c r="A604" s="53"/>
      <c r="B604" s="58"/>
      <c r="C604" s="58"/>
      <c r="D604" s="35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48"/>
      <c r="Q604" s="174"/>
    </row>
    <row r="605" spans="1:17" s="28" customFormat="1" x14ac:dyDescent="0.25">
      <c r="A605" s="53"/>
      <c r="B605" s="58"/>
      <c r="C605" s="58"/>
      <c r="D605" s="35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48"/>
      <c r="Q605" s="174"/>
    </row>
    <row r="606" spans="1:17" s="28" customFormat="1" x14ac:dyDescent="0.25">
      <c r="A606" s="53"/>
      <c r="B606" s="58"/>
      <c r="C606" s="58"/>
      <c r="D606" s="35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48"/>
      <c r="Q606" s="174"/>
    </row>
    <row r="607" spans="1:17" s="28" customFormat="1" x14ac:dyDescent="0.25">
      <c r="A607" s="53"/>
      <c r="B607" s="58"/>
      <c r="C607" s="58"/>
      <c r="D607" s="35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48"/>
      <c r="Q607" s="174"/>
    </row>
    <row r="608" spans="1:17" s="28" customFormat="1" x14ac:dyDescent="0.25">
      <c r="A608" s="53"/>
      <c r="B608" s="58"/>
      <c r="C608" s="58"/>
      <c r="D608" s="35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48"/>
      <c r="Q608" s="174"/>
    </row>
    <row r="609" spans="1:17" s="28" customFormat="1" x14ac:dyDescent="0.25">
      <c r="A609" s="53"/>
      <c r="B609" s="58"/>
      <c r="C609" s="58"/>
      <c r="D609" s="35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48"/>
      <c r="Q609" s="174"/>
    </row>
    <row r="610" spans="1:17" s="28" customFormat="1" x14ac:dyDescent="0.25">
      <c r="A610" s="53"/>
      <c r="B610" s="58"/>
      <c r="C610" s="58"/>
      <c r="D610" s="35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48"/>
      <c r="Q610" s="174"/>
    </row>
    <row r="611" spans="1:17" s="28" customFormat="1" x14ac:dyDescent="0.25">
      <c r="A611" s="53"/>
      <c r="B611" s="58"/>
      <c r="C611" s="58"/>
      <c r="D611" s="35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48"/>
      <c r="Q611" s="174"/>
    </row>
    <row r="612" spans="1:17" s="28" customFormat="1" x14ac:dyDescent="0.25">
      <c r="A612" s="53"/>
      <c r="B612" s="58"/>
      <c r="C612" s="58"/>
      <c r="D612" s="35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48"/>
      <c r="Q612" s="174"/>
    </row>
    <row r="613" spans="1:17" s="28" customFormat="1" x14ac:dyDescent="0.25">
      <c r="A613" s="53"/>
      <c r="B613" s="58"/>
      <c r="C613" s="58"/>
      <c r="D613" s="35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48"/>
      <c r="Q613" s="174"/>
    </row>
    <row r="614" spans="1:17" s="28" customFormat="1" x14ac:dyDescent="0.25">
      <c r="A614" s="53"/>
      <c r="B614" s="58"/>
      <c r="C614" s="58"/>
      <c r="D614" s="35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48"/>
      <c r="Q614" s="174"/>
    </row>
    <row r="615" spans="1:17" s="28" customFormat="1" x14ac:dyDescent="0.25">
      <c r="A615" s="53"/>
      <c r="B615" s="58"/>
      <c r="C615" s="58"/>
      <c r="D615" s="35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48"/>
      <c r="Q615" s="174"/>
    </row>
    <row r="616" spans="1:17" s="28" customFormat="1" x14ac:dyDescent="0.25">
      <c r="A616" s="53"/>
      <c r="B616" s="58"/>
      <c r="C616" s="58"/>
      <c r="D616" s="35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48"/>
      <c r="Q616" s="174"/>
    </row>
    <row r="617" spans="1:17" s="28" customFormat="1" x14ac:dyDescent="0.25">
      <c r="A617" s="53"/>
      <c r="B617" s="58"/>
      <c r="C617" s="58"/>
      <c r="D617" s="35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48"/>
      <c r="Q617" s="174"/>
    </row>
    <row r="618" spans="1:17" s="28" customFormat="1" x14ac:dyDescent="0.25">
      <c r="A618" s="53"/>
      <c r="B618" s="58"/>
      <c r="C618" s="58"/>
      <c r="D618" s="35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48"/>
      <c r="Q618" s="174"/>
    </row>
    <row r="619" spans="1:17" s="28" customFormat="1" x14ac:dyDescent="0.25">
      <c r="A619" s="53"/>
      <c r="B619" s="58"/>
      <c r="C619" s="58"/>
      <c r="D619" s="35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48"/>
      <c r="Q619" s="174"/>
    </row>
    <row r="620" spans="1:17" s="28" customFormat="1" x14ac:dyDescent="0.25">
      <c r="A620" s="53"/>
      <c r="B620" s="58"/>
      <c r="C620" s="58"/>
      <c r="D620" s="35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48"/>
      <c r="Q620" s="174"/>
    </row>
    <row r="621" spans="1:17" s="28" customFormat="1" x14ac:dyDescent="0.25">
      <c r="A621" s="53"/>
      <c r="B621" s="58"/>
      <c r="C621" s="58"/>
      <c r="D621" s="35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48"/>
      <c r="Q621" s="174"/>
    </row>
    <row r="622" spans="1:17" s="28" customFormat="1" x14ac:dyDescent="0.25">
      <c r="A622" s="53"/>
      <c r="B622" s="58"/>
      <c r="C622" s="58"/>
      <c r="D622" s="35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48"/>
      <c r="Q622" s="174"/>
    </row>
    <row r="623" spans="1:17" s="28" customFormat="1" x14ac:dyDescent="0.25">
      <c r="A623" s="53"/>
      <c r="B623" s="58"/>
      <c r="C623" s="58"/>
      <c r="D623" s="35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48"/>
      <c r="Q623" s="174"/>
    </row>
    <row r="624" spans="1:17" s="28" customFormat="1" x14ac:dyDescent="0.25">
      <c r="A624" s="53"/>
      <c r="B624" s="58"/>
      <c r="C624" s="58"/>
      <c r="D624" s="35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48"/>
      <c r="Q624" s="174"/>
    </row>
    <row r="625" spans="1:17" s="28" customFormat="1" x14ac:dyDescent="0.25">
      <c r="A625" s="53"/>
      <c r="B625" s="58"/>
      <c r="C625" s="58"/>
      <c r="D625" s="35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48"/>
      <c r="Q625" s="174"/>
    </row>
    <row r="626" spans="1:17" s="28" customFormat="1" x14ac:dyDescent="0.25">
      <c r="A626" s="53"/>
      <c r="B626" s="58"/>
      <c r="C626" s="58"/>
      <c r="D626" s="35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48"/>
      <c r="Q626" s="174"/>
    </row>
    <row r="627" spans="1:17" s="28" customFormat="1" x14ac:dyDescent="0.25">
      <c r="A627" s="53"/>
      <c r="B627" s="58"/>
      <c r="C627" s="58"/>
      <c r="D627" s="35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48"/>
      <c r="Q627" s="174"/>
    </row>
    <row r="628" spans="1:17" s="28" customFormat="1" x14ac:dyDescent="0.25">
      <c r="A628" s="53"/>
      <c r="B628" s="58"/>
      <c r="C628" s="58"/>
      <c r="D628" s="35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48"/>
      <c r="Q628" s="174"/>
    </row>
    <row r="629" spans="1:17" s="28" customFormat="1" x14ac:dyDescent="0.25">
      <c r="A629" s="53"/>
      <c r="B629" s="58"/>
      <c r="C629" s="58"/>
      <c r="D629" s="35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48"/>
      <c r="Q629" s="174"/>
    </row>
    <row r="630" spans="1:17" s="28" customFormat="1" x14ac:dyDescent="0.25">
      <c r="A630" s="53"/>
      <c r="B630" s="58"/>
      <c r="C630" s="58"/>
      <c r="D630" s="35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48"/>
      <c r="Q630" s="174"/>
    </row>
    <row r="631" spans="1:17" s="28" customFormat="1" x14ac:dyDescent="0.25">
      <c r="A631" s="53"/>
      <c r="B631" s="58"/>
      <c r="C631" s="58"/>
      <c r="D631" s="35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48"/>
      <c r="Q631" s="174"/>
    </row>
    <row r="632" spans="1:17" s="28" customFormat="1" x14ac:dyDescent="0.25">
      <c r="A632" s="53"/>
      <c r="B632" s="58"/>
      <c r="C632" s="58"/>
      <c r="D632" s="35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48"/>
      <c r="Q632" s="174"/>
    </row>
    <row r="633" spans="1:17" s="28" customFormat="1" x14ac:dyDescent="0.25">
      <c r="A633" s="53"/>
      <c r="B633" s="58"/>
      <c r="C633" s="58"/>
      <c r="D633" s="35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48"/>
      <c r="Q633" s="174"/>
    </row>
    <row r="634" spans="1:17" s="28" customFormat="1" x14ac:dyDescent="0.25">
      <c r="A634" s="53"/>
      <c r="B634" s="58"/>
      <c r="C634" s="58"/>
      <c r="D634" s="35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48"/>
      <c r="Q634" s="174"/>
    </row>
    <row r="635" spans="1:17" s="28" customFormat="1" x14ac:dyDescent="0.25">
      <c r="A635" s="53"/>
      <c r="B635" s="58"/>
      <c r="C635" s="58"/>
      <c r="D635" s="35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48"/>
      <c r="Q635" s="174"/>
    </row>
    <row r="636" spans="1:17" s="28" customFormat="1" x14ac:dyDescent="0.25">
      <c r="A636" s="53"/>
      <c r="B636" s="58"/>
      <c r="C636" s="58"/>
      <c r="D636" s="35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48"/>
      <c r="Q636" s="174"/>
    </row>
    <row r="637" spans="1:17" s="28" customFormat="1" x14ac:dyDescent="0.25">
      <c r="A637" s="53"/>
      <c r="B637" s="58"/>
      <c r="C637" s="58"/>
      <c r="D637" s="35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48"/>
      <c r="Q637" s="174"/>
    </row>
    <row r="638" spans="1:17" s="28" customFormat="1" x14ac:dyDescent="0.25">
      <c r="A638" s="53"/>
      <c r="B638" s="58"/>
      <c r="C638" s="58"/>
      <c r="D638" s="35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48"/>
      <c r="Q638" s="174"/>
    </row>
    <row r="639" spans="1:17" s="28" customFormat="1" x14ac:dyDescent="0.25">
      <c r="A639" s="53"/>
      <c r="B639" s="58"/>
      <c r="C639" s="58"/>
      <c r="D639" s="35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48"/>
      <c r="Q639" s="174"/>
    </row>
    <row r="640" spans="1:17" s="28" customFormat="1" x14ac:dyDescent="0.25">
      <c r="A640" s="53"/>
      <c r="B640" s="58"/>
      <c r="C640" s="58"/>
      <c r="D640" s="35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48"/>
      <c r="Q640" s="174"/>
    </row>
    <row r="641" spans="1:17" s="28" customFormat="1" x14ac:dyDescent="0.25">
      <c r="A641" s="53"/>
      <c r="B641" s="58"/>
      <c r="C641" s="58"/>
      <c r="D641" s="35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48"/>
      <c r="Q641" s="174"/>
    </row>
    <row r="642" spans="1:17" s="28" customFormat="1" x14ac:dyDescent="0.25">
      <c r="A642" s="53"/>
      <c r="B642" s="58"/>
      <c r="C642" s="58"/>
      <c r="D642" s="35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48"/>
      <c r="Q642" s="174"/>
    </row>
    <row r="643" spans="1:17" s="28" customFormat="1" x14ac:dyDescent="0.25">
      <c r="A643" s="53"/>
      <c r="B643" s="58"/>
      <c r="C643" s="58"/>
      <c r="D643" s="35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48"/>
      <c r="Q643" s="174"/>
    </row>
    <row r="644" spans="1:17" s="28" customFormat="1" x14ac:dyDescent="0.25">
      <c r="A644" s="53"/>
      <c r="B644" s="58"/>
      <c r="C644" s="58"/>
      <c r="D644" s="35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48"/>
      <c r="Q644" s="174"/>
    </row>
    <row r="645" spans="1:17" s="28" customFormat="1" x14ac:dyDescent="0.25">
      <c r="A645" s="53"/>
      <c r="B645" s="58"/>
      <c r="C645" s="58"/>
      <c r="D645" s="35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48"/>
      <c r="Q645" s="174"/>
    </row>
    <row r="646" spans="1:17" s="28" customFormat="1" x14ac:dyDescent="0.25">
      <c r="A646" s="53"/>
      <c r="B646" s="58"/>
      <c r="C646" s="58"/>
      <c r="D646" s="35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48"/>
      <c r="Q646" s="174"/>
    </row>
    <row r="647" spans="1:17" s="28" customFormat="1" x14ac:dyDescent="0.25">
      <c r="A647" s="53"/>
      <c r="B647" s="58"/>
      <c r="C647" s="58"/>
      <c r="D647" s="35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48"/>
      <c r="Q647" s="174"/>
    </row>
    <row r="648" spans="1:17" s="28" customFormat="1" x14ac:dyDescent="0.25">
      <c r="A648" s="53"/>
      <c r="B648" s="58"/>
      <c r="C648" s="58"/>
      <c r="D648" s="35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48"/>
      <c r="Q648" s="174"/>
    </row>
    <row r="649" spans="1:17" s="28" customFormat="1" x14ac:dyDescent="0.25">
      <c r="A649" s="53"/>
      <c r="B649" s="58"/>
      <c r="C649" s="58"/>
      <c r="D649" s="35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48"/>
      <c r="Q649" s="174"/>
    </row>
    <row r="650" spans="1:17" s="28" customFormat="1" x14ac:dyDescent="0.25">
      <c r="A650" s="53"/>
      <c r="B650" s="58"/>
      <c r="C650" s="58"/>
      <c r="D650" s="35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48"/>
      <c r="Q650" s="174"/>
    </row>
    <row r="651" spans="1:17" s="28" customFormat="1" x14ac:dyDescent="0.25">
      <c r="A651" s="53"/>
      <c r="B651" s="58"/>
      <c r="C651" s="58"/>
      <c r="D651" s="35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48"/>
      <c r="Q651" s="174"/>
    </row>
    <row r="652" spans="1:17" s="28" customFormat="1" x14ac:dyDescent="0.25">
      <c r="A652" s="53"/>
      <c r="B652" s="58"/>
      <c r="C652" s="58"/>
      <c r="D652" s="35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48"/>
      <c r="Q652" s="174"/>
    </row>
    <row r="653" spans="1:17" s="28" customFormat="1" x14ac:dyDescent="0.25">
      <c r="A653" s="53"/>
      <c r="B653" s="58"/>
      <c r="C653" s="58"/>
      <c r="D653" s="35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48"/>
      <c r="Q653" s="174"/>
    </row>
    <row r="654" spans="1:17" s="28" customFormat="1" x14ac:dyDescent="0.25">
      <c r="A654" s="53"/>
      <c r="B654" s="58"/>
      <c r="C654" s="58"/>
      <c r="D654" s="35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48"/>
      <c r="Q654" s="174"/>
    </row>
    <row r="655" spans="1:17" s="28" customFormat="1" x14ac:dyDescent="0.25">
      <c r="A655" s="53"/>
      <c r="B655" s="58"/>
      <c r="C655" s="58"/>
      <c r="D655" s="35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48"/>
      <c r="Q655" s="174"/>
    </row>
    <row r="656" spans="1:17" s="28" customFormat="1" x14ac:dyDescent="0.25">
      <c r="A656" s="53"/>
      <c r="B656" s="58"/>
      <c r="C656" s="58"/>
      <c r="D656" s="35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48"/>
      <c r="Q656" s="174"/>
    </row>
    <row r="657" spans="1:17" s="28" customFormat="1" x14ac:dyDescent="0.25">
      <c r="A657" s="53"/>
      <c r="B657" s="58"/>
      <c r="C657" s="58"/>
      <c r="D657" s="35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48"/>
      <c r="Q657" s="174"/>
    </row>
    <row r="658" spans="1:17" s="28" customFormat="1" x14ac:dyDescent="0.25">
      <c r="A658" s="53"/>
      <c r="B658" s="58"/>
      <c r="C658" s="58"/>
      <c r="D658" s="35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48"/>
      <c r="Q658" s="174"/>
    </row>
    <row r="659" spans="1:17" s="28" customFormat="1" x14ac:dyDescent="0.25">
      <c r="A659" s="53"/>
      <c r="B659" s="58"/>
      <c r="C659" s="58"/>
      <c r="D659" s="35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48"/>
      <c r="Q659" s="174"/>
    </row>
    <row r="660" spans="1:17" s="28" customFormat="1" x14ac:dyDescent="0.25">
      <c r="A660" s="53"/>
      <c r="B660" s="58"/>
      <c r="C660" s="58"/>
      <c r="D660" s="35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48"/>
      <c r="Q660" s="174"/>
    </row>
    <row r="661" spans="1:17" s="28" customFormat="1" x14ac:dyDescent="0.25">
      <c r="A661" s="53"/>
      <c r="B661" s="58"/>
      <c r="C661" s="58"/>
      <c r="D661" s="35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48"/>
      <c r="Q661" s="174"/>
    </row>
    <row r="662" spans="1:17" s="28" customFormat="1" x14ac:dyDescent="0.25">
      <c r="A662" s="53"/>
      <c r="B662" s="58"/>
      <c r="C662" s="58"/>
      <c r="D662" s="35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48"/>
      <c r="Q662" s="174"/>
    </row>
    <row r="663" spans="1:17" s="28" customFormat="1" x14ac:dyDescent="0.25">
      <c r="A663" s="53"/>
      <c r="B663" s="58"/>
      <c r="C663" s="58"/>
      <c r="D663" s="35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48"/>
      <c r="Q663" s="174"/>
    </row>
    <row r="664" spans="1:17" s="28" customFormat="1" x14ac:dyDescent="0.25">
      <c r="A664" s="53"/>
      <c r="B664" s="58"/>
      <c r="C664" s="58"/>
      <c r="D664" s="35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48"/>
      <c r="Q664" s="174"/>
    </row>
    <row r="665" spans="1:17" s="28" customFormat="1" x14ac:dyDescent="0.25">
      <c r="A665" s="53"/>
      <c r="B665" s="58"/>
      <c r="C665" s="58"/>
      <c r="D665" s="35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48"/>
      <c r="Q665" s="174"/>
    </row>
    <row r="666" spans="1:17" s="28" customFormat="1" x14ac:dyDescent="0.25">
      <c r="A666" s="53"/>
      <c r="B666" s="58"/>
      <c r="C666" s="58"/>
      <c r="D666" s="35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48"/>
      <c r="Q666" s="174"/>
    </row>
    <row r="667" spans="1:17" s="28" customFormat="1" x14ac:dyDescent="0.25">
      <c r="A667" s="53"/>
      <c r="B667" s="58"/>
      <c r="C667" s="58"/>
      <c r="D667" s="35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48"/>
      <c r="Q667" s="174"/>
    </row>
    <row r="668" spans="1:17" s="28" customFormat="1" x14ac:dyDescent="0.25">
      <c r="A668" s="53"/>
      <c r="B668" s="58"/>
      <c r="C668" s="58"/>
      <c r="D668" s="35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48"/>
      <c r="Q668" s="174"/>
    </row>
    <row r="669" spans="1:17" s="28" customFormat="1" x14ac:dyDescent="0.25">
      <c r="A669" s="53"/>
      <c r="B669" s="58"/>
      <c r="C669" s="58"/>
      <c r="D669" s="35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48"/>
      <c r="Q669" s="174"/>
    </row>
    <row r="670" spans="1:17" s="28" customFormat="1" x14ac:dyDescent="0.25">
      <c r="A670" s="53"/>
      <c r="B670" s="58"/>
      <c r="C670" s="58"/>
      <c r="D670" s="35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48"/>
      <c r="Q670" s="174"/>
    </row>
    <row r="671" spans="1:17" s="28" customFormat="1" x14ac:dyDescent="0.25">
      <c r="A671" s="53"/>
      <c r="B671" s="58"/>
      <c r="C671" s="58"/>
      <c r="D671" s="35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48"/>
      <c r="Q671" s="174"/>
    </row>
    <row r="672" spans="1:17" s="28" customFormat="1" x14ac:dyDescent="0.25">
      <c r="A672" s="53"/>
      <c r="B672" s="58"/>
      <c r="C672" s="58"/>
      <c r="D672" s="35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48"/>
      <c r="Q672" s="174"/>
    </row>
    <row r="673" spans="1:17" s="28" customFormat="1" x14ac:dyDescent="0.25">
      <c r="A673" s="53"/>
      <c r="B673" s="58"/>
      <c r="C673" s="58"/>
      <c r="D673" s="35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48"/>
      <c r="Q673" s="174"/>
    </row>
    <row r="674" spans="1:17" s="28" customFormat="1" x14ac:dyDescent="0.25">
      <c r="A674" s="53"/>
      <c r="B674" s="58"/>
      <c r="C674" s="58"/>
      <c r="D674" s="35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48"/>
      <c r="Q674" s="174"/>
    </row>
    <row r="675" spans="1:17" s="28" customFormat="1" x14ac:dyDescent="0.25">
      <c r="A675" s="53"/>
      <c r="B675" s="58"/>
      <c r="C675" s="58"/>
      <c r="D675" s="35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48"/>
      <c r="Q675" s="174"/>
    </row>
    <row r="676" spans="1:17" s="28" customFormat="1" x14ac:dyDescent="0.25">
      <c r="A676" s="53"/>
      <c r="B676" s="58"/>
      <c r="C676" s="58"/>
      <c r="D676" s="35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48"/>
      <c r="Q676" s="174"/>
    </row>
    <row r="677" spans="1:17" s="28" customFormat="1" x14ac:dyDescent="0.25">
      <c r="A677" s="53"/>
      <c r="B677" s="58"/>
      <c r="C677" s="58"/>
      <c r="D677" s="35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48"/>
      <c r="Q677" s="174"/>
    </row>
    <row r="678" spans="1:17" s="28" customFormat="1" x14ac:dyDescent="0.25">
      <c r="A678" s="53"/>
      <c r="B678" s="58"/>
      <c r="C678" s="58"/>
      <c r="D678" s="35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48"/>
      <c r="Q678" s="174"/>
    </row>
    <row r="679" spans="1:17" s="28" customFormat="1" x14ac:dyDescent="0.25">
      <c r="A679" s="53"/>
      <c r="B679" s="58"/>
      <c r="C679" s="58"/>
      <c r="D679" s="35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48"/>
      <c r="Q679" s="174"/>
    </row>
    <row r="680" spans="1:17" s="28" customFormat="1" x14ac:dyDescent="0.25">
      <c r="A680" s="53"/>
      <c r="B680" s="58"/>
      <c r="C680" s="58"/>
      <c r="D680" s="35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48"/>
      <c r="Q680" s="174"/>
    </row>
    <row r="681" spans="1:17" s="28" customFormat="1" x14ac:dyDescent="0.25">
      <c r="A681" s="53"/>
      <c r="B681" s="58"/>
      <c r="C681" s="58"/>
      <c r="D681" s="35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48"/>
      <c r="Q681" s="174"/>
    </row>
    <row r="682" spans="1:17" s="28" customFormat="1" x14ac:dyDescent="0.25">
      <c r="A682" s="53"/>
      <c r="B682" s="58"/>
      <c r="C682" s="58"/>
      <c r="D682" s="35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48"/>
      <c r="Q682" s="174"/>
    </row>
    <row r="683" spans="1:17" s="28" customFormat="1" x14ac:dyDescent="0.25">
      <c r="A683" s="53"/>
      <c r="B683" s="58"/>
      <c r="C683" s="58"/>
      <c r="D683" s="35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48"/>
      <c r="Q683" s="174"/>
    </row>
    <row r="684" spans="1:17" s="28" customFormat="1" x14ac:dyDescent="0.25">
      <c r="A684" s="53"/>
      <c r="B684" s="58"/>
      <c r="C684" s="58"/>
      <c r="D684" s="35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48"/>
      <c r="Q684" s="174"/>
    </row>
    <row r="685" spans="1:17" s="28" customFormat="1" x14ac:dyDescent="0.25">
      <c r="A685" s="53"/>
      <c r="B685" s="58"/>
      <c r="C685" s="58"/>
      <c r="D685" s="35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48"/>
      <c r="Q685" s="174"/>
    </row>
    <row r="686" spans="1:17" s="28" customFormat="1" x14ac:dyDescent="0.25">
      <c r="A686" s="53"/>
      <c r="B686" s="58"/>
      <c r="C686" s="58"/>
      <c r="D686" s="35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48"/>
      <c r="Q686" s="174"/>
    </row>
    <row r="687" spans="1:17" s="28" customFormat="1" x14ac:dyDescent="0.25">
      <c r="A687" s="53"/>
      <c r="B687" s="58"/>
      <c r="C687" s="58"/>
      <c r="D687" s="35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48"/>
      <c r="Q687" s="174"/>
    </row>
    <row r="688" spans="1:17" s="28" customFormat="1" x14ac:dyDescent="0.25">
      <c r="A688" s="53"/>
      <c r="B688" s="58"/>
      <c r="C688" s="58"/>
      <c r="D688" s="35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48"/>
      <c r="Q688" s="174"/>
    </row>
    <row r="689" spans="1:17" s="28" customFormat="1" x14ac:dyDescent="0.25">
      <c r="A689" s="53"/>
      <c r="B689" s="58"/>
      <c r="C689" s="58"/>
      <c r="D689" s="35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48"/>
      <c r="Q689" s="174"/>
    </row>
    <row r="690" spans="1:17" s="28" customFormat="1" x14ac:dyDescent="0.25">
      <c r="A690" s="53"/>
      <c r="B690" s="58"/>
      <c r="C690" s="58"/>
      <c r="D690" s="35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48"/>
      <c r="Q690" s="174"/>
    </row>
    <row r="691" spans="1:17" s="28" customFormat="1" x14ac:dyDescent="0.25">
      <c r="A691" s="53"/>
      <c r="B691" s="58"/>
      <c r="C691" s="58"/>
      <c r="D691" s="35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48"/>
      <c r="Q691" s="174"/>
    </row>
    <row r="692" spans="1:17" s="28" customFormat="1" x14ac:dyDescent="0.25">
      <c r="A692" s="53"/>
      <c r="B692" s="58"/>
      <c r="C692" s="58"/>
      <c r="D692" s="35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48"/>
      <c r="Q692" s="174"/>
    </row>
    <row r="693" spans="1:17" s="28" customFormat="1" x14ac:dyDescent="0.25">
      <c r="A693" s="53"/>
      <c r="B693" s="58"/>
      <c r="C693" s="58"/>
      <c r="D693" s="35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48"/>
      <c r="Q693" s="174"/>
    </row>
    <row r="694" spans="1:17" s="28" customFormat="1" x14ac:dyDescent="0.25">
      <c r="A694" s="53"/>
      <c r="B694" s="58"/>
      <c r="C694" s="58"/>
      <c r="D694" s="35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48"/>
      <c r="Q694" s="174"/>
    </row>
    <row r="695" spans="1:17" s="28" customFormat="1" x14ac:dyDescent="0.25">
      <c r="A695" s="53"/>
      <c r="B695" s="58"/>
      <c r="C695" s="58"/>
      <c r="D695" s="35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48"/>
      <c r="Q695" s="174"/>
    </row>
    <row r="696" spans="1:17" s="28" customFormat="1" x14ac:dyDescent="0.25">
      <c r="A696" s="53"/>
      <c r="B696" s="58"/>
      <c r="C696" s="58"/>
      <c r="D696" s="35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48"/>
      <c r="Q696" s="174"/>
    </row>
    <row r="697" spans="1:17" s="28" customFormat="1" x14ac:dyDescent="0.25">
      <c r="A697" s="53"/>
      <c r="B697" s="58"/>
      <c r="C697" s="58"/>
      <c r="D697" s="35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48"/>
      <c r="Q697" s="174"/>
    </row>
    <row r="698" spans="1:17" s="28" customFormat="1" x14ac:dyDescent="0.25">
      <c r="A698" s="53"/>
      <c r="B698" s="58"/>
      <c r="C698" s="58"/>
      <c r="D698" s="35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48"/>
      <c r="Q698" s="174"/>
    </row>
    <row r="699" spans="1:17" s="28" customFormat="1" x14ac:dyDescent="0.25">
      <c r="A699" s="53"/>
      <c r="B699" s="58"/>
      <c r="C699" s="58"/>
      <c r="D699" s="35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48"/>
      <c r="Q699" s="174"/>
    </row>
    <row r="700" spans="1:17" s="28" customFormat="1" x14ac:dyDescent="0.25">
      <c r="A700" s="53"/>
      <c r="B700" s="58"/>
      <c r="C700" s="58"/>
      <c r="D700" s="35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48"/>
      <c r="Q700" s="174"/>
    </row>
    <row r="701" spans="1:17" s="28" customFormat="1" x14ac:dyDescent="0.25">
      <c r="A701" s="53"/>
      <c r="B701" s="58"/>
      <c r="C701" s="58"/>
      <c r="D701" s="35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48"/>
      <c r="Q701" s="174"/>
    </row>
    <row r="702" spans="1:17" s="28" customFormat="1" x14ac:dyDescent="0.25">
      <c r="A702" s="53"/>
      <c r="B702" s="58"/>
      <c r="C702" s="58"/>
      <c r="D702" s="35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48"/>
      <c r="Q702" s="174"/>
    </row>
    <row r="703" spans="1:17" s="28" customFormat="1" x14ac:dyDescent="0.25">
      <c r="A703" s="53"/>
      <c r="B703" s="58"/>
      <c r="C703" s="58"/>
      <c r="D703" s="35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48"/>
      <c r="Q703" s="174"/>
    </row>
    <row r="704" spans="1:17" s="28" customFormat="1" x14ac:dyDescent="0.25">
      <c r="A704" s="53"/>
      <c r="B704" s="58"/>
      <c r="C704" s="58"/>
      <c r="D704" s="35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48"/>
      <c r="Q704" s="174"/>
    </row>
    <row r="705" spans="1:17" s="28" customFormat="1" x14ac:dyDescent="0.25">
      <c r="A705" s="53"/>
      <c r="B705" s="58"/>
      <c r="C705" s="58"/>
      <c r="D705" s="35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48"/>
      <c r="Q705" s="174"/>
    </row>
    <row r="706" spans="1:17" s="28" customFormat="1" x14ac:dyDescent="0.25">
      <c r="A706" s="53"/>
      <c r="B706" s="58"/>
      <c r="C706" s="58"/>
      <c r="D706" s="35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48"/>
      <c r="Q706" s="174"/>
    </row>
    <row r="707" spans="1:17" s="28" customFormat="1" x14ac:dyDescent="0.25">
      <c r="A707" s="53"/>
      <c r="B707" s="58"/>
      <c r="C707" s="58"/>
      <c r="D707" s="35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48"/>
      <c r="Q707" s="174"/>
    </row>
    <row r="708" spans="1:17" s="28" customFormat="1" x14ac:dyDescent="0.25">
      <c r="A708" s="53"/>
      <c r="B708" s="58"/>
      <c r="C708" s="58"/>
      <c r="D708" s="35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48"/>
      <c r="Q708" s="174"/>
    </row>
    <row r="709" spans="1:17" s="28" customFormat="1" x14ac:dyDescent="0.25">
      <c r="A709" s="53"/>
      <c r="B709" s="58"/>
      <c r="C709" s="58"/>
      <c r="D709" s="35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48"/>
      <c r="Q709" s="174"/>
    </row>
    <row r="710" spans="1:17" s="28" customFormat="1" x14ac:dyDescent="0.25">
      <c r="A710" s="53"/>
      <c r="B710" s="58"/>
      <c r="C710" s="58"/>
      <c r="D710" s="35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48"/>
      <c r="Q710" s="174"/>
    </row>
    <row r="711" spans="1:17" s="28" customFormat="1" x14ac:dyDescent="0.25">
      <c r="A711" s="53"/>
      <c r="B711" s="58"/>
      <c r="C711" s="58"/>
      <c r="D711" s="35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48"/>
      <c r="Q711" s="174"/>
    </row>
    <row r="712" spans="1:17" s="28" customFormat="1" x14ac:dyDescent="0.25">
      <c r="A712" s="53"/>
      <c r="B712" s="58"/>
      <c r="C712" s="58"/>
      <c r="D712" s="35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48"/>
      <c r="Q712" s="174"/>
    </row>
    <row r="713" spans="1:17" s="28" customFormat="1" x14ac:dyDescent="0.25">
      <c r="A713" s="53"/>
      <c r="B713" s="58"/>
      <c r="C713" s="58"/>
      <c r="D713" s="35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48"/>
      <c r="Q713" s="174"/>
    </row>
    <row r="714" spans="1:17" s="28" customFormat="1" x14ac:dyDescent="0.25">
      <c r="A714" s="53"/>
      <c r="B714" s="58"/>
      <c r="C714" s="58"/>
      <c r="D714" s="35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48"/>
      <c r="Q714" s="174"/>
    </row>
    <row r="715" spans="1:17" s="28" customFormat="1" x14ac:dyDescent="0.25">
      <c r="A715" s="53"/>
      <c r="B715" s="58"/>
      <c r="C715" s="58"/>
      <c r="D715" s="35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48"/>
      <c r="Q715" s="174"/>
    </row>
    <row r="716" spans="1:17" s="28" customFormat="1" x14ac:dyDescent="0.25">
      <c r="A716" s="53"/>
      <c r="B716" s="58"/>
      <c r="C716" s="58"/>
      <c r="D716" s="35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48"/>
      <c r="Q716" s="174"/>
    </row>
    <row r="717" spans="1:17" s="28" customFormat="1" x14ac:dyDescent="0.25">
      <c r="A717" s="53"/>
      <c r="B717" s="58"/>
      <c r="C717" s="58"/>
      <c r="D717" s="35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48"/>
      <c r="Q717" s="174"/>
    </row>
    <row r="718" spans="1:17" s="28" customFormat="1" x14ac:dyDescent="0.25">
      <c r="A718" s="53"/>
      <c r="B718" s="58"/>
      <c r="C718" s="58"/>
      <c r="D718" s="35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48"/>
      <c r="Q718" s="174"/>
    </row>
    <row r="719" spans="1:17" s="28" customFormat="1" x14ac:dyDescent="0.25">
      <c r="A719" s="53"/>
      <c r="B719" s="58"/>
      <c r="C719" s="58"/>
      <c r="D719" s="35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48"/>
      <c r="Q719" s="174"/>
    </row>
    <row r="720" spans="1:17" s="28" customFormat="1" x14ac:dyDescent="0.25">
      <c r="A720" s="53"/>
      <c r="B720" s="58"/>
      <c r="C720" s="58"/>
      <c r="D720" s="35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48"/>
      <c r="Q720" s="174"/>
    </row>
    <row r="721" spans="1:17" s="28" customFormat="1" x14ac:dyDescent="0.25">
      <c r="A721" s="53"/>
      <c r="B721" s="58"/>
      <c r="C721" s="58"/>
      <c r="D721" s="35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48"/>
      <c r="Q721" s="174"/>
    </row>
    <row r="722" spans="1:17" s="28" customFormat="1" x14ac:dyDescent="0.25">
      <c r="A722" s="53"/>
      <c r="B722" s="58"/>
      <c r="C722" s="58"/>
      <c r="D722" s="35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48"/>
      <c r="Q722" s="174"/>
    </row>
    <row r="723" spans="1:17" s="28" customFormat="1" x14ac:dyDescent="0.25">
      <c r="A723" s="53"/>
      <c r="B723" s="58"/>
      <c r="C723" s="58"/>
      <c r="D723" s="35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48"/>
      <c r="Q723" s="174"/>
    </row>
    <row r="724" spans="1:17" s="28" customFormat="1" x14ac:dyDescent="0.25">
      <c r="A724" s="53"/>
      <c r="B724" s="58"/>
      <c r="C724" s="58"/>
      <c r="D724" s="35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48"/>
      <c r="Q724" s="174"/>
    </row>
    <row r="725" spans="1:17" s="28" customFormat="1" x14ac:dyDescent="0.25">
      <c r="A725" s="53"/>
      <c r="B725" s="58"/>
      <c r="C725" s="58"/>
      <c r="D725" s="35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48"/>
      <c r="Q725" s="174"/>
    </row>
    <row r="726" spans="1:17" s="28" customFormat="1" x14ac:dyDescent="0.25">
      <c r="A726" s="53"/>
      <c r="B726" s="58"/>
      <c r="C726" s="58"/>
      <c r="D726" s="35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48"/>
      <c r="Q726" s="174"/>
    </row>
    <row r="727" spans="1:17" s="28" customFormat="1" x14ac:dyDescent="0.25">
      <c r="A727" s="53"/>
      <c r="B727" s="58"/>
      <c r="C727" s="58"/>
      <c r="D727" s="35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48"/>
      <c r="Q727" s="174"/>
    </row>
    <row r="728" spans="1:17" s="28" customFormat="1" x14ac:dyDescent="0.25">
      <c r="A728" s="53"/>
      <c r="B728" s="58"/>
      <c r="C728" s="58"/>
      <c r="D728" s="35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48"/>
      <c r="Q728" s="174"/>
    </row>
    <row r="729" spans="1:17" s="28" customFormat="1" x14ac:dyDescent="0.25">
      <c r="A729" s="53"/>
      <c r="B729" s="58"/>
      <c r="C729" s="58"/>
      <c r="D729" s="35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48"/>
      <c r="Q729" s="174"/>
    </row>
    <row r="730" spans="1:17" s="28" customFormat="1" x14ac:dyDescent="0.25">
      <c r="A730" s="53"/>
      <c r="B730" s="58"/>
      <c r="C730" s="58"/>
      <c r="D730" s="35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48"/>
      <c r="Q730" s="174"/>
    </row>
    <row r="731" spans="1:17" s="28" customFormat="1" x14ac:dyDescent="0.25">
      <c r="A731" s="53"/>
      <c r="B731" s="58"/>
      <c r="C731" s="58"/>
      <c r="D731" s="35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48"/>
      <c r="Q731" s="174"/>
    </row>
    <row r="732" spans="1:17" s="28" customFormat="1" x14ac:dyDescent="0.25">
      <c r="A732" s="53"/>
      <c r="B732" s="58"/>
      <c r="C732" s="58"/>
      <c r="D732" s="35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48"/>
      <c r="Q732" s="174"/>
    </row>
    <row r="733" spans="1:17" s="28" customFormat="1" x14ac:dyDescent="0.25">
      <c r="A733" s="53"/>
      <c r="B733" s="58"/>
      <c r="C733" s="58"/>
      <c r="D733" s="35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48"/>
      <c r="Q733" s="174"/>
    </row>
    <row r="734" spans="1:17" s="28" customFormat="1" x14ac:dyDescent="0.25">
      <c r="A734" s="53"/>
      <c r="B734" s="58"/>
      <c r="C734" s="58"/>
      <c r="D734" s="35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48"/>
      <c r="Q734" s="174"/>
    </row>
    <row r="735" spans="1:17" s="28" customFormat="1" x14ac:dyDescent="0.25">
      <c r="A735" s="53"/>
      <c r="B735" s="58"/>
      <c r="C735" s="58"/>
      <c r="D735" s="35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48"/>
      <c r="Q735" s="174"/>
    </row>
    <row r="736" spans="1:17" s="28" customFormat="1" x14ac:dyDescent="0.25">
      <c r="A736" s="53"/>
      <c r="B736" s="58"/>
      <c r="C736" s="58"/>
      <c r="D736" s="35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48"/>
      <c r="Q736" s="174"/>
    </row>
    <row r="737" spans="1:17" s="28" customFormat="1" x14ac:dyDescent="0.25">
      <c r="A737" s="53"/>
      <c r="B737" s="58"/>
      <c r="C737" s="58"/>
      <c r="D737" s="35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48"/>
      <c r="Q737" s="174"/>
    </row>
    <row r="738" spans="1:17" s="28" customFormat="1" x14ac:dyDescent="0.25">
      <c r="A738" s="53"/>
      <c r="B738" s="58"/>
      <c r="C738" s="58"/>
      <c r="D738" s="35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48"/>
      <c r="Q738" s="174"/>
    </row>
    <row r="739" spans="1:17" s="28" customFormat="1" x14ac:dyDescent="0.25">
      <c r="A739" s="53"/>
      <c r="B739" s="58"/>
      <c r="C739" s="58"/>
      <c r="D739" s="35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48"/>
      <c r="Q739" s="174"/>
    </row>
    <row r="740" spans="1:17" s="28" customFormat="1" x14ac:dyDescent="0.25">
      <c r="A740" s="53"/>
      <c r="B740" s="58"/>
      <c r="C740" s="58"/>
      <c r="D740" s="35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48"/>
      <c r="Q740" s="174"/>
    </row>
    <row r="741" spans="1:17" s="28" customFormat="1" x14ac:dyDescent="0.25">
      <c r="A741" s="53"/>
      <c r="B741" s="58"/>
      <c r="C741" s="58"/>
      <c r="D741" s="35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48"/>
      <c r="Q741" s="174"/>
    </row>
    <row r="742" spans="1:17" s="28" customFormat="1" x14ac:dyDescent="0.25">
      <c r="A742" s="53"/>
      <c r="B742" s="58"/>
      <c r="C742" s="58"/>
      <c r="D742" s="35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48"/>
      <c r="Q742" s="174"/>
    </row>
    <row r="743" spans="1:17" s="28" customFormat="1" x14ac:dyDescent="0.25">
      <c r="A743" s="53"/>
      <c r="B743" s="58"/>
      <c r="C743" s="58"/>
      <c r="D743" s="35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48"/>
      <c r="Q743" s="174"/>
    </row>
    <row r="744" spans="1:17" s="28" customFormat="1" x14ac:dyDescent="0.25">
      <c r="A744" s="53"/>
      <c r="B744" s="58"/>
      <c r="C744" s="58"/>
      <c r="D744" s="35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48"/>
      <c r="Q744" s="174"/>
    </row>
    <row r="745" spans="1:17" s="28" customFormat="1" x14ac:dyDescent="0.25">
      <c r="A745" s="53"/>
      <c r="B745" s="58"/>
      <c r="C745" s="58"/>
      <c r="D745" s="35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48"/>
      <c r="Q745" s="174"/>
    </row>
    <row r="746" spans="1:17" s="28" customFormat="1" x14ac:dyDescent="0.25">
      <c r="A746" s="53"/>
      <c r="B746" s="58"/>
      <c r="C746" s="58"/>
      <c r="D746" s="35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48"/>
      <c r="Q746" s="174"/>
    </row>
    <row r="747" spans="1:17" s="28" customFormat="1" x14ac:dyDescent="0.25">
      <c r="A747" s="53"/>
      <c r="B747" s="58"/>
      <c r="C747" s="58"/>
      <c r="D747" s="35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48"/>
      <c r="Q747" s="174"/>
    </row>
    <row r="748" spans="1:17" s="28" customFormat="1" x14ac:dyDescent="0.25">
      <c r="A748" s="53"/>
      <c r="B748" s="58"/>
      <c r="C748" s="58"/>
      <c r="D748" s="35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48"/>
      <c r="Q748" s="174"/>
    </row>
    <row r="749" spans="1:17" s="28" customFormat="1" x14ac:dyDescent="0.25">
      <c r="A749" s="53"/>
      <c r="B749" s="58"/>
      <c r="C749" s="58"/>
      <c r="D749" s="35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48"/>
      <c r="Q749" s="174"/>
    </row>
    <row r="750" spans="1:17" s="28" customFormat="1" x14ac:dyDescent="0.25">
      <c r="A750" s="53"/>
      <c r="B750" s="58"/>
      <c r="C750" s="58"/>
      <c r="D750" s="35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48"/>
      <c r="Q750" s="174"/>
    </row>
    <row r="751" spans="1:17" s="28" customFormat="1" x14ac:dyDescent="0.25">
      <c r="A751" s="53"/>
      <c r="B751" s="58"/>
      <c r="C751" s="58"/>
      <c r="D751" s="35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48"/>
      <c r="Q751" s="174"/>
    </row>
    <row r="752" spans="1:17" s="28" customFormat="1" x14ac:dyDescent="0.25">
      <c r="A752" s="53"/>
      <c r="B752" s="58"/>
      <c r="C752" s="58"/>
      <c r="D752" s="35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48"/>
      <c r="Q752" s="174"/>
    </row>
    <row r="753" spans="1:17" s="28" customFormat="1" x14ac:dyDescent="0.25">
      <c r="A753" s="53"/>
      <c r="B753" s="58"/>
      <c r="C753" s="58"/>
      <c r="D753" s="35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48"/>
      <c r="Q753" s="174"/>
    </row>
    <row r="754" spans="1:17" s="28" customFormat="1" x14ac:dyDescent="0.25">
      <c r="A754" s="53"/>
      <c r="B754" s="58"/>
      <c r="C754" s="58"/>
      <c r="D754" s="35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48"/>
      <c r="Q754" s="174"/>
    </row>
    <row r="755" spans="1:17" s="28" customFormat="1" x14ac:dyDescent="0.25">
      <c r="A755" s="53"/>
      <c r="B755" s="58"/>
      <c r="C755" s="58"/>
      <c r="D755" s="35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48"/>
      <c r="Q755" s="174"/>
    </row>
    <row r="756" spans="1:17" s="28" customFormat="1" x14ac:dyDescent="0.25">
      <c r="A756" s="53"/>
      <c r="B756" s="58"/>
      <c r="C756" s="58"/>
      <c r="D756" s="35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48"/>
      <c r="Q756" s="174"/>
    </row>
    <row r="757" spans="1:17" s="28" customFormat="1" x14ac:dyDescent="0.25">
      <c r="A757" s="53"/>
      <c r="B757" s="58"/>
      <c r="C757" s="58"/>
      <c r="D757" s="35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48"/>
      <c r="Q757" s="174"/>
    </row>
    <row r="758" spans="1:17" s="28" customFormat="1" x14ac:dyDescent="0.25">
      <c r="A758" s="53"/>
      <c r="B758" s="58"/>
      <c r="C758" s="58"/>
      <c r="D758" s="35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48"/>
      <c r="Q758" s="174"/>
    </row>
    <row r="759" spans="1:17" s="28" customFormat="1" x14ac:dyDescent="0.25">
      <c r="A759" s="53"/>
      <c r="B759" s="58"/>
      <c r="C759" s="58"/>
      <c r="D759" s="35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48"/>
      <c r="Q759" s="174"/>
    </row>
    <row r="760" spans="1:17" s="28" customFormat="1" x14ac:dyDescent="0.25">
      <c r="A760" s="53"/>
      <c r="B760" s="58"/>
      <c r="C760" s="58"/>
      <c r="D760" s="35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48"/>
      <c r="Q760" s="174"/>
    </row>
    <row r="761" spans="1:17" s="28" customFormat="1" x14ac:dyDescent="0.25">
      <c r="A761" s="53"/>
      <c r="B761" s="58"/>
      <c r="C761" s="58"/>
      <c r="D761" s="35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48"/>
      <c r="Q761" s="174"/>
    </row>
    <row r="762" spans="1:17" s="28" customFormat="1" x14ac:dyDescent="0.25">
      <c r="A762" s="53"/>
      <c r="B762" s="58"/>
      <c r="C762" s="58"/>
      <c r="D762" s="35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48"/>
      <c r="Q762" s="174"/>
    </row>
    <row r="763" spans="1:17" s="28" customFormat="1" x14ac:dyDescent="0.25">
      <c r="A763" s="53"/>
      <c r="B763" s="58"/>
      <c r="C763" s="58"/>
      <c r="D763" s="35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48"/>
      <c r="Q763" s="174"/>
    </row>
    <row r="764" spans="1:17" s="28" customFormat="1" x14ac:dyDescent="0.25">
      <c r="A764" s="53"/>
      <c r="B764" s="58"/>
      <c r="C764" s="58"/>
      <c r="D764" s="35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48"/>
      <c r="Q764" s="174"/>
    </row>
    <row r="765" spans="1:17" s="28" customFormat="1" x14ac:dyDescent="0.25">
      <c r="A765" s="53"/>
      <c r="B765" s="58"/>
      <c r="C765" s="58"/>
      <c r="D765" s="35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48"/>
      <c r="Q765" s="174"/>
    </row>
    <row r="766" spans="1:17" s="28" customFormat="1" x14ac:dyDescent="0.25">
      <c r="A766" s="53"/>
      <c r="B766" s="58"/>
      <c r="C766" s="58"/>
      <c r="D766" s="35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48"/>
      <c r="Q766" s="174"/>
    </row>
    <row r="767" spans="1:17" s="28" customFormat="1" x14ac:dyDescent="0.25">
      <c r="A767" s="53"/>
      <c r="B767" s="58"/>
      <c r="C767" s="58"/>
      <c r="D767" s="35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48"/>
      <c r="Q767" s="174"/>
    </row>
    <row r="768" spans="1:17" s="28" customFormat="1" x14ac:dyDescent="0.25">
      <c r="A768" s="53"/>
      <c r="B768" s="58"/>
      <c r="C768" s="58"/>
      <c r="D768" s="35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48"/>
      <c r="Q768" s="174"/>
    </row>
    <row r="769" spans="1:17" s="28" customFormat="1" x14ac:dyDescent="0.25">
      <c r="A769" s="53"/>
      <c r="B769" s="58"/>
      <c r="C769" s="58"/>
      <c r="D769" s="35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48"/>
      <c r="Q769" s="174"/>
    </row>
    <row r="770" spans="1:17" s="28" customFormat="1" x14ac:dyDescent="0.25">
      <c r="A770" s="53"/>
      <c r="B770" s="58"/>
      <c r="C770" s="58"/>
      <c r="D770" s="35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48"/>
      <c r="Q770" s="174"/>
    </row>
    <row r="771" spans="1:17" s="28" customFormat="1" x14ac:dyDescent="0.25">
      <c r="A771" s="53"/>
      <c r="B771" s="58"/>
      <c r="C771" s="58"/>
      <c r="D771" s="35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48"/>
      <c r="Q771" s="174"/>
    </row>
    <row r="772" spans="1:17" s="28" customFormat="1" x14ac:dyDescent="0.25">
      <c r="A772" s="53"/>
      <c r="B772" s="58"/>
      <c r="C772" s="58"/>
      <c r="D772" s="35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48"/>
      <c r="Q772" s="174"/>
    </row>
    <row r="773" spans="1:17" s="28" customFormat="1" x14ac:dyDescent="0.25">
      <c r="A773" s="53"/>
      <c r="B773" s="58"/>
      <c r="C773" s="58"/>
      <c r="D773" s="35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48"/>
      <c r="Q773" s="174"/>
    </row>
    <row r="774" spans="1:17" s="28" customFormat="1" x14ac:dyDescent="0.25">
      <c r="A774" s="53"/>
      <c r="B774" s="58"/>
      <c r="C774" s="58"/>
      <c r="D774" s="35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48"/>
      <c r="Q774" s="174"/>
    </row>
    <row r="775" spans="1:17" s="28" customFormat="1" x14ac:dyDescent="0.25">
      <c r="A775" s="53"/>
      <c r="B775" s="58"/>
      <c r="C775" s="58"/>
      <c r="D775" s="35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48"/>
      <c r="Q775" s="174"/>
    </row>
    <row r="776" spans="1:17" s="28" customFormat="1" x14ac:dyDescent="0.25">
      <c r="A776" s="53"/>
      <c r="B776" s="58"/>
      <c r="C776" s="58"/>
      <c r="D776" s="35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48"/>
      <c r="Q776" s="174"/>
    </row>
    <row r="777" spans="1:17" s="28" customFormat="1" x14ac:dyDescent="0.25">
      <c r="A777" s="53"/>
      <c r="B777" s="58"/>
      <c r="C777" s="58"/>
      <c r="D777" s="35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48"/>
      <c r="Q777" s="174"/>
    </row>
    <row r="778" spans="1:17" s="28" customFormat="1" x14ac:dyDescent="0.25">
      <c r="A778" s="53"/>
      <c r="B778" s="58"/>
      <c r="C778" s="58"/>
      <c r="D778" s="35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48"/>
      <c r="Q778" s="174"/>
    </row>
    <row r="779" spans="1:17" s="28" customFormat="1" x14ac:dyDescent="0.25">
      <c r="A779" s="53"/>
      <c r="B779" s="58"/>
      <c r="C779" s="58"/>
      <c r="D779" s="35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48"/>
      <c r="Q779" s="174"/>
    </row>
    <row r="780" spans="1:17" s="28" customFormat="1" x14ac:dyDescent="0.25">
      <c r="A780" s="53"/>
      <c r="B780" s="58"/>
      <c r="C780" s="58"/>
      <c r="D780" s="35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48"/>
      <c r="Q780" s="174"/>
    </row>
    <row r="781" spans="1:17" s="28" customFormat="1" x14ac:dyDescent="0.25">
      <c r="A781" s="53"/>
      <c r="B781" s="58"/>
      <c r="C781" s="58"/>
      <c r="D781" s="35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48"/>
      <c r="Q781" s="174"/>
    </row>
    <row r="782" spans="1:17" s="28" customFormat="1" x14ac:dyDescent="0.25">
      <c r="A782" s="53"/>
      <c r="B782" s="58"/>
      <c r="C782" s="58"/>
      <c r="D782" s="35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48"/>
      <c r="Q782" s="174"/>
    </row>
    <row r="783" spans="1:17" s="28" customFormat="1" x14ac:dyDescent="0.25">
      <c r="A783" s="53"/>
      <c r="B783" s="58"/>
      <c r="C783" s="58"/>
      <c r="D783" s="35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48"/>
      <c r="Q783" s="174"/>
    </row>
    <row r="784" spans="1:17" s="28" customFormat="1" x14ac:dyDescent="0.25">
      <c r="A784" s="53"/>
      <c r="B784" s="58"/>
      <c r="C784" s="58"/>
      <c r="D784" s="35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48"/>
      <c r="Q784" s="174"/>
    </row>
    <row r="785" spans="1:17" s="28" customFormat="1" x14ac:dyDescent="0.25">
      <c r="A785" s="53"/>
      <c r="B785" s="58"/>
      <c r="C785" s="58"/>
      <c r="D785" s="35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48"/>
      <c r="Q785" s="174"/>
    </row>
    <row r="786" spans="1:17" s="28" customFormat="1" x14ac:dyDescent="0.25">
      <c r="A786" s="53"/>
      <c r="B786" s="58"/>
      <c r="C786" s="58"/>
      <c r="D786" s="35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48"/>
      <c r="Q786" s="174"/>
    </row>
    <row r="787" spans="1:17" s="28" customFormat="1" x14ac:dyDescent="0.25">
      <c r="A787" s="53"/>
      <c r="B787" s="58"/>
      <c r="C787" s="58"/>
      <c r="D787" s="35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48"/>
      <c r="Q787" s="174"/>
    </row>
    <row r="788" spans="1:17" s="28" customFormat="1" x14ac:dyDescent="0.25">
      <c r="A788" s="53"/>
      <c r="B788" s="58"/>
      <c r="C788" s="58"/>
      <c r="D788" s="35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48"/>
      <c r="Q788" s="174"/>
    </row>
    <row r="789" spans="1:17" s="28" customFormat="1" x14ac:dyDescent="0.25">
      <c r="A789" s="53"/>
      <c r="B789" s="58"/>
      <c r="C789" s="58"/>
      <c r="D789" s="35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48"/>
      <c r="Q789" s="174"/>
    </row>
    <row r="790" spans="1:17" s="28" customFormat="1" x14ac:dyDescent="0.25">
      <c r="A790" s="53"/>
      <c r="B790" s="58"/>
      <c r="C790" s="58"/>
      <c r="D790" s="35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48"/>
      <c r="Q790" s="174"/>
    </row>
    <row r="791" spans="1:17" s="28" customFormat="1" x14ac:dyDescent="0.25">
      <c r="A791" s="53"/>
      <c r="B791" s="58"/>
      <c r="C791" s="58"/>
      <c r="D791" s="35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48"/>
      <c r="Q791" s="174"/>
    </row>
    <row r="792" spans="1:17" s="28" customFormat="1" x14ac:dyDescent="0.25">
      <c r="A792" s="53"/>
      <c r="B792" s="58"/>
      <c r="C792" s="58"/>
      <c r="D792" s="35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48"/>
      <c r="Q792" s="174"/>
    </row>
    <row r="793" spans="1:17" s="28" customFormat="1" x14ac:dyDescent="0.25">
      <c r="A793" s="53"/>
      <c r="B793" s="58"/>
      <c r="C793" s="58"/>
      <c r="D793" s="35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48"/>
      <c r="Q793" s="174"/>
    </row>
    <row r="794" spans="1:17" s="28" customFormat="1" x14ac:dyDescent="0.25">
      <c r="A794" s="53"/>
      <c r="B794" s="58"/>
      <c r="C794" s="58"/>
      <c r="D794" s="35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48"/>
      <c r="Q794" s="174"/>
    </row>
    <row r="795" spans="1:17" s="28" customFormat="1" x14ac:dyDescent="0.25">
      <c r="A795" s="53"/>
      <c r="B795" s="58"/>
      <c r="C795" s="58"/>
      <c r="D795" s="35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48"/>
      <c r="Q795" s="174"/>
    </row>
    <row r="796" spans="1:17" s="28" customFormat="1" x14ac:dyDescent="0.25">
      <c r="A796" s="53"/>
      <c r="B796" s="58"/>
      <c r="C796" s="58"/>
      <c r="D796" s="35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48"/>
      <c r="Q796" s="174"/>
    </row>
    <row r="797" spans="1:17" s="28" customFormat="1" x14ac:dyDescent="0.25">
      <c r="A797" s="53"/>
      <c r="B797" s="58"/>
      <c r="C797" s="58"/>
      <c r="D797" s="35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48"/>
      <c r="Q797" s="174"/>
    </row>
    <row r="798" spans="1:17" s="28" customFormat="1" x14ac:dyDescent="0.25">
      <c r="A798" s="53"/>
      <c r="B798" s="58"/>
      <c r="C798" s="58"/>
      <c r="D798" s="35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48"/>
      <c r="Q798" s="174"/>
    </row>
    <row r="799" spans="1:17" s="28" customFormat="1" x14ac:dyDescent="0.25">
      <c r="A799" s="53"/>
      <c r="B799" s="58"/>
      <c r="C799" s="58"/>
      <c r="D799" s="35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48"/>
      <c r="Q799" s="174"/>
    </row>
    <row r="800" spans="1:17" s="28" customFormat="1" x14ac:dyDescent="0.25">
      <c r="A800" s="53"/>
      <c r="B800" s="58"/>
      <c r="C800" s="58"/>
      <c r="D800" s="35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48"/>
      <c r="Q800" s="174"/>
    </row>
    <row r="801" spans="1:17" s="28" customFormat="1" x14ac:dyDescent="0.25">
      <c r="A801" s="53"/>
      <c r="B801" s="58"/>
      <c r="C801" s="58"/>
      <c r="D801" s="35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48"/>
      <c r="Q801" s="174"/>
    </row>
    <row r="802" spans="1:17" s="28" customFormat="1" x14ac:dyDescent="0.25">
      <c r="A802" s="53"/>
      <c r="B802" s="58"/>
      <c r="C802" s="58"/>
      <c r="D802" s="35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48"/>
      <c r="Q802" s="174"/>
    </row>
    <row r="803" spans="1:17" s="28" customFormat="1" x14ac:dyDescent="0.25">
      <c r="A803" s="53"/>
      <c r="B803" s="58"/>
      <c r="C803" s="58"/>
      <c r="D803" s="35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48"/>
      <c r="Q803" s="174"/>
    </row>
    <row r="804" spans="1:17" s="28" customFormat="1" x14ac:dyDescent="0.25">
      <c r="A804" s="53"/>
      <c r="B804" s="58"/>
      <c r="C804" s="58"/>
      <c r="D804" s="35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48"/>
      <c r="Q804" s="174"/>
    </row>
    <row r="805" spans="1:17" s="28" customFormat="1" x14ac:dyDescent="0.25">
      <c r="A805" s="53"/>
      <c r="B805" s="58"/>
      <c r="C805" s="58"/>
      <c r="D805" s="35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48"/>
      <c r="Q805" s="174"/>
    </row>
    <row r="806" spans="1:17" s="28" customFormat="1" x14ac:dyDescent="0.25">
      <c r="A806" s="53"/>
      <c r="B806" s="58"/>
      <c r="C806" s="58"/>
      <c r="D806" s="35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48"/>
      <c r="Q806" s="174"/>
    </row>
    <row r="807" spans="1:17" s="28" customFormat="1" x14ac:dyDescent="0.25">
      <c r="A807" s="53"/>
      <c r="B807" s="58"/>
      <c r="C807" s="58"/>
      <c r="D807" s="35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48"/>
      <c r="Q807" s="174"/>
    </row>
    <row r="808" spans="1:17" s="28" customFormat="1" x14ac:dyDescent="0.25">
      <c r="A808" s="53"/>
      <c r="B808" s="58"/>
      <c r="C808" s="58"/>
      <c r="D808" s="35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48"/>
      <c r="Q808" s="174"/>
    </row>
    <row r="809" spans="1:17" s="28" customFormat="1" x14ac:dyDescent="0.25">
      <c r="A809" s="53"/>
      <c r="B809" s="58"/>
      <c r="C809" s="58"/>
      <c r="D809" s="35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48"/>
      <c r="Q809" s="174"/>
    </row>
    <row r="810" spans="1:17" s="28" customFormat="1" x14ac:dyDescent="0.25">
      <c r="A810" s="53"/>
      <c r="B810" s="58"/>
      <c r="C810" s="58"/>
      <c r="D810" s="35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48"/>
      <c r="Q810" s="174"/>
    </row>
    <row r="811" spans="1:17" s="28" customFormat="1" x14ac:dyDescent="0.25">
      <c r="A811" s="53"/>
      <c r="B811" s="58"/>
      <c r="C811" s="58"/>
      <c r="D811" s="35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48"/>
      <c r="Q811" s="174"/>
    </row>
    <row r="812" spans="1:17" s="28" customFormat="1" x14ac:dyDescent="0.25">
      <c r="A812" s="53"/>
      <c r="B812" s="58"/>
      <c r="C812" s="58"/>
      <c r="D812" s="35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48"/>
      <c r="Q812" s="174"/>
    </row>
    <row r="813" spans="1:17" s="28" customFormat="1" x14ac:dyDescent="0.25">
      <c r="A813" s="53"/>
      <c r="B813" s="58"/>
      <c r="C813" s="58"/>
      <c r="D813" s="35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48"/>
      <c r="Q813" s="174"/>
    </row>
    <row r="814" spans="1:17" s="28" customFormat="1" x14ac:dyDescent="0.25">
      <c r="A814" s="53"/>
      <c r="B814" s="58"/>
      <c r="C814" s="58"/>
      <c r="D814" s="35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48"/>
      <c r="Q814" s="174"/>
    </row>
    <row r="815" spans="1:17" s="28" customFormat="1" x14ac:dyDescent="0.25">
      <c r="A815" s="53"/>
      <c r="B815" s="58"/>
      <c r="C815" s="58"/>
      <c r="D815" s="35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48"/>
      <c r="Q815" s="174"/>
    </row>
    <row r="816" spans="1:17" s="28" customFormat="1" x14ac:dyDescent="0.25">
      <c r="A816" s="53"/>
      <c r="B816" s="58"/>
      <c r="C816" s="58"/>
      <c r="D816" s="35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48"/>
      <c r="Q816" s="174"/>
    </row>
    <row r="817" spans="1:17" s="28" customFormat="1" x14ac:dyDescent="0.25">
      <c r="A817" s="53"/>
      <c r="B817" s="58"/>
      <c r="C817" s="58"/>
      <c r="D817" s="35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48"/>
      <c r="Q817" s="174"/>
    </row>
    <row r="818" spans="1:17" s="28" customFormat="1" x14ac:dyDescent="0.25">
      <c r="A818" s="53"/>
      <c r="B818" s="58"/>
      <c r="C818" s="58"/>
      <c r="D818" s="35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48"/>
      <c r="Q818" s="174"/>
    </row>
    <row r="819" spans="1:17" s="28" customFormat="1" x14ac:dyDescent="0.25">
      <c r="A819" s="53"/>
      <c r="B819" s="58"/>
      <c r="C819" s="58"/>
      <c r="D819" s="35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48"/>
      <c r="Q819" s="174"/>
    </row>
    <row r="820" spans="1:17" s="28" customFormat="1" x14ac:dyDescent="0.25">
      <c r="A820" s="53"/>
      <c r="B820" s="58"/>
      <c r="C820" s="58"/>
      <c r="D820" s="35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48"/>
      <c r="Q820" s="174"/>
    </row>
    <row r="821" spans="1:17" s="28" customFormat="1" x14ac:dyDescent="0.25">
      <c r="A821" s="53"/>
      <c r="B821" s="58"/>
      <c r="C821" s="58"/>
      <c r="D821" s="35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48"/>
      <c r="Q821" s="174"/>
    </row>
    <row r="822" spans="1:17" s="28" customFormat="1" x14ac:dyDescent="0.25">
      <c r="A822" s="53"/>
      <c r="B822" s="58"/>
      <c r="C822" s="58"/>
      <c r="D822" s="35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48"/>
      <c r="Q822" s="174"/>
    </row>
    <row r="823" spans="1:17" s="28" customFormat="1" x14ac:dyDescent="0.25">
      <c r="A823" s="53"/>
      <c r="B823" s="58"/>
      <c r="C823" s="58"/>
      <c r="D823" s="35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48"/>
      <c r="Q823" s="174"/>
    </row>
    <row r="824" spans="1:17" s="28" customFormat="1" x14ac:dyDescent="0.25">
      <c r="A824" s="53"/>
      <c r="B824" s="58"/>
      <c r="C824" s="58"/>
      <c r="D824" s="35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48"/>
      <c r="Q824" s="174"/>
    </row>
    <row r="825" spans="1:17" s="28" customFormat="1" x14ac:dyDescent="0.25">
      <c r="A825" s="53"/>
      <c r="B825" s="58"/>
      <c r="C825" s="58"/>
      <c r="D825" s="35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48"/>
      <c r="Q825" s="174"/>
    </row>
    <row r="826" spans="1:17" s="28" customFormat="1" x14ac:dyDescent="0.25">
      <c r="A826" s="53"/>
      <c r="B826" s="58"/>
      <c r="C826" s="58"/>
      <c r="D826" s="35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48"/>
      <c r="Q826" s="174"/>
    </row>
    <row r="827" spans="1:17" s="28" customFormat="1" x14ac:dyDescent="0.25">
      <c r="A827" s="53"/>
      <c r="B827" s="58"/>
      <c r="C827" s="58"/>
      <c r="D827" s="35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48"/>
      <c r="Q827" s="174"/>
    </row>
    <row r="828" spans="1:17" s="28" customFormat="1" x14ac:dyDescent="0.25">
      <c r="A828" s="53"/>
      <c r="B828" s="58"/>
      <c r="C828" s="58"/>
      <c r="D828" s="35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48"/>
      <c r="Q828" s="174"/>
    </row>
    <row r="829" spans="1:17" s="28" customFormat="1" x14ac:dyDescent="0.25">
      <c r="A829" s="53"/>
      <c r="B829" s="58"/>
      <c r="C829" s="58"/>
      <c r="D829" s="35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48"/>
      <c r="Q829" s="174"/>
    </row>
    <row r="830" spans="1:17" s="28" customFormat="1" x14ac:dyDescent="0.25">
      <c r="A830" s="53"/>
      <c r="B830" s="58"/>
      <c r="C830" s="58"/>
      <c r="D830" s="35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48"/>
      <c r="Q830" s="174"/>
    </row>
    <row r="831" spans="1:17" s="28" customFormat="1" x14ac:dyDescent="0.25">
      <c r="A831" s="53"/>
      <c r="B831" s="58"/>
      <c r="C831" s="58"/>
      <c r="D831" s="35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48"/>
      <c r="Q831" s="174"/>
    </row>
    <row r="832" spans="1:17" s="28" customFormat="1" x14ac:dyDescent="0.25">
      <c r="A832" s="53"/>
      <c r="B832" s="58"/>
      <c r="C832" s="58"/>
      <c r="D832" s="35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48"/>
      <c r="Q832" s="174"/>
    </row>
    <row r="833" spans="1:17" s="28" customFormat="1" x14ac:dyDescent="0.25">
      <c r="A833" s="53"/>
      <c r="B833" s="58"/>
      <c r="C833" s="58"/>
      <c r="D833" s="35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48"/>
      <c r="Q833" s="174"/>
    </row>
    <row r="834" spans="1:17" s="28" customFormat="1" x14ac:dyDescent="0.25">
      <c r="A834" s="53"/>
      <c r="B834" s="58"/>
      <c r="C834" s="58"/>
      <c r="D834" s="35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48"/>
      <c r="Q834" s="174"/>
    </row>
    <row r="835" spans="1:17" s="28" customFormat="1" x14ac:dyDescent="0.25">
      <c r="A835" s="53"/>
      <c r="B835" s="58"/>
      <c r="C835" s="58"/>
      <c r="D835" s="35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48"/>
      <c r="Q835" s="174"/>
    </row>
    <row r="836" spans="1:17" s="28" customFormat="1" x14ac:dyDescent="0.25">
      <c r="A836" s="53"/>
      <c r="B836" s="58"/>
      <c r="C836" s="58"/>
      <c r="D836" s="35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48"/>
      <c r="Q836" s="174"/>
    </row>
    <row r="837" spans="1:17" s="28" customFormat="1" x14ac:dyDescent="0.25">
      <c r="A837" s="53"/>
      <c r="B837" s="58"/>
      <c r="C837" s="58"/>
      <c r="D837" s="35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48"/>
      <c r="Q837" s="174"/>
    </row>
    <row r="838" spans="1:17" s="28" customFormat="1" x14ac:dyDescent="0.25">
      <c r="A838" s="53"/>
      <c r="B838" s="58"/>
      <c r="C838" s="58"/>
      <c r="D838" s="35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48"/>
      <c r="Q838" s="174"/>
    </row>
    <row r="839" spans="1:17" s="28" customFormat="1" x14ac:dyDescent="0.25">
      <c r="A839" s="53"/>
      <c r="B839" s="58"/>
      <c r="C839" s="58"/>
      <c r="D839" s="35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48"/>
      <c r="Q839" s="174"/>
    </row>
    <row r="840" spans="1:17" s="28" customFormat="1" x14ac:dyDescent="0.25">
      <c r="A840" s="53"/>
      <c r="B840" s="58"/>
      <c r="C840" s="58"/>
      <c r="D840" s="35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48"/>
      <c r="Q840" s="174"/>
    </row>
    <row r="841" spans="1:17" s="28" customFormat="1" x14ac:dyDescent="0.25">
      <c r="A841" s="53"/>
      <c r="B841" s="58"/>
      <c r="C841" s="58"/>
      <c r="D841" s="35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48"/>
      <c r="Q841" s="174"/>
    </row>
    <row r="842" spans="1:17" s="28" customFormat="1" x14ac:dyDescent="0.25">
      <c r="A842" s="53"/>
      <c r="B842" s="58"/>
      <c r="C842" s="58"/>
      <c r="D842" s="35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48"/>
      <c r="Q842" s="174"/>
    </row>
    <row r="843" spans="1:17" s="28" customFormat="1" x14ac:dyDescent="0.25">
      <c r="A843" s="53"/>
      <c r="B843" s="58"/>
      <c r="C843" s="58"/>
      <c r="D843" s="35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48"/>
      <c r="Q843" s="174"/>
    </row>
    <row r="844" spans="1:17" s="28" customFormat="1" x14ac:dyDescent="0.25">
      <c r="A844" s="53"/>
      <c r="B844" s="58"/>
      <c r="C844" s="58"/>
      <c r="D844" s="35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48"/>
      <c r="Q844" s="174"/>
    </row>
    <row r="845" spans="1:17" s="28" customFormat="1" x14ac:dyDescent="0.25">
      <c r="A845" s="53"/>
      <c r="B845" s="58"/>
      <c r="C845" s="58"/>
      <c r="D845" s="35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48"/>
      <c r="Q845" s="174"/>
    </row>
    <row r="846" spans="1:17" s="28" customFormat="1" x14ac:dyDescent="0.25">
      <c r="A846" s="53"/>
      <c r="B846" s="58"/>
      <c r="C846" s="58"/>
      <c r="D846" s="35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48"/>
      <c r="Q846" s="174"/>
    </row>
    <row r="847" spans="1:17" s="28" customFormat="1" x14ac:dyDescent="0.25">
      <c r="A847" s="53"/>
      <c r="B847" s="58"/>
      <c r="C847" s="58"/>
      <c r="D847" s="35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48"/>
      <c r="Q847" s="174"/>
    </row>
    <row r="848" spans="1:17" s="28" customFormat="1" x14ac:dyDescent="0.25">
      <c r="A848" s="53"/>
      <c r="B848" s="58"/>
      <c r="C848" s="58"/>
      <c r="D848" s="35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48"/>
      <c r="Q848" s="174"/>
    </row>
    <row r="849" spans="1:17" s="28" customFormat="1" x14ac:dyDescent="0.25">
      <c r="A849" s="53"/>
      <c r="B849" s="58"/>
      <c r="C849" s="58"/>
      <c r="D849" s="35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48"/>
      <c r="Q849" s="174"/>
    </row>
    <row r="850" spans="1:17" s="28" customFormat="1" x14ac:dyDescent="0.25">
      <c r="A850" s="53"/>
      <c r="B850" s="58"/>
      <c r="C850" s="58"/>
      <c r="D850" s="35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48"/>
      <c r="Q850" s="174"/>
    </row>
    <row r="851" spans="1:17" s="28" customFormat="1" x14ac:dyDescent="0.25">
      <c r="A851" s="53"/>
      <c r="B851" s="58"/>
      <c r="C851" s="58"/>
      <c r="D851" s="35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48"/>
      <c r="Q851" s="174"/>
    </row>
    <row r="852" spans="1:17" s="28" customFormat="1" x14ac:dyDescent="0.25">
      <c r="A852" s="53"/>
      <c r="B852" s="58"/>
      <c r="C852" s="58"/>
      <c r="D852" s="35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48"/>
      <c r="Q852" s="174"/>
    </row>
    <row r="853" spans="1:17" s="28" customFormat="1" x14ac:dyDescent="0.25">
      <c r="A853" s="53"/>
      <c r="B853" s="58"/>
      <c r="C853" s="58"/>
      <c r="D853" s="35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48"/>
      <c r="Q853" s="174"/>
    </row>
    <row r="854" spans="1:17" s="28" customFormat="1" x14ac:dyDescent="0.25">
      <c r="A854" s="53"/>
      <c r="B854" s="58"/>
      <c r="C854" s="58"/>
      <c r="D854" s="35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48"/>
      <c r="Q854" s="174"/>
    </row>
    <row r="855" spans="1:17" s="28" customFormat="1" x14ac:dyDescent="0.25">
      <c r="A855" s="53"/>
      <c r="B855" s="58"/>
      <c r="C855" s="58"/>
      <c r="D855" s="35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48"/>
      <c r="Q855" s="174"/>
    </row>
    <row r="856" spans="1:17" s="28" customFormat="1" x14ac:dyDescent="0.25">
      <c r="A856" s="53"/>
      <c r="B856" s="58"/>
      <c r="C856" s="58"/>
      <c r="D856" s="35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48"/>
      <c r="Q856" s="174"/>
    </row>
    <row r="857" spans="1:17" s="28" customFormat="1" x14ac:dyDescent="0.25">
      <c r="A857" s="53"/>
      <c r="B857" s="58"/>
      <c r="C857" s="58"/>
      <c r="D857" s="35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48"/>
      <c r="Q857" s="174"/>
    </row>
    <row r="858" spans="1:17" s="28" customFormat="1" x14ac:dyDescent="0.25">
      <c r="A858" s="53"/>
      <c r="B858" s="58"/>
      <c r="C858" s="58"/>
      <c r="D858" s="35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48"/>
      <c r="Q858" s="174"/>
    </row>
    <row r="859" spans="1:17" s="28" customFormat="1" x14ac:dyDescent="0.25">
      <c r="A859" s="53"/>
      <c r="B859" s="58"/>
      <c r="C859" s="58"/>
      <c r="D859" s="35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48"/>
      <c r="Q859" s="174"/>
    </row>
    <row r="860" spans="1:17" s="28" customFormat="1" x14ac:dyDescent="0.25">
      <c r="A860" s="53"/>
      <c r="B860" s="58"/>
      <c r="C860" s="58"/>
      <c r="D860" s="35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48"/>
      <c r="Q860" s="174"/>
    </row>
    <row r="861" spans="1:17" s="28" customFormat="1" x14ac:dyDescent="0.25">
      <c r="A861" s="53"/>
      <c r="B861" s="58"/>
      <c r="C861" s="58"/>
      <c r="D861" s="35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48"/>
      <c r="Q861" s="174"/>
    </row>
    <row r="862" spans="1:17" s="28" customFormat="1" x14ac:dyDescent="0.25">
      <c r="A862" s="53"/>
      <c r="B862" s="58"/>
      <c r="C862" s="58"/>
      <c r="D862" s="35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48"/>
      <c r="Q862" s="174"/>
    </row>
    <row r="863" spans="1:17" s="28" customFormat="1" x14ac:dyDescent="0.25">
      <c r="A863" s="53"/>
      <c r="B863" s="58"/>
      <c r="C863" s="58"/>
      <c r="D863" s="35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48"/>
      <c r="Q863" s="174"/>
    </row>
    <row r="864" spans="1:17" s="28" customFormat="1" x14ac:dyDescent="0.25">
      <c r="A864" s="53"/>
      <c r="B864" s="58"/>
      <c r="C864" s="58"/>
      <c r="D864" s="35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48"/>
      <c r="Q864" s="174"/>
    </row>
    <row r="865" spans="1:17" s="28" customFormat="1" x14ac:dyDescent="0.25">
      <c r="A865" s="53"/>
      <c r="B865" s="58"/>
      <c r="C865" s="58"/>
      <c r="D865" s="35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48"/>
      <c r="Q865" s="174"/>
    </row>
    <row r="866" spans="1:17" s="28" customFormat="1" x14ac:dyDescent="0.25">
      <c r="A866" s="53"/>
      <c r="B866" s="58"/>
      <c r="C866" s="58"/>
      <c r="D866" s="35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48"/>
      <c r="Q866" s="174"/>
    </row>
    <row r="867" spans="1:17" s="28" customFormat="1" x14ac:dyDescent="0.25">
      <c r="A867" s="53"/>
      <c r="B867" s="58"/>
      <c r="C867" s="58"/>
      <c r="D867" s="35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48"/>
      <c r="Q867" s="174"/>
    </row>
    <row r="868" spans="1:17" s="28" customFormat="1" x14ac:dyDescent="0.25">
      <c r="A868" s="53"/>
      <c r="B868" s="58"/>
      <c r="C868" s="58"/>
      <c r="D868" s="35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48"/>
      <c r="Q868" s="174"/>
    </row>
    <row r="869" spans="1:17" s="28" customFormat="1" x14ac:dyDescent="0.25">
      <c r="A869" s="53"/>
      <c r="B869" s="58"/>
      <c r="C869" s="58"/>
      <c r="D869" s="35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48"/>
      <c r="Q869" s="174"/>
    </row>
    <row r="870" spans="1:17" s="28" customFormat="1" x14ac:dyDescent="0.25">
      <c r="A870" s="53"/>
      <c r="B870" s="58"/>
      <c r="C870" s="58"/>
      <c r="D870" s="35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48"/>
      <c r="Q870" s="174"/>
    </row>
    <row r="871" spans="1:17" s="28" customFormat="1" x14ac:dyDescent="0.25">
      <c r="A871" s="53"/>
      <c r="B871" s="58"/>
      <c r="C871" s="58"/>
      <c r="D871" s="35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48"/>
      <c r="Q871" s="174"/>
    </row>
    <row r="872" spans="1:17" s="28" customFormat="1" x14ac:dyDescent="0.25">
      <c r="A872" s="53"/>
      <c r="B872" s="58"/>
      <c r="C872" s="58"/>
      <c r="D872" s="35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48"/>
      <c r="Q872" s="174"/>
    </row>
    <row r="873" spans="1:17" s="28" customFormat="1" x14ac:dyDescent="0.25">
      <c r="A873" s="53"/>
      <c r="B873" s="58"/>
      <c r="C873" s="58"/>
      <c r="D873" s="35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48"/>
      <c r="Q873" s="174"/>
    </row>
    <row r="874" spans="1:17" s="28" customFormat="1" x14ac:dyDescent="0.25">
      <c r="A874" s="53"/>
      <c r="B874" s="58"/>
      <c r="C874" s="58"/>
      <c r="D874" s="35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48"/>
      <c r="Q874" s="174"/>
    </row>
    <row r="875" spans="1:17" s="28" customFormat="1" x14ac:dyDescent="0.25">
      <c r="A875" s="53"/>
      <c r="B875" s="58"/>
      <c r="C875" s="58"/>
      <c r="D875" s="35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48"/>
      <c r="Q875" s="174"/>
    </row>
    <row r="876" spans="1:17" s="28" customFormat="1" x14ac:dyDescent="0.25">
      <c r="A876" s="53"/>
      <c r="B876" s="58"/>
      <c r="C876" s="58"/>
      <c r="D876" s="35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48"/>
      <c r="Q876" s="174"/>
    </row>
    <row r="877" spans="1:17" s="28" customFormat="1" x14ac:dyDescent="0.25">
      <c r="A877" s="53"/>
      <c r="B877" s="58"/>
      <c r="C877" s="58"/>
      <c r="D877" s="35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48"/>
      <c r="Q877" s="174"/>
    </row>
    <row r="878" spans="1:17" s="28" customFormat="1" x14ac:dyDescent="0.25">
      <c r="A878" s="53"/>
      <c r="B878" s="58"/>
      <c r="C878" s="58"/>
      <c r="D878" s="35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48"/>
      <c r="Q878" s="174"/>
    </row>
    <row r="879" spans="1:17" s="28" customFormat="1" x14ac:dyDescent="0.25">
      <c r="A879" s="53"/>
      <c r="B879" s="58"/>
      <c r="C879" s="58"/>
      <c r="D879" s="35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48"/>
      <c r="Q879" s="174"/>
    </row>
    <row r="880" spans="1:17" s="28" customFormat="1" x14ac:dyDescent="0.25">
      <c r="A880" s="53"/>
      <c r="B880" s="58"/>
      <c r="C880" s="58"/>
      <c r="D880" s="35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48"/>
      <c r="Q880" s="174"/>
    </row>
    <row r="881" spans="1:17" s="28" customFormat="1" x14ac:dyDescent="0.25">
      <c r="A881" s="53"/>
      <c r="B881" s="58"/>
      <c r="C881" s="58"/>
      <c r="D881" s="35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48"/>
      <c r="Q881" s="174"/>
    </row>
    <row r="882" spans="1:17" s="28" customFormat="1" x14ac:dyDescent="0.25">
      <c r="A882" s="53"/>
      <c r="B882" s="58"/>
      <c r="C882" s="58"/>
      <c r="D882" s="35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48"/>
      <c r="Q882" s="174"/>
    </row>
    <row r="883" spans="1:17" s="28" customFormat="1" x14ac:dyDescent="0.25">
      <c r="A883" s="53"/>
      <c r="B883" s="58"/>
      <c r="C883" s="58"/>
      <c r="D883" s="35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48"/>
      <c r="Q883" s="174"/>
    </row>
    <row r="884" spans="1:17" s="28" customFormat="1" x14ac:dyDescent="0.25">
      <c r="A884" s="53"/>
      <c r="B884" s="58"/>
      <c r="C884" s="58"/>
      <c r="D884" s="35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48"/>
      <c r="Q884" s="174"/>
    </row>
    <row r="885" spans="1:17" s="28" customFormat="1" x14ac:dyDescent="0.25">
      <c r="A885" s="53"/>
      <c r="B885" s="58"/>
      <c r="C885" s="58"/>
      <c r="D885" s="35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48"/>
      <c r="Q885" s="174"/>
    </row>
    <row r="886" spans="1:17" s="28" customFormat="1" x14ac:dyDescent="0.25">
      <c r="A886" s="53"/>
      <c r="B886" s="58"/>
      <c r="C886" s="58"/>
      <c r="D886" s="35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48"/>
      <c r="Q886" s="174"/>
    </row>
    <row r="887" spans="1:17" s="28" customFormat="1" x14ac:dyDescent="0.25">
      <c r="A887" s="53"/>
      <c r="B887" s="58"/>
      <c r="C887" s="58"/>
      <c r="D887" s="35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48"/>
      <c r="Q887" s="174"/>
    </row>
    <row r="888" spans="1:17" s="28" customFormat="1" x14ac:dyDescent="0.25">
      <c r="A888" s="53"/>
      <c r="B888" s="58"/>
      <c r="C888" s="58"/>
      <c r="D888" s="35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48"/>
      <c r="Q888" s="174"/>
    </row>
    <row r="889" spans="1:17" s="28" customFormat="1" x14ac:dyDescent="0.25">
      <c r="A889" s="53"/>
      <c r="B889" s="58"/>
      <c r="C889" s="58"/>
      <c r="D889" s="35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48"/>
      <c r="Q889" s="174"/>
    </row>
    <row r="890" spans="1:17" s="28" customFormat="1" x14ac:dyDescent="0.25">
      <c r="A890" s="53"/>
      <c r="B890" s="58"/>
      <c r="C890" s="58"/>
      <c r="D890" s="35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48"/>
      <c r="Q890" s="174"/>
    </row>
    <row r="891" spans="1:17" s="28" customFormat="1" x14ac:dyDescent="0.25">
      <c r="A891" s="53"/>
      <c r="B891" s="58"/>
      <c r="C891" s="58"/>
      <c r="D891" s="35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48"/>
      <c r="Q891" s="174"/>
    </row>
    <row r="892" spans="1:17" s="28" customFormat="1" x14ac:dyDescent="0.25">
      <c r="A892" s="53"/>
      <c r="B892" s="58"/>
      <c r="C892" s="58"/>
      <c r="D892" s="35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48"/>
      <c r="Q892" s="174"/>
    </row>
    <row r="893" spans="1:17" s="28" customFormat="1" x14ac:dyDescent="0.25">
      <c r="A893" s="53"/>
      <c r="B893" s="58"/>
      <c r="C893" s="58"/>
      <c r="D893" s="35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48"/>
      <c r="Q893" s="174"/>
    </row>
    <row r="894" spans="1:17" s="28" customFormat="1" x14ac:dyDescent="0.25">
      <c r="A894" s="53"/>
      <c r="B894" s="58"/>
      <c r="C894" s="58"/>
      <c r="D894" s="35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48"/>
      <c r="Q894" s="174"/>
    </row>
    <row r="895" spans="1:17" s="28" customFormat="1" x14ac:dyDescent="0.25">
      <c r="A895" s="53"/>
      <c r="B895" s="58"/>
      <c r="C895" s="58"/>
      <c r="D895" s="35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48"/>
      <c r="Q895" s="174"/>
    </row>
    <row r="896" spans="1:17" s="28" customFormat="1" x14ac:dyDescent="0.25">
      <c r="A896" s="53"/>
      <c r="B896" s="58"/>
      <c r="C896" s="58"/>
      <c r="D896" s="35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48"/>
      <c r="Q896" s="174"/>
    </row>
    <row r="897" spans="1:17" s="28" customFormat="1" x14ac:dyDescent="0.25">
      <c r="A897" s="53"/>
      <c r="B897" s="58"/>
      <c r="C897" s="58"/>
      <c r="D897" s="35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48"/>
      <c r="Q897" s="174"/>
    </row>
    <row r="898" spans="1:17" s="28" customFormat="1" x14ac:dyDescent="0.25">
      <c r="A898" s="53"/>
      <c r="B898" s="58"/>
      <c r="C898" s="58"/>
      <c r="D898" s="35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48"/>
      <c r="Q898" s="174"/>
    </row>
    <row r="899" spans="1:17" s="28" customFormat="1" x14ac:dyDescent="0.25">
      <c r="A899" s="53"/>
      <c r="B899" s="58"/>
      <c r="C899" s="58"/>
      <c r="D899" s="35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48"/>
      <c r="Q899" s="174"/>
    </row>
    <row r="900" spans="1:17" s="28" customFormat="1" x14ac:dyDescent="0.25">
      <c r="A900" s="53"/>
      <c r="B900" s="58"/>
      <c r="C900" s="58"/>
      <c r="D900" s="35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48"/>
      <c r="Q900" s="174"/>
    </row>
    <row r="901" spans="1:17" s="28" customFormat="1" x14ac:dyDescent="0.25">
      <c r="A901" s="53"/>
      <c r="B901" s="58"/>
      <c r="C901" s="58"/>
      <c r="D901" s="35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48"/>
      <c r="Q901" s="174"/>
    </row>
    <row r="902" spans="1:17" s="28" customFormat="1" x14ac:dyDescent="0.25">
      <c r="A902" s="53"/>
      <c r="B902" s="58"/>
      <c r="C902" s="58"/>
      <c r="D902" s="35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48"/>
      <c r="Q902" s="174"/>
    </row>
    <row r="903" spans="1:17" s="28" customFormat="1" x14ac:dyDescent="0.25">
      <c r="A903" s="53"/>
      <c r="B903" s="58"/>
      <c r="C903" s="58"/>
      <c r="D903" s="35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48"/>
      <c r="Q903" s="174"/>
    </row>
    <row r="904" spans="1:17" s="28" customFormat="1" x14ac:dyDescent="0.25">
      <c r="A904" s="53"/>
      <c r="B904" s="58"/>
      <c r="C904" s="58"/>
      <c r="D904" s="35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48"/>
      <c r="Q904" s="174"/>
    </row>
    <row r="905" spans="1:17" s="28" customFormat="1" x14ac:dyDescent="0.25">
      <c r="A905" s="53"/>
      <c r="B905" s="58"/>
      <c r="C905" s="58"/>
      <c r="D905" s="35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48"/>
      <c r="Q905" s="174"/>
    </row>
    <row r="906" spans="1:17" s="28" customFormat="1" x14ac:dyDescent="0.25">
      <c r="A906" s="53"/>
      <c r="B906" s="58"/>
      <c r="C906" s="58"/>
      <c r="D906" s="35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48"/>
      <c r="Q906" s="174"/>
    </row>
    <row r="907" spans="1:17" s="28" customFormat="1" x14ac:dyDescent="0.25">
      <c r="A907" s="53"/>
      <c r="B907" s="58"/>
      <c r="C907" s="58"/>
      <c r="D907" s="35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48"/>
      <c r="Q907" s="174"/>
    </row>
    <row r="908" spans="1:17" s="28" customFormat="1" x14ac:dyDescent="0.25">
      <c r="A908" s="53"/>
      <c r="B908" s="58"/>
      <c r="C908" s="58"/>
      <c r="D908" s="35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48"/>
      <c r="Q908" s="174"/>
    </row>
    <row r="909" spans="1:17" s="28" customFormat="1" x14ac:dyDescent="0.25">
      <c r="A909" s="53"/>
      <c r="B909" s="58"/>
      <c r="C909" s="58"/>
      <c r="D909" s="35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48"/>
      <c r="Q909" s="174"/>
    </row>
    <row r="910" spans="1:17" s="28" customFormat="1" x14ac:dyDescent="0.25">
      <c r="A910" s="53"/>
      <c r="B910" s="58"/>
      <c r="C910" s="58"/>
      <c r="D910" s="35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48"/>
      <c r="Q910" s="174"/>
    </row>
    <row r="911" spans="1:17" s="28" customFormat="1" x14ac:dyDescent="0.25">
      <c r="A911" s="53"/>
      <c r="B911" s="58"/>
      <c r="C911" s="58"/>
      <c r="D911" s="35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48"/>
      <c r="Q911" s="174"/>
    </row>
    <row r="912" spans="1:17" s="28" customFormat="1" x14ac:dyDescent="0.25">
      <c r="A912" s="53"/>
      <c r="B912" s="58"/>
      <c r="C912" s="58"/>
      <c r="D912" s="35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48"/>
      <c r="Q912" s="174"/>
    </row>
    <row r="913" spans="1:17" s="28" customFormat="1" x14ac:dyDescent="0.25">
      <c r="A913" s="53"/>
      <c r="B913" s="58"/>
      <c r="C913" s="58"/>
      <c r="D913" s="35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48"/>
      <c r="Q913" s="174"/>
    </row>
    <row r="914" spans="1:17" s="28" customFormat="1" x14ac:dyDescent="0.25">
      <c r="A914" s="53"/>
      <c r="B914" s="58"/>
      <c r="C914" s="58"/>
      <c r="D914" s="35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48"/>
      <c r="Q914" s="174"/>
    </row>
    <row r="915" spans="1:17" s="28" customFormat="1" x14ac:dyDescent="0.25">
      <c r="A915" s="53"/>
      <c r="B915" s="58"/>
      <c r="C915" s="58"/>
      <c r="D915" s="35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48"/>
      <c r="Q915" s="174"/>
    </row>
    <row r="916" spans="1:17" s="28" customFormat="1" x14ac:dyDescent="0.25">
      <c r="A916" s="53"/>
      <c r="B916" s="58"/>
      <c r="C916" s="58"/>
      <c r="D916" s="35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48"/>
      <c r="Q916" s="174"/>
    </row>
    <row r="917" spans="1:17" s="28" customFormat="1" x14ac:dyDescent="0.25">
      <c r="A917" s="53"/>
      <c r="B917" s="58"/>
      <c r="C917" s="58"/>
      <c r="D917" s="35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48"/>
      <c r="Q917" s="174"/>
    </row>
    <row r="918" spans="1:17" s="28" customFormat="1" x14ac:dyDescent="0.25">
      <c r="A918" s="53"/>
      <c r="B918" s="58"/>
      <c r="C918" s="58"/>
      <c r="D918" s="35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48"/>
      <c r="Q918" s="174"/>
    </row>
    <row r="919" spans="1:17" s="28" customFormat="1" x14ac:dyDescent="0.25">
      <c r="A919" s="53"/>
      <c r="B919" s="58"/>
      <c r="C919" s="58"/>
      <c r="D919" s="35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48"/>
      <c r="Q919" s="174"/>
    </row>
    <row r="920" spans="1:17" s="28" customFormat="1" x14ac:dyDescent="0.25">
      <c r="A920" s="53"/>
      <c r="B920" s="58"/>
      <c r="C920" s="58"/>
      <c r="D920" s="35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48"/>
      <c r="Q920" s="174"/>
    </row>
    <row r="921" spans="1:17" s="28" customFormat="1" x14ac:dyDescent="0.25">
      <c r="A921" s="53"/>
      <c r="B921" s="58"/>
      <c r="C921" s="58"/>
      <c r="D921" s="35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48"/>
      <c r="Q921" s="174"/>
    </row>
    <row r="922" spans="1:17" s="28" customFormat="1" x14ac:dyDescent="0.25">
      <c r="A922" s="53"/>
      <c r="B922" s="58"/>
      <c r="C922" s="58"/>
      <c r="D922" s="35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48"/>
      <c r="Q922" s="174"/>
    </row>
    <row r="923" spans="1:17" s="28" customFormat="1" x14ac:dyDescent="0.25">
      <c r="A923" s="53"/>
      <c r="B923" s="58"/>
      <c r="C923" s="58"/>
      <c r="D923" s="35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48"/>
      <c r="Q923" s="174"/>
    </row>
    <row r="924" spans="1:17" s="28" customFormat="1" x14ac:dyDescent="0.25">
      <c r="A924" s="53"/>
      <c r="B924" s="58"/>
      <c r="C924" s="58"/>
      <c r="D924" s="35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48"/>
      <c r="Q924" s="174"/>
    </row>
    <row r="925" spans="1:17" s="28" customFormat="1" x14ac:dyDescent="0.25">
      <c r="A925" s="53"/>
      <c r="B925" s="58"/>
      <c r="C925" s="58"/>
      <c r="D925" s="35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48"/>
      <c r="Q925" s="174"/>
    </row>
    <row r="926" spans="1:17" s="28" customFormat="1" x14ac:dyDescent="0.25">
      <c r="A926" s="53"/>
      <c r="B926" s="58"/>
      <c r="C926" s="58"/>
      <c r="D926" s="35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48"/>
      <c r="Q926" s="174"/>
    </row>
    <row r="927" spans="1:17" s="28" customFormat="1" x14ac:dyDescent="0.25">
      <c r="A927" s="53"/>
      <c r="B927" s="58"/>
      <c r="C927" s="58"/>
      <c r="D927" s="35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48"/>
      <c r="Q927" s="174"/>
    </row>
    <row r="928" spans="1:17" s="28" customFormat="1" x14ac:dyDescent="0.25">
      <c r="A928" s="53"/>
      <c r="B928" s="58"/>
      <c r="C928" s="58"/>
      <c r="D928" s="35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48"/>
      <c r="Q928" s="174"/>
    </row>
    <row r="929" spans="1:17" s="28" customFormat="1" x14ac:dyDescent="0.25">
      <c r="A929" s="53"/>
      <c r="B929" s="58"/>
      <c r="C929" s="58"/>
      <c r="D929" s="35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48"/>
      <c r="Q929" s="174"/>
    </row>
    <row r="930" spans="1:17" s="28" customFormat="1" x14ac:dyDescent="0.25">
      <c r="A930" s="53"/>
      <c r="B930" s="58"/>
      <c r="C930" s="58"/>
      <c r="D930" s="35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48"/>
      <c r="Q930" s="174"/>
    </row>
    <row r="931" spans="1:17" s="28" customFormat="1" x14ac:dyDescent="0.25">
      <c r="A931" s="53"/>
      <c r="B931" s="58"/>
      <c r="C931" s="58"/>
      <c r="D931" s="35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48"/>
      <c r="Q931" s="174"/>
    </row>
    <row r="932" spans="1:17" s="28" customFormat="1" x14ac:dyDescent="0.25">
      <c r="A932" s="53"/>
      <c r="B932" s="58"/>
      <c r="C932" s="58"/>
      <c r="D932" s="35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48"/>
      <c r="Q932" s="174"/>
    </row>
    <row r="933" spans="1:17" s="28" customFormat="1" x14ac:dyDescent="0.25">
      <c r="A933" s="53"/>
      <c r="B933" s="58"/>
      <c r="C933" s="58"/>
      <c r="D933" s="35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48"/>
      <c r="Q933" s="174"/>
    </row>
    <row r="934" spans="1:17" s="28" customFormat="1" x14ac:dyDescent="0.25">
      <c r="A934" s="53"/>
      <c r="B934" s="58"/>
      <c r="C934" s="58"/>
      <c r="D934" s="35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48"/>
      <c r="Q934" s="174"/>
    </row>
    <row r="935" spans="1:17" s="28" customFormat="1" x14ac:dyDescent="0.25">
      <c r="A935" s="53"/>
      <c r="B935" s="58"/>
      <c r="C935" s="58"/>
      <c r="D935" s="35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48"/>
      <c r="Q935" s="174"/>
    </row>
    <row r="936" spans="1:17" s="28" customFormat="1" x14ac:dyDescent="0.25">
      <c r="A936" s="53"/>
      <c r="B936" s="58"/>
      <c r="C936" s="58"/>
      <c r="D936" s="35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48"/>
      <c r="Q936" s="174"/>
    </row>
    <row r="937" spans="1:17" s="28" customFormat="1" x14ac:dyDescent="0.25">
      <c r="A937" s="53"/>
      <c r="B937" s="58"/>
      <c r="C937" s="58"/>
      <c r="D937" s="35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48"/>
      <c r="Q937" s="174"/>
    </row>
    <row r="938" spans="1:17" s="28" customFormat="1" x14ac:dyDescent="0.25">
      <c r="A938" s="53"/>
      <c r="B938" s="58"/>
      <c r="C938" s="58"/>
      <c r="D938" s="35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48"/>
      <c r="Q938" s="174"/>
    </row>
    <row r="939" spans="1:17" s="28" customFormat="1" x14ac:dyDescent="0.25">
      <c r="A939" s="53"/>
      <c r="B939" s="58"/>
      <c r="C939" s="58"/>
      <c r="D939" s="35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48"/>
      <c r="Q939" s="174"/>
    </row>
    <row r="940" spans="1:17" s="28" customFormat="1" x14ac:dyDescent="0.25">
      <c r="A940" s="53"/>
      <c r="B940" s="58"/>
      <c r="C940" s="58"/>
      <c r="D940" s="35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48"/>
      <c r="Q940" s="174"/>
    </row>
    <row r="941" spans="1:17" s="28" customFormat="1" x14ac:dyDescent="0.25">
      <c r="A941" s="53"/>
      <c r="B941" s="58"/>
      <c r="C941" s="58"/>
      <c r="D941" s="35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48"/>
      <c r="Q941" s="174"/>
    </row>
    <row r="942" spans="1:17" s="28" customFormat="1" x14ac:dyDescent="0.25">
      <c r="A942" s="53"/>
      <c r="B942" s="58"/>
      <c r="C942" s="58"/>
      <c r="D942" s="35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48"/>
      <c r="Q942" s="174"/>
    </row>
    <row r="943" spans="1:17" s="28" customFormat="1" x14ac:dyDescent="0.25">
      <c r="A943" s="53"/>
      <c r="B943" s="58"/>
      <c r="C943" s="58"/>
      <c r="D943" s="35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48"/>
      <c r="Q943" s="174"/>
    </row>
    <row r="944" spans="1:17" s="28" customFormat="1" x14ac:dyDescent="0.25">
      <c r="A944" s="53"/>
      <c r="B944" s="58"/>
      <c r="C944" s="58"/>
      <c r="D944" s="35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48"/>
      <c r="Q944" s="174"/>
    </row>
    <row r="945" spans="1:17" s="28" customFormat="1" x14ac:dyDescent="0.25">
      <c r="A945" s="53"/>
      <c r="B945" s="58"/>
      <c r="C945" s="58"/>
      <c r="D945" s="35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48"/>
      <c r="Q945" s="174"/>
    </row>
    <row r="946" spans="1:17" s="28" customFormat="1" x14ac:dyDescent="0.25">
      <c r="A946" s="53"/>
      <c r="B946" s="58"/>
      <c r="C946" s="58"/>
      <c r="D946" s="35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48"/>
      <c r="Q946" s="174"/>
    </row>
    <row r="947" spans="1:17" s="28" customFormat="1" x14ac:dyDescent="0.25">
      <c r="A947" s="53"/>
      <c r="B947" s="58"/>
      <c r="C947" s="58"/>
      <c r="D947" s="35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48"/>
      <c r="Q947" s="174"/>
    </row>
    <row r="948" spans="1:17" s="28" customFormat="1" x14ac:dyDescent="0.25">
      <c r="A948" s="53"/>
      <c r="B948" s="58"/>
      <c r="C948" s="58"/>
      <c r="D948" s="35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48"/>
      <c r="Q948" s="174"/>
    </row>
    <row r="949" spans="1:17" s="28" customFormat="1" x14ac:dyDescent="0.25">
      <c r="A949" s="53"/>
      <c r="B949" s="58"/>
      <c r="C949" s="58"/>
      <c r="D949" s="35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48"/>
      <c r="Q949" s="174"/>
    </row>
    <row r="950" spans="1:17" s="28" customFormat="1" x14ac:dyDescent="0.25">
      <c r="A950" s="53"/>
      <c r="B950" s="58"/>
      <c r="C950" s="58"/>
      <c r="D950" s="35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48"/>
      <c r="Q950" s="174"/>
    </row>
    <row r="951" spans="1:17" s="28" customFormat="1" x14ac:dyDescent="0.25">
      <c r="A951" s="53"/>
      <c r="B951" s="58"/>
      <c r="C951" s="58"/>
      <c r="D951" s="35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48"/>
      <c r="Q951" s="174"/>
    </row>
    <row r="952" spans="1:17" s="28" customFormat="1" x14ac:dyDescent="0.25">
      <c r="A952" s="53"/>
      <c r="B952" s="58"/>
      <c r="C952" s="58"/>
      <c r="D952" s="35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48"/>
      <c r="Q952" s="174"/>
    </row>
    <row r="953" spans="1:17" s="28" customFormat="1" x14ac:dyDescent="0.25">
      <c r="A953" s="53"/>
      <c r="B953" s="58"/>
      <c r="C953" s="58"/>
      <c r="D953" s="35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48"/>
      <c r="Q953" s="174"/>
    </row>
    <row r="954" spans="1:17" s="28" customFormat="1" x14ac:dyDescent="0.25">
      <c r="A954" s="53"/>
      <c r="B954" s="58"/>
      <c r="C954" s="58"/>
      <c r="D954" s="35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48"/>
      <c r="Q954" s="174"/>
    </row>
    <row r="955" spans="1:17" s="28" customFormat="1" x14ac:dyDescent="0.25">
      <c r="A955" s="53"/>
      <c r="B955" s="58"/>
      <c r="C955" s="58"/>
      <c r="D955" s="35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48"/>
      <c r="Q955" s="174"/>
    </row>
    <row r="956" spans="1:17" s="28" customFormat="1" x14ac:dyDescent="0.25">
      <c r="A956" s="53"/>
      <c r="B956" s="58"/>
      <c r="C956" s="58"/>
      <c r="D956" s="35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48"/>
      <c r="Q956" s="174"/>
    </row>
    <row r="957" spans="1:17" s="28" customFormat="1" x14ac:dyDescent="0.25">
      <c r="A957" s="53"/>
      <c r="B957" s="58"/>
      <c r="C957" s="58"/>
      <c r="D957" s="35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48"/>
      <c r="Q957" s="174"/>
    </row>
    <row r="958" spans="1:17" s="28" customFormat="1" x14ac:dyDescent="0.25">
      <c r="A958" s="53"/>
      <c r="B958" s="58"/>
      <c r="C958" s="58"/>
      <c r="D958" s="35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48"/>
      <c r="Q958" s="174"/>
    </row>
    <row r="959" spans="1:17" s="28" customFormat="1" x14ac:dyDescent="0.25">
      <c r="A959" s="53"/>
      <c r="B959" s="58"/>
      <c r="C959" s="58"/>
      <c r="D959" s="35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48"/>
      <c r="Q959" s="174"/>
    </row>
    <row r="960" spans="1:17" s="28" customFormat="1" x14ac:dyDescent="0.25">
      <c r="A960" s="53"/>
      <c r="B960" s="58"/>
      <c r="C960" s="58"/>
      <c r="D960" s="35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48"/>
      <c r="Q960" s="174"/>
    </row>
    <row r="961" spans="1:17" s="28" customFormat="1" x14ac:dyDescent="0.25">
      <c r="A961" s="53"/>
      <c r="B961" s="58"/>
      <c r="C961" s="58"/>
      <c r="D961" s="35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48"/>
      <c r="Q961" s="174"/>
    </row>
    <row r="962" spans="1:17" s="28" customFormat="1" x14ac:dyDescent="0.25">
      <c r="A962" s="53"/>
      <c r="B962" s="58"/>
      <c r="C962" s="58"/>
      <c r="D962" s="35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48"/>
      <c r="Q962" s="174"/>
    </row>
    <row r="963" spans="1:17" s="28" customFormat="1" x14ac:dyDescent="0.25">
      <c r="A963" s="53"/>
      <c r="B963" s="58"/>
      <c r="C963" s="58"/>
      <c r="D963" s="35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48"/>
      <c r="Q963" s="174"/>
    </row>
    <row r="964" spans="1:17" s="28" customFormat="1" x14ac:dyDescent="0.25">
      <c r="A964" s="53"/>
      <c r="B964" s="58"/>
      <c r="C964" s="58"/>
      <c r="D964" s="35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48"/>
      <c r="Q964" s="174"/>
    </row>
    <row r="965" spans="1:17" s="28" customFormat="1" x14ac:dyDescent="0.25">
      <c r="A965" s="53"/>
      <c r="B965" s="58"/>
      <c r="C965" s="58"/>
      <c r="D965" s="35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48"/>
      <c r="Q965" s="174"/>
    </row>
    <row r="966" spans="1:17" s="28" customFormat="1" x14ac:dyDescent="0.25">
      <c r="A966" s="53"/>
      <c r="B966" s="58"/>
      <c r="C966" s="58"/>
      <c r="D966" s="35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48"/>
      <c r="Q966" s="174"/>
    </row>
    <row r="967" spans="1:17" s="28" customFormat="1" x14ac:dyDescent="0.25">
      <c r="A967" s="53"/>
      <c r="B967" s="58"/>
      <c r="C967" s="58"/>
      <c r="D967" s="35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48"/>
      <c r="Q967" s="174"/>
    </row>
    <row r="968" spans="1:17" s="28" customFormat="1" x14ac:dyDescent="0.25">
      <c r="A968" s="53"/>
      <c r="B968" s="58"/>
      <c r="C968" s="58"/>
      <c r="D968" s="35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48"/>
      <c r="Q968" s="174"/>
    </row>
    <row r="969" spans="1:17" s="28" customFormat="1" x14ac:dyDescent="0.25">
      <c r="A969" s="53"/>
      <c r="B969" s="58"/>
      <c r="C969" s="58"/>
      <c r="D969" s="35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48"/>
      <c r="Q969" s="174"/>
    </row>
    <row r="970" spans="1:17" s="28" customFormat="1" x14ac:dyDescent="0.25">
      <c r="A970" s="53"/>
      <c r="B970" s="58"/>
      <c r="C970" s="58"/>
      <c r="D970" s="35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48"/>
      <c r="Q970" s="174"/>
    </row>
    <row r="971" spans="1:17" s="28" customFormat="1" x14ac:dyDescent="0.25">
      <c r="A971" s="53"/>
      <c r="B971" s="58"/>
      <c r="C971" s="58"/>
      <c r="D971" s="35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48"/>
      <c r="Q971" s="174"/>
    </row>
    <row r="972" spans="1:17" s="28" customFormat="1" x14ac:dyDescent="0.25">
      <c r="A972" s="53"/>
      <c r="B972" s="58"/>
      <c r="C972" s="58"/>
      <c r="D972" s="35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48"/>
      <c r="Q972" s="174"/>
    </row>
    <row r="973" spans="1:17" s="28" customFormat="1" x14ac:dyDescent="0.25">
      <c r="A973" s="53"/>
      <c r="B973" s="58"/>
      <c r="C973" s="58"/>
      <c r="D973" s="35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48"/>
      <c r="Q973" s="174"/>
    </row>
    <row r="974" spans="1:17" s="28" customFormat="1" x14ac:dyDescent="0.25">
      <c r="A974" s="53"/>
      <c r="B974" s="58"/>
      <c r="C974" s="58"/>
      <c r="D974" s="35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48"/>
      <c r="Q974" s="174"/>
    </row>
    <row r="975" spans="1:17" s="28" customFormat="1" x14ac:dyDescent="0.25">
      <c r="A975" s="53"/>
      <c r="B975" s="58"/>
      <c r="C975" s="58"/>
      <c r="D975" s="35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48"/>
      <c r="Q975" s="174"/>
    </row>
    <row r="976" spans="1:17" s="28" customFormat="1" x14ac:dyDescent="0.25">
      <c r="A976" s="53"/>
      <c r="B976" s="58"/>
      <c r="C976" s="58"/>
      <c r="D976" s="35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48"/>
      <c r="Q976" s="174"/>
    </row>
    <row r="977" spans="1:17" s="28" customFormat="1" x14ac:dyDescent="0.25">
      <c r="A977" s="53"/>
      <c r="B977" s="58"/>
      <c r="C977" s="58"/>
      <c r="D977" s="35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48"/>
      <c r="Q977" s="174"/>
    </row>
    <row r="978" spans="1:17" s="28" customFormat="1" x14ac:dyDescent="0.25">
      <c r="A978" s="53"/>
      <c r="B978" s="58"/>
      <c r="C978" s="58"/>
      <c r="D978" s="35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48"/>
      <c r="Q978" s="174"/>
    </row>
    <row r="979" spans="1:17" s="28" customFormat="1" x14ac:dyDescent="0.25">
      <c r="A979" s="53"/>
      <c r="B979" s="58"/>
      <c r="C979" s="58"/>
      <c r="D979" s="35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48"/>
      <c r="Q979" s="174"/>
    </row>
    <row r="980" spans="1:17" s="28" customFormat="1" x14ac:dyDescent="0.25">
      <c r="A980" s="53"/>
      <c r="B980" s="58"/>
      <c r="C980" s="58"/>
      <c r="D980" s="35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48"/>
      <c r="Q980" s="174"/>
    </row>
    <row r="981" spans="1:17" s="28" customFormat="1" x14ac:dyDescent="0.25">
      <c r="A981" s="53"/>
      <c r="B981" s="58"/>
      <c r="C981" s="58"/>
      <c r="D981" s="35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48"/>
      <c r="Q981" s="174"/>
    </row>
    <row r="982" spans="1:17" s="28" customFormat="1" x14ac:dyDescent="0.25">
      <c r="A982" s="53"/>
      <c r="B982" s="58"/>
      <c r="C982" s="58"/>
      <c r="D982" s="35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48"/>
      <c r="Q982" s="174"/>
    </row>
    <row r="983" spans="1:17" s="28" customFormat="1" x14ac:dyDescent="0.25">
      <c r="A983" s="53"/>
      <c r="B983" s="58"/>
      <c r="C983" s="58"/>
      <c r="D983" s="35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48"/>
      <c r="Q983" s="174"/>
    </row>
    <row r="984" spans="1:17" s="28" customFormat="1" x14ac:dyDescent="0.25">
      <c r="A984" s="53"/>
      <c r="B984" s="58"/>
      <c r="C984" s="58"/>
      <c r="D984" s="35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48"/>
      <c r="Q984" s="174"/>
    </row>
    <row r="985" spans="1:17" s="28" customFormat="1" x14ac:dyDescent="0.25">
      <c r="A985" s="53"/>
      <c r="B985" s="58"/>
      <c r="C985" s="58"/>
      <c r="D985" s="35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48"/>
      <c r="Q985" s="174"/>
    </row>
    <row r="986" spans="1:17" s="28" customFormat="1" x14ac:dyDescent="0.25">
      <c r="A986" s="53"/>
      <c r="B986" s="58"/>
      <c r="C986" s="58"/>
      <c r="D986" s="35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48"/>
      <c r="Q986" s="174"/>
    </row>
    <row r="987" spans="1:17" s="28" customFormat="1" x14ac:dyDescent="0.25">
      <c r="A987" s="53"/>
      <c r="B987" s="58"/>
      <c r="C987" s="58"/>
      <c r="D987" s="35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48"/>
      <c r="Q987" s="174"/>
    </row>
    <row r="988" spans="1:17" s="28" customFormat="1" x14ac:dyDescent="0.25">
      <c r="A988" s="53"/>
      <c r="B988" s="58"/>
      <c r="C988" s="58"/>
      <c r="D988" s="35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48"/>
      <c r="Q988" s="174"/>
    </row>
    <row r="989" spans="1:17" s="28" customFormat="1" x14ac:dyDescent="0.25">
      <c r="A989" s="53"/>
      <c r="B989" s="58"/>
      <c r="C989" s="58"/>
      <c r="D989" s="35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48"/>
      <c r="Q989" s="174"/>
    </row>
    <row r="990" spans="1:17" s="28" customFormat="1" x14ac:dyDescent="0.25">
      <c r="A990" s="53"/>
      <c r="B990" s="58"/>
      <c r="C990" s="58"/>
      <c r="D990" s="35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48"/>
      <c r="Q990" s="174"/>
    </row>
    <row r="991" spans="1:17" s="28" customFormat="1" x14ac:dyDescent="0.25">
      <c r="A991" s="53"/>
      <c r="B991" s="58"/>
      <c r="C991" s="58"/>
      <c r="D991" s="35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48"/>
      <c r="Q991" s="174"/>
    </row>
    <row r="992" spans="1:17" s="28" customFormat="1" x14ac:dyDescent="0.25">
      <c r="A992" s="53"/>
      <c r="B992" s="58"/>
      <c r="C992" s="58"/>
      <c r="D992" s="35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48"/>
      <c r="Q992" s="174"/>
    </row>
    <row r="993" spans="1:17" s="28" customFormat="1" x14ac:dyDescent="0.25">
      <c r="A993" s="53"/>
      <c r="B993" s="58"/>
      <c r="C993" s="58"/>
      <c r="D993" s="35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48"/>
      <c r="Q993" s="174"/>
    </row>
    <row r="994" spans="1:17" s="28" customFormat="1" x14ac:dyDescent="0.25">
      <c r="A994" s="53"/>
      <c r="B994" s="58"/>
      <c r="C994" s="58"/>
      <c r="D994" s="35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48"/>
      <c r="Q994" s="174"/>
    </row>
    <row r="995" spans="1:17" s="28" customFormat="1" x14ac:dyDescent="0.25">
      <c r="A995" s="53"/>
      <c r="B995" s="58"/>
      <c r="C995" s="58"/>
      <c r="D995" s="35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48"/>
      <c r="Q995" s="174"/>
    </row>
    <row r="996" spans="1:17" s="28" customFormat="1" x14ac:dyDescent="0.25">
      <c r="A996" s="53"/>
      <c r="B996" s="58"/>
      <c r="C996" s="58"/>
      <c r="D996" s="35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48"/>
      <c r="Q996" s="174"/>
    </row>
    <row r="997" spans="1:17" s="28" customFormat="1" x14ac:dyDescent="0.25">
      <c r="A997" s="53"/>
      <c r="B997" s="58"/>
      <c r="C997" s="58"/>
      <c r="D997" s="35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48"/>
      <c r="Q997" s="174"/>
    </row>
    <row r="998" spans="1:17" s="28" customFormat="1" x14ac:dyDescent="0.25">
      <c r="A998" s="53"/>
      <c r="B998" s="58"/>
      <c r="C998" s="58"/>
      <c r="D998" s="35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48"/>
      <c r="Q998" s="174"/>
    </row>
    <row r="999" spans="1:17" s="28" customFormat="1" x14ac:dyDescent="0.25">
      <c r="A999" s="53"/>
      <c r="B999" s="58"/>
      <c r="C999" s="58"/>
      <c r="D999" s="35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48"/>
      <c r="Q999" s="174"/>
    </row>
    <row r="1000" spans="1:17" s="28" customFormat="1" x14ac:dyDescent="0.25">
      <c r="A1000" s="53"/>
      <c r="B1000" s="58"/>
      <c r="C1000" s="58"/>
      <c r="D1000" s="35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48"/>
      <c r="Q1000" s="174"/>
    </row>
    <row r="1001" spans="1:17" s="28" customFormat="1" x14ac:dyDescent="0.25">
      <c r="A1001" s="53"/>
      <c r="B1001" s="58"/>
      <c r="C1001" s="58"/>
      <c r="D1001" s="35"/>
      <c r="E1001" s="129"/>
      <c r="F1001" s="129"/>
      <c r="G1001" s="129"/>
      <c r="H1001" s="129"/>
      <c r="I1001" s="129"/>
      <c r="J1001" s="129"/>
      <c r="K1001" s="129"/>
      <c r="L1001" s="129"/>
      <c r="M1001" s="129"/>
      <c r="N1001" s="129"/>
      <c r="O1001" s="129"/>
      <c r="P1001" s="148"/>
      <c r="Q1001" s="174"/>
    </row>
    <row r="1002" spans="1:17" s="28" customFormat="1" x14ac:dyDescent="0.25">
      <c r="A1002" s="53"/>
      <c r="B1002" s="58"/>
      <c r="C1002" s="58"/>
      <c r="D1002" s="35"/>
      <c r="E1002" s="129"/>
      <c r="F1002" s="129"/>
      <c r="G1002" s="129"/>
      <c r="H1002" s="129"/>
      <c r="I1002" s="129"/>
      <c r="J1002" s="129"/>
      <c r="K1002" s="129"/>
      <c r="L1002" s="129"/>
      <c r="M1002" s="129"/>
      <c r="N1002" s="129"/>
      <c r="O1002" s="129"/>
      <c r="P1002" s="148"/>
      <c r="Q1002" s="174"/>
    </row>
    <row r="1003" spans="1:17" s="28" customFormat="1" x14ac:dyDescent="0.25">
      <c r="A1003" s="53"/>
      <c r="B1003" s="58"/>
      <c r="C1003" s="58"/>
      <c r="D1003" s="35"/>
      <c r="E1003" s="129"/>
      <c r="F1003" s="129"/>
      <c r="G1003" s="129"/>
      <c r="H1003" s="129"/>
      <c r="I1003" s="129"/>
      <c r="J1003" s="129"/>
      <c r="K1003" s="129"/>
      <c r="L1003" s="129"/>
      <c r="M1003" s="129"/>
      <c r="N1003" s="129"/>
      <c r="O1003" s="129"/>
      <c r="P1003" s="148"/>
      <c r="Q1003" s="174"/>
    </row>
    <row r="1004" spans="1:17" s="28" customFormat="1" x14ac:dyDescent="0.25">
      <c r="A1004" s="53"/>
      <c r="B1004" s="58"/>
      <c r="C1004" s="58"/>
      <c r="D1004" s="35"/>
      <c r="E1004" s="129"/>
      <c r="F1004" s="129"/>
      <c r="G1004" s="129"/>
      <c r="H1004" s="129"/>
      <c r="I1004" s="129"/>
      <c r="J1004" s="129"/>
      <c r="K1004" s="129"/>
      <c r="L1004" s="129"/>
      <c r="M1004" s="129"/>
      <c r="N1004" s="129"/>
      <c r="O1004" s="129"/>
      <c r="P1004" s="148"/>
      <c r="Q1004" s="174"/>
    </row>
    <row r="1005" spans="1:17" s="28" customFormat="1" x14ac:dyDescent="0.25">
      <c r="A1005" s="53"/>
      <c r="B1005" s="58"/>
      <c r="C1005" s="58"/>
      <c r="D1005" s="35"/>
      <c r="E1005" s="129"/>
      <c r="F1005" s="129"/>
      <c r="G1005" s="129"/>
      <c r="H1005" s="129"/>
      <c r="I1005" s="129"/>
      <c r="J1005" s="129"/>
      <c r="K1005" s="129"/>
      <c r="L1005" s="129"/>
      <c r="M1005" s="129"/>
      <c r="N1005" s="129"/>
      <c r="O1005" s="129"/>
      <c r="P1005" s="148"/>
      <c r="Q1005" s="174"/>
    </row>
    <row r="1006" spans="1:17" s="28" customFormat="1" x14ac:dyDescent="0.25">
      <c r="A1006" s="53"/>
      <c r="B1006" s="58"/>
      <c r="C1006" s="58"/>
      <c r="D1006" s="35"/>
      <c r="E1006" s="129"/>
      <c r="F1006" s="129"/>
      <c r="G1006" s="129"/>
      <c r="H1006" s="129"/>
      <c r="I1006" s="129"/>
      <c r="J1006" s="129"/>
      <c r="K1006" s="129"/>
      <c r="L1006" s="129"/>
      <c r="M1006" s="129"/>
      <c r="N1006" s="129"/>
      <c r="O1006" s="129"/>
      <c r="P1006" s="148"/>
      <c r="Q1006" s="174"/>
    </row>
    <row r="1007" spans="1:17" s="28" customFormat="1" x14ac:dyDescent="0.25">
      <c r="A1007" s="53"/>
      <c r="B1007" s="58"/>
      <c r="C1007" s="58"/>
      <c r="D1007" s="35"/>
      <c r="E1007" s="129"/>
      <c r="F1007" s="129"/>
      <c r="G1007" s="129"/>
      <c r="H1007" s="129"/>
      <c r="I1007" s="129"/>
      <c r="J1007" s="129"/>
      <c r="K1007" s="129"/>
      <c r="L1007" s="129"/>
      <c r="M1007" s="129"/>
      <c r="N1007" s="129"/>
      <c r="O1007" s="129"/>
      <c r="P1007" s="148"/>
      <c r="Q1007" s="174"/>
    </row>
    <row r="1008" spans="1:17" s="28" customFormat="1" x14ac:dyDescent="0.25">
      <c r="A1008" s="53"/>
      <c r="B1008" s="58"/>
      <c r="C1008" s="58"/>
      <c r="D1008" s="35"/>
      <c r="E1008" s="129"/>
      <c r="F1008" s="129"/>
      <c r="G1008" s="129"/>
      <c r="H1008" s="129"/>
      <c r="I1008" s="129"/>
      <c r="J1008" s="129"/>
      <c r="K1008" s="129"/>
      <c r="L1008" s="129"/>
      <c r="M1008" s="129"/>
      <c r="N1008" s="129"/>
      <c r="O1008" s="129"/>
      <c r="P1008" s="148"/>
      <c r="Q1008" s="174"/>
    </row>
    <row r="1009" spans="1:17" s="28" customFormat="1" x14ac:dyDescent="0.25">
      <c r="A1009" s="53"/>
      <c r="B1009" s="58"/>
      <c r="C1009" s="58"/>
      <c r="D1009" s="35"/>
      <c r="E1009" s="129"/>
      <c r="F1009" s="129"/>
      <c r="G1009" s="129"/>
      <c r="H1009" s="129"/>
      <c r="I1009" s="129"/>
      <c r="J1009" s="129"/>
      <c r="K1009" s="129"/>
      <c r="L1009" s="129"/>
      <c r="M1009" s="129"/>
      <c r="N1009" s="129"/>
      <c r="O1009" s="129"/>
      <c r="P1009" s="148"/>
      <c r="Q1009" s="174"/>
    </row>
    <row r="1010" spans="1:17" s="28" customFormat="1" x14ac:dyDescent="0.25">
      <c r="A1010" s="53"/>
      <c r="B1010" s="58"/>
      <c r="C1010" s="58"/>
      <c r="D1010" s="35"/>
      <c r="E1010" s="129"/>
      <c r="F1010" s="129"/>
      <c r="G1010" s="129"/>
      <c r="H1010" s="129"/>
      <c r="I1010" s="129"/>
      <c r="J1010" s="129"/>
      <c r="K1010" s="129"/>
      <c r="L1010" s="129"/>
      <c r="M1010" s="129"/>
      <c r="N1010" s="129"/>
      <c r="O1010" s="129"/>
      <c r="P1010" s="148"/>
      <c r="Q1010" s="174"/>
    </row>
    <row r="1011" spans="1:17" s="28" customFormat="1" x14ac:dyDescent="0.25">
      <c r="A1011" s="53"/>
      <c r="B1011" s="58"/>
      <c r="C1011" s="58"/>
      <c r="D1011" s="35"/>
      <c r="E1011" s="129"/>
      <c r="F1011" s="129"/>
      <c r="G1011" s="129"/>
      <c r="H1011" s="129"/>
      <c r="I1011" s="129"/>
      <c r="J1011" s="129"/>
      <c r="K1011" s="129"/>
      <c r="L1011" s="129"/>
      <c r="M1011" s="129"/>
      <c r="N1011" s="129"/>
      <c r="O1011" s="129"/>
      <c r="P1011" s="148"/>
      <c r="Q1011" s="174"/>
    </row>
    <row r="1012" spans="1:17" s="28" customFormat="1" x14ac:dyDescent="0.25">
      <c r="A1012" s="53"/>
      <c r="B1012" s="58"/>
      <c r="C1012" s="58"/>
      <c r="D1012" s="35"/>
      <c r="E1012" s="129"/>
      <c r="F1012" s="129"/>
      <c r="G1012" s="129"/>
      <c r="H1012" s="129"/>
      <c r="I1012" s="129"/>
      <c r="J1012" s="129"/>
      <c r="K1012" s="129"/>
      <c r="L1012" s="129"/>
      <c r="M1012" s="129"/>
      <c r="N1012" s="129"/>
      <c r="O1012" s="129"/>
      <c r="P1012" s="148"/>
      <c r="Q1012" s="174"/>
    </row>
    <row r="1013" spans="1:17" s="28" customFormat="1" x14ac:dyDescent="0.25">
      <c r="A1013" s="53"/>
      <c r="B1013" s="58"/>
      <c r="C1013" s="58"/>
      <c r="D1013" s="35"/>
      <c r="E1013" s="129"/>
      <c r="F1013" s="129"/>
      <c r="G1013" s="129"/>
      <c r="H1013" s="129"/>
      <c r="I1013" s="129"/>
      <c r="J1013" s="129"/>
      <c r="K1013" s="129"/>
      <c r="L1013" s="129"/>
      <c r="M1013" s="129"/>
      <c r="N1013" s="129"/>
      <c r="O1013" s="129"/>
      <c r="P1013" s="148"/>
      <c r="Q1013" s="174"/>
    </row>
    <row r="1014" spans="1:17" s="28" customFormat="1" x14ac:dyDescent="0.25">
      <c r="A1014" s="53"/>
      <c r="B1014" s="58"/>
      <c r="C1014" s="58"/>
      <c r="D1014" s="35"/>
      <c r="E1014" s="129"/>
      <c r="F1014" s="129"/>
      <c r="G1014" s="129"/>
      <c r="H1014" s="129"/>
      <c r="I1014" s="129"/>
      <c r="J1014" s="129"/>
      <c r="K1014" s="129"/>
      <c r="L1014" s="129"/>
      <c r="M1014" s="129"/>
      <c r="N1014" s="129"/>
      <c r="O1014" s="129"/>
      <c r="P1014" s="148"/>
      <c r="Q1014" s="174"/>
    </row>
    <row r="1015" spans="1:17" s="28" customFormat="1" x14ac:dyDescent="0.25">
      <c r="A1015" s="53"/>
      <c r="B1015" s="58"/>
      <c r="C1015" s="58"/>
      <c r="D1015" s="35"/>
      <c r="E1015" s="129"/>
      <c r="F1015" s="129"/>
      <c r="G1015" s="129"/>
      <c r="H1015" s="129"/>
      <c r="I1015" s="129"/>
      <c r="J1015" s="129"/>
      <c r="K1015" s="129"/>
      <c r="L1015" s="129"/>
      <c r="M1015" s="129"/>
      <c r="N1015" s="129"/>
      <c r="O1015" s="129"/>
      <c r="P1015" s="148"/>
      <c r="Q1015" s="174"/>
    </row>
    <row r="1016" spans="1:17" s="28" customFormat="1" x14ac:dyDescent="0.25">
      <c r="A1016" s="53"/>
      <c r="B1016" s="58"/>
      <c r="C1016" s="58"/>
      <c r="D1016" s="35"/>
      <c r="E1016" s="129"/>
      <c r="F1016" s="129"/>
      <c r="G1016" s="129"/>
      <c r="H1016" s="129"/>
      <c r="I1016" s="129"/>
      <c r="J1016" s="129"/>
      <c r="K1016" s="129"/>
      <c r="L1016" s="129"/>
      <c r="M1016" s="129"/>
      <c r="N1016" s="129"/>
      <c r="O1016" s="129"/>
      <c r="P1016" s="148"/>
      <c r="Q1016" s="174"/>
    </row>
    <row r="1017" spans="1:17" s="28" customFormat="1" x14ac:dyDescent="0.25">
      <c r="A1017" s="53"/>
      <c r="B1017" s="58"/>
      <c r="C1017" s="58"/>
      <c r="D1017" s="35"/>
      <c r="E1017" s="129"/>
      <c r="F1017" s="129"/>
      <c r="G1017" s="129"/>
      <c r="H1017" s="129"/>
      <c r="I1017" s="129"/>
      <c r="J1017" s="129"/>
      <c r="K1017" s="129"/>
      <c r="L1017" s="129"/>
      <c r="M1017" s="129"/>
      <c r="N1017" s="129"/>
      <c r="O1017" s="129"/>
      <c r="P1017" s="148"/>
      <c r="Q1017" s="174"/>
    </row>
    <row r="1018" spans="1:17" s="28" customFormat="1" x14ac:dyDescent="0.25">
      <c r="A1018" s="53"/>
      <c r="B1018" s="58"/>
      <c r="C1018" s="58"/>
      <c r="D1018" s="35"/>
      <c r="E1018" s="129"/>
      <c r="F1018" s="129"/>
      <c r="G1018" s="129"/>
      <c r="H1018" s="129"/>
      <c r="I1018" s="129"/>
      <c r="J1018" s="129"/>
      <c r="K1018" s="129"/>
      <c r="L1018" s="129"/>
      <c r="M1018" s="129"/>
      <c r="N1018" s="129"/>
      <c r="O1018" s="129"/>
      <c r="P1018" s="148"/>
      <c r="Q1018" s="174"/>
    </row>
    <row r="1019" spans="1:17" s="28" customFormat="1" x14ac:dyDescent="0.25">
      <c r="A1019" s="53"/>
      <c r="B1019" s="58"/>
      <c r="C1019" s="58"/>
      <c r="D1019" s="35"/>
      <c r="E1019" s="129"/>
      <c r="F1019" s="129"/>
      <c r="G1019" s="129"/>
      <c r="H1019" s="129"/>
      <c r="I1019" s="129"/>
      <c r="J1019" s="129"/>
      <c r="K1019" s="129"/>
      <c r="L1019" s="129"/>
      <c r="M1019" s="129"/>
      <c r="N1019" s="129"/>
      <c r="O1019" s="129"/>
      <c r="P1019" s="148"/>
      <c r="Q1019" s="174"/>
    </row>
    <row r="1020" spans="1:17" s="28" customFormat="1" x14ac:dyDescent="0.25">
      <c r="A1020" s="53"/>
      <c r="B1020" s="58"/>
      <c r="C1020" s="58"/>
      <c r="D1020" s="35"/>
      <c r="E1020" s="129"/>
      <c r="F1020" s="129"/>
      <c r="G1020" s="129"/>
      <c r="H1020" s="129"/>
      <c r="I1020" s="129"/>
      <c r="J1020" s="129"/>
      <c r="K1020" s="129"/>
      <c r="L1020" s="129"/>
      <c r="M1020" s="129"/>
      <c r="N1020" s="129"/>
      <c r="O1020" s="129"/>
      <c r="P1020" s="148"/>
      <c r="Q1020" s="174"/>
    </row>
    <row r="1021" spans="1:17" s="28" customFormat="1" x14ac:dyDescent="0.25">
      <c r="A1021" s="53"/>
      <c r="B1021" s="58"/>
      <c r="C1021" s="58"/>
      <c r="D1021" s="35"/>
      <c r="E1021" s="129"/>
      <c r="F1021" s="129"/>
      <c r="G1021" s="129"/>
      <c r="H1021" s="129"/>
      <c r="I1021" s="129"/>
      <c r="J1021" s="129"/>
      <c r="K1021" s="129"/>
      <c r="L1021" s="129"/>
      <c r="M1021" s="129"/>
      <c r="N1021" s="129"/>
      <c r="O1021" s="129"/>
      <c r="P1021" s="148"/>
      <c r="Q1021" s="174"/>
    </row>
    <row r="1022" spans="1:17" s="28" customFormat="1" x14ac:dyDescent="0.25">
      <c r="A1022" s="53"/>
      <c r="B1022" s="58"/>
      <c r="C1022" s="58"/>
      <c r="D1022" s="35"/>
      <c r="E1022" s="129"/>
      <c r="F1022" s="129"/>
      <c r="G1022" s="129"/>
      <c r="H1022" s="129"/>
      <c r="I1022" s="129"/>
      <c r="J1022" s="129"/>
      <c r="K1022" s="129"/>
      <c r="L1022" s="129"/>
      <c r="M1022" s="129"/>
      <c r="N1022" s="129"/>
      <c r="O1022" s="129"/>
      <c r="P1022" s="148"/>
      <c r="Q1022" s="174"/>
    </row>
    <row r="1023" spans="1:17" s="28" customFormat="1" x14ac:dyDescent="0.25">
      <c r="A1023" s="53"/>
      <c r="B1023" s="58"/>
      <c r="C1023" s="58"/>
      <c r="D1023" s="35"/>
      <c r="E1023" s="129"/>
      <c r="F1023" s="129"/>
      <c r="G1023" s="129"/>
      <c r="H1023" s="129"/>
      <c r="I1023" s="129"/>
      <c r="J1023" s="129"/>
      <c r="K1023" s="129"/>
      <c r="L1023" s="129"/>
      <c r="M1023" s="129"/>
      <c r="N1023" s="129"/>
      <c r="O1023" s="129"/>
      <c r="P1023" s="148"/>
      <c r="Q1023" s="174"/>
    </row>
    <row r="1024" spans="1:17" s="28" customFormat="1" x14ac:dyDescent="0.25">
      <c r="A1024" s="53"/>
      <c r="B1024" s="58"/>
      <c r="C1024" s="58"/>
      <c r="D1024" s="35"/>
      <c r="E1024" s="129"/>
      <c r="F1024" s="129"/>
      <c r="G1024" s="129"/>
      <c r="H1024" s="129"/>
      <c r="I1024" s="129"/>
      <c r="J1024" s="129"/>
      <c r="K1024" s="129"/>
      <c r="L1024" s="129"/>
      <c r="M1024" s="129"/>
      <c r="N1024" s="129"/>
      <c r="O1024" s="129"/>
      <c r="P1024" s="148"/>
      <c r="Q1024" s="174"/>
    </row>
    <row r="1025" spans="1:17" s="28" customFormat="1" x14ac:dyDescent="0.25">
      <c r="A1025" s="53"/>
      <c r="B1025" s="58"/>
      <c r="C1025" s="58"/>
      <c r="D1025" s="35"/>
      <c r="E1025" s="129"/>
      <c r="F1025" s="129"/>
      <c r="G1025" s="129"/>
      <c r="H1025" s="129"/>
      <c r="I1025" s="129"/>
      <c r="J1025" s="129"/>
      <c r="K1025" s="129"/>
      <c r="L1025" s="129"/>
      <c r="M1025" s="129"/>
      <c r="N1025" s="129"/>
      <c r="O1025" s="129"/>
      <c r="P1025" s="148"/>
      <c r="Q1025" s="174"/>
    </row>
    <row r="1026" spans="1:17" s="28" customFormat="1" x14ac:dyDescent="0.25">
      <c r="A1026" s="53"/>
      <c r="B1026" s="58"/>
      <c r="C1026" s="58"/>
      <c r="D1026" s="35"/>
      <c r="E1026" s="129"/>
      <c r="F1026" s="129"/>
      <c r="G1026" s="129"/>
      <c r="H1026" s="129"/>
      <c r="I1026" s="129"/>
      <c r="J1026" s="129"/>
      <c r="K1026" s="129"/>
      <c r="L1026" s="129"/>
      <c r="M1026" s="129"/>
      <c r="N1026" s="129"/>
      <c r="O1026" s="129"/>
      <c r="P1026" s="148"/>
      <c r="Q1026" s="174"/>
    </row>
    <row r="1027" spans="1:17" s="28" customFormat="1" x14ac:dyDescent="0.25">
      <c r="A1027" s="53"/>
      <c r="B1027" s="58"/>
      <c r="C1027" s="58"/>
      <c r="D1027" s="35"/>
      <c r="E1027" s="129"/>
      <c r="F1027" s="129"/>
      <c r="G1027" s="129"/>
      <c r="H1027" s="129"/>
      <c r="I1027" s="129"/>
      <c r="J1027" s="129"/>
      <c r="K1027" s="129"/>
      <c r="L1027" s="129"/>
      <c r="M1027" s="129"/>
      <c r="N1027" s="129"/>
      <c r="O1027" s="129"/>
      <c r="P1027" s="148"/>
      <c r="Q1027" s="174"/>
    </row>
    <row r="1028" spans="1:17" s="28" customFormat="1" x14ac:dyDescent="0.25">
      <c r="A1028" s="53"/>
      <c r="B1028" s="58"/>
      <c r="C1028" s="58"/>
      <c r="D1028" s="35"/>
      <c r="E1028" s="129"/>
      <c r="F1028" s="129"/>
      <c r="G1028" s="129"/>
      <c r="H1028" s="129"/>
      <c r="I1028" s="129"/>
      <c r="J1028" s="129"/>
      <c r="K1028" s="129"/>
      <c r="L1028" s="129"/>
      <c r="M1028" s="129"/>
      <c r="N1028" s="129"/>
      <c r="O1028" s="129"/>
      <c r="P1028" s="148"/>
      <c r="Q1028" s="174"/>
    </row>
    <row r="1029" spans="1:17" s="28" customFormat="1" x14ac:dyDescent="0.25">
      <c r="A1029" s="53"/>
      <c r="B1029" s="58"/>
      <c r="C1029" s="58"/>
      <c r="D1029" s="35"/>
      <c r="E1029" s="129"/>
      <c r="F1029" s="129"/>
      <c r="G1029" s="129"/>
      <c r="H1029" s="129"/>
      <c r="I1029" s="129"/>
      <c r="J1029" s="129"/>
      <c r="K1029" s="129"/>
      <c r="L1029" s="129"/>
      <c r="M1029" s="129"/>
      <c r="N1029" s="129"/>
      <c r="O1029" s="129"/>
      <c r="P1029" s="148"/>
      <c r="Q1029" s="174"/>
    </row>
    <row r="1030" spans="1:17" s="28" customFormat="1" x14ac:dyDescent="0.25">
      <c r="A1030" s="53"/>
      <c r="B1030" s="58"/>
      <c r="C1030" s="58"/>
      <c r="D1030" s="35"/>
      <c r="E1030" s="129"/>
      <c r="F1030" s="129"/>
      <c r="G1030" s="129"/>
      <c r="H1030" s="129"/>
      <c r="I1030" s="129"/>
      <c r="J1030" s="129"/>
      <c r="K1030" s="129"/>
      <c r="L1030" s="129"/>
      <c r="M1030" s="129"/>
      <c r="N1030" s="129"/>
      <c r="O1030" s="129"/>
      <c r="P1030" s="148"/>
      <c r="Q1030" s="174"/>
    </row>
    <row r="1031" spans="1:17" s="28" customFormat="1" x14ac:dyDescent="0.25">
      <c r="A1031" s="53"/>
      <c r="B1031" s="58"/>
      <c r="C1031" s="58"/>
      <c r="D1031" s="35"/>
      <c r="E1031" s="129"/>
      <c r="F1031" s="129"/>
      <c r="G1031" s="129"/>
      <c r="H1031" s="129"/>
      <c r="I1031" s="129"/>
      <c r="J1031" s="129"/>
      <c r="K1031" s="129"/>
      <c r="L1031" s="129"/>
      <c r="M1031" s="129"/>
      <c r="N1031" s="129"/>
      <c r="O1031" s="129"/>
      <c r="P1031" s="148"/>
      <c r="Q1031" s="174"/>
    </row>
    <row r="1032" spans="1:17" s="28" customFormat="1" x14ac:dyDescent="0.25">
      <c r="A1032" s="53"/>
      <c r="B1032" s="58"/>
      <c r="C1032" s="58"/>
      <c r="D1032" s="35"/>
      <c r="E1032" s="129"/>
      <c r="F1032" s="129"/>
      <c r="G1032" s="129"/>
      <c r="H1032" s="129"/>
      <c r="I1032" s="129"/>
      <c r="J1032" s="129"/>
      <c r="K1032" s="129"/>
      <c r="L1032" s="129"/>
      <c r="M1032" s="129"/>
      <c r="N1032" s="129"/>
      <c r="O1032" s="129"/>
      <c r="P1032" s="148"/>
      <c r="Q1032" s="174"/>
    </row>
    <row r="1033" spans="1:17" s="28" customFormat="1" x14ac:dyDescent="0.25">
      <c r="A1033" s="53"/>
      <c r="B1033" s="58"/>
      <c r="C1033" s="58"/>
      <c r="D1033" s="35"/>
      <c r="E1033" s="129"/>
      <c r="F1033" s="129"/>
      <c r="G1033" s="129"/>
      <c r="H1033" s="129"/>
      <c r="I1033" s="129"/>
      <c r="J1033" s="129"/>
      <c r="K1033" s="129"/>
      <c r="L1033" s="129"/>
      <c r="M1033" s="129"/>
      <c r="N1033" s="129"/>
      <c r="O1033" s="129"/>
      <c r="P1033" s="148"/>
      <c r="Q1033" s="174"/>
    </row>
    <row r="1034" spans="1:17" s="28" customFormat="1" x14ac:dyDescent="0.25">
      <c r="A1034" s="53"/>
      <c r="B1034" s="58"/>
      <c r="C1034" s="58"/>
      <c r="D1034" s="35"/>
      <c r="E1034" s="129"/>
      <c r="F1034" s="129"/>
      <c r="G1034" s="129"/>
      <c r="H1034" s="129"/>
      <c r="I1034" s="129"/>
      <c r="J1034" s="129"/>
      <c r="K1034" s="129"/>
      <c r="L1034" s="129"/>
      <c r="M1034" s="129"/>
      <c r="N1034" s="129"/>
      <c r="O1034" s="129"/>
      <c r="P1034" s="148"/>
      <c r="Q1034" s="174"/>
    </row>
    <row r="1035" spans="1:17" s="28" customFormat="1" x14ac:dyDescent="0.25">
      <c r="A1035" s="53"/>
      <c r="B1035" s="58"/>
      <c r="C1035" s="58"/>
      <c r="D1035" s="35"/>
      <c r="E1035" s="129"/>
      <c r="F1035" s="129"/>
      <c r="G1035" s="129"/>
      <c r="H1035" s="129"/>
      <c r="I1035" s="129"/>
      <c r="J1035" s="129"/>
      <c r="K1035" s="129"/>
      <c r="L1035" s="129"/>
      <c r="M1035" s="129"/>
      <c r="N1035" s="129"/>
      <c r="O1035" s="129"/>
      <c r="P1035" s="148"/>
      <c r="Q1035" s="174"/>
    </row>
    <row r="1036" spans="1:17" s="28" customFormat="1" x14ac:dyDescent="0.25">
      <c r="A1036" s="53"/>
      <c r="B1036" s="58"/>
      <c r="C1036" s="58"/>
      <c r="D1036" s="35"/>
      <c r="E1036" s="129"/>
      <c r="F1036" s="129"/>
      <c r="G1036" s="129"/>
      <c r="H1036" s="129"/>
      <c r="I1036" s="129"/>
      <c r="J1036" s="129"/>
      <c r="K1036" s="129"/>
      <c r="L1036" s="129"/>
      <c r="M1036" s="129"/>
      <c r="N1036" s="129"/>
      <c r="O1036" s="129"/>
      <c r="P1036" s="148"/>
      <c r="Q1036" s="174"/>
    </row>
    <row r="1037" spans="1:17" s="28" customFormat="1" x14ac:dyDescent="0.25">
      <c r="A1037" s="53"/>
      <c r="B1037" s="58"/>
      <c r="C1037" s="58"/>
      <c r="D1037" s="35"/>
      <c r="E1037" s="129"/>
      <c r="F1037" s="129"/>
      <c r="G1037" s="129"/>
      <c r="H1037" s="129"/>
      <c r="I1037" s="129"/>
      <c r="J1037" s="129"/>
      <c r="K1037" s="129"/>
      <c r="L1037" s="129"/>
      <c r="M1037" s="129"/>
      <c r="N1037" s="129"/>
      <c r="O1037" s="129"/>
      <c r="P1037" s="148"/>
      <c r="Q1037" s="174"/>
    </row>
    <row r="1038" spans="1:17" s="28" customFormat="1" x14ac:dyDescent="0.25">
      <c r="A1038" s="53"/>
      <c r="B1038" s="58"/>
      <c r="C1038" s="58"/>
      <c r="D1038" s="35"/>
      <c r="E1038" s="129"/>
      <c r="F1038" s="129"/>
      <c r="G1038" s="129"/>
      <c r="H1038" s="129"/>
      <c r="I1038" s="129"/>
      <c r="J1038" s="129"/>
      <c r="K1038" s="129"/>
      <c r="L1038" s="129"/>
      <c r="M1038" s="129"/>
      <c r="N1038" s="129"/>
      <c r="O1038" s="129"/>
      <c r="P1038" s="148"/>
      <c r="Q1038" s="174"/>
    </row>
    <row r="1039" spans="1:17" s="28" customFormat="1" x14ac:dyDescent="0.25">
      <c r="A1039" s="53"/>
      <c r="B1039" s="58"/>
      <c r="C1039" s="58"/>
      <c r="D1039" s="35"/>
      <c r="E1039" s="129"/>
      <c r="F1039" s="129"/>
      <c r="G1039" s="129"/>
      <c r="H1039" s="129"/>
      <c r="I1039" s="129"/>
      <c r="J1039" s="129"/>
      <c r="K1039" s="129"/>
      <c r="L1039" s="129"/>
      <c r="M1039" s="129"/>
      <c r="N1039" s="129"/>
      <c r="O1039" s="129"/>
      <c r="P1039" s="148"/>
      <c r="Q1039" s="174"/>
    </row>
    <row r="1040" spans="1:17" s="28" customFormat="1" x14ac:dyDescent="0.25">
      <c r="A1040" s="53"/>
      <c r="B1040" s="58"/>
      <c r="C1040" s="58"/>
      <c r="D1040" s="35"/>
      <c r="E1040" s="129"/>
      <c r="F1040" s="129"/>
      <c r="G1040" s="129"/>
      <c r="H1040" s="129"/>
      <c r="I1040" s="129"/>
      <c r="J1040" s="129"/>
      <c r="K1040" s="129"/>
      <c r="L1040" s="129"/>
      <c r="M1040" s="129"/>
      <c r="N1040" s="129"/>
      <c r="O1040" s="129"/>
      <c r="P1040" s="148"/>
      <c r="Q1040" s="174"/>
    </row>
    <row r="1041" spans="1:17" s="28" customFormat="1" x14ac:dyDescent="0.25">
      <c r="A1041" s="53"/>
      <c r="B1041" s="58"/>
      <c r="C1041" s="58"/>
      <c r="D1041" s="35"/>
      <c r="E1041" s="129"/>
      <c r="F1041" s="129"/>
      <c r="G1041" s="129"/>
      <c r="H1041" s="129"/>
      <c r="I1041" s="129"/>
      <c r="J1041" s="129"/>
      <c r="K1041" s="129"/>
      <c r="L1041" s="129"/>
      <c r="M1041" s="129"/>
      <c r="N1041" s="129"/>
      <c r="O1041" s="129"/>
      <c r="P1041" s="148"/>
      <c r="Q1041" s="174"/>
    </row>
    <row r="1042" spans="1:17" s="28" customFormat="1" x14ac:dyDescent="0.25">
      <c r="A1042" s="53"/>
      <c r="B1042" s="58"/>
      <c r="C1042" s="58"/>
      <c r="D1042" s="35"/>
      <c r="E1042" s="129"/>
      <c r="F1042" s="129"/>
      <c r="G1042" s="129"/>
      <c r="H1042" s="129"/>
      <c r="I1042" s="129"/>
      <c r="J1042" s="129"/>
      <c r="K1042" s="129"/>
      <c r="L1042" s="129"/>
      <c r="M1042" s="129"/>
      <c r="N1042" s="129"/>
      <c r="O1042" s="129"/>
      <c r="P1042" s="148"/>
      <c r="Q1042" s="174"/>
    </row>
    <row r="1043" spans="1:17" s="28" customFormat="1" x14ac:dyDescent="0.25">
      <c r="A1043" s="53"/>
      <c r="B1043" s="58"/>
      <c r="C1043" s="58"/>
      <c r="D1043" s="35"/>
      <c r="E1043" s="129"/>
      <c r="F1043" s="129"/>
      <c r="G1043" s="129"/>
      <c r="H1043" s="129"/>
      <c r="I1043" s="129"/>
      <c r="J1043" s="129"/>
      <c r="K1043" s="129"/>
      <c r="L1043" s="129"/>
      <c r="M1043" s="129"/>
      <c r="N1043" s="129"/>
      <c r="O1043" s="129"/>
      <c r="P1043" s="148"/>
      <c r="Q1043" s="174"/>
    </row>
    <row r="1044" spans="1:17" s="28" customFormat="1" x14ac:dyDescent="0.25">
      <c r="A1044" s="53"/>
      <c r="B1044" s="58"/>
      <c r="C1044" s="58"/>
      <c r="D1044" s="35"/>
      <c r="E1044" s="129"/>
      <c r="F1044" s="129"/>
      <c r="G1044" s="129"/>
      <c r="H1044" s="129"/>
      <c r="I1044" s="129"/>
      <c r="J1044" s="129"/>
      <c r="K1044" s="129"/>
      <c r="L1044" s="129"/>
      <c r="M1044" s="129"/>
      <c r="N1044" s="129"/>
      <c r="O1044" s="129"/>
      <c r="P1044" s="148"/>
      <c r="Q1044" s="174"/>
    </row>
    <row r="1045" spans="1:17" s="28" customFormat="1" x14ac:dyDescent="0.25">
      <c r="A1045" s="53"/>
      <c r="B1045" s="58"/>
      <c r="C1045" s="58"/>
      <c r="D1045" s="35"/>
      <c r="E1045" s="129"/>
      <c r="F1045" s="129"/>
      <c r="G1045" s="129"/>
      <c r="H1045" s="129"/>
      <c r="I1045" s="129"/>
      <c r="J1045" s="129"/>
      <c r="K1045" s="129"/>
      <c r="L1045" s="129"/>
      <c r="M1045" s="129"/>
      <c r="N1045" s="129"/>
      <c r="O1045" s="129"/>
      <c r="P1045" s="148"/>
      <c r="Q1045" s="174"/>
    </row>
    <row r="1046" spans="1:17" s="28" customFormat="1" x14ac:dyDescent="0.25">
      <c r="A1046" s="53"/>
      <c r="B1046" s="58"/>
      <c r="C1046" s="58"/>
      <c r="D1046" s="35"/>
      <c r="E1046" s="129"/>
      <c r="F1046" s="129"/>
      <c r="G1046" s="129"/>
      <c r="H1046" s="129"/>
      <c r="I1046" s="129"/>
      <c r="J1046" s="129"/>
      <c r="K1046" s="129"/>
      <c r="L1046" s="129"/>
      <c r="M1046" s="129"/>
      <c r="N1046" s="129"/>
      <c r="O1046" s="129"/>
      <c r="P1046" s="148"/>
      <c r="Q1046" s="174"/>
    </row>
    <row r="1047" spans="1:17" s="28" customFormat="1" x14ac:dyDescent="0.25">
      <c r="A1047" s="53"/>
      <c r="B1047" s="58"/>
      <c r="C1047" s="58"/>
      <c r="D1047" s="35"/>
      <c r="E1047" s="129"/>
      <c r="F1047" s="129"/>
      <c r="G1047" s="129"/>
      <c r="H1047" s="129"/>
      <c r="I1047" s="129"/>
      <c r="J1047" s="129"/>
      <c r="K1047" s="129"/>
      <c r="L1047" s="129"/>
      <c r="M1047" s="129"/>
      <c r="N1047" s="129"/>
      <c r="O1047" s="129"/>
      <c r="P1047" s="148"/>
      <c r="Q1047" s="174"/>
    </row>
    <row r="1048" spans="1:17" s="28" customFormat="1" x14ac:dyDescent="0.25">
      <c r="A1048" s="53"/>
      <c r="B1048" s="58"/>
      <c r="C1048" s="58"/>
      <c r="D1048" s="35"/>
      <c r="E1048" s="129"/>
      <c r="F1048" s="129"/>
      <c r="G1048" s="129"/>
      <c r="H1048" s="129"/>
      <c r="I1048" s="129"/>
      <c r="J1048" s="129"/>
      <c r="K1048" s="129"/>
      <c r="L1048" s="129"/>
      <c r="M1048" s="129"/>
      <c r="N1048" s="129"/>
      <c r="O1048" s="129"/>
      <c r="P1048" s="148"/>
      <c r="Q1048" s="174"/>
    </row>
    <row r="1049" spans="1:17" s="28" customFormat="1" x14ac:dyDescent="0.25">
      <c r="A1049" s="53"/>
      <c r="B1049" s="58"/>
      <c r="C1049" s="58"/>
      <c r="D1049" s="35"/>
      <c r="E1049" s="129"/>
      <c r="F1049" s="129"/>
      <c r="G1049" s="129"/>
      <c r="H1049" s="129"/>
      <c r="I1049" s="129"/>
      <c r="J1049" s="129"/>
      <c r="K1049" s="129"/>
      <c r="L1049" s="129"/>
      <c r="M1049" s="129"/>
      <c r="N1049" s="129"/>
      <c r="O1049" s="129"/>
      <c r="P1049" s="148"/>
      <c r="Q1049" s="174"/>
    </row>
    <row r="1050" spans="1:17" s="28" customFormat="1" x14ac:dyDescent="0.25">
      <c r="A1050" s="53"/>
      <c r="B1050" s="58"/>
      <c r="C1050" s="58"/>
      <c r="D1050" s="35"/>
      <c r="E1050" s="129"/>
      <c r="F1050" s="129"/>
      <c r="G1050" s="129"/>
      <c r="H1050" s="129"/>
      <c r="I1050" s="129"/>
      <c r="J1050" s="129"/>
      <c r="K1050" s="129"/>
      <c r="L1050" s="129"/>
      <c r="M1050" s="129"/>
      <c r="N1050" s="129"/>
      <c r="O1050" s="129"/>
      <c r="P1050" s="148"/>
      <c r="Q1050" s="174"/>
    </row>
    <row r="1051" spans="1:17" s="28" customFormat="1" x14ac:dyDescent="0.25">
      <c r="A1051" s="53"/>
      <c r="B1051" s="58"/>
      <c r="C1051" s="58"/>
      <c r="D1051" s="35"/>
      <c r="E1051" s="129"/>
      <c r="F1051" s="129"/>
      <c r="G1051" s="129"/>
      <c r="H1051" s="129"/>
      <c r="I1051" s="129"/>
      <c r="J1051" s="129"/>
      <c r="K1051" s="129"/>
      <c r="L1051" s="129"/>
      <c r="M1051" s="129"/>
      <c r="N1051" s="129"/>
      <c r="O1051" s="129"/>
      <c r="P1051" s="148"/>
      <c r="Q1051" s="174"/>
    </row>
    <row r="1052" spans="1:17" s="28" customFormat="1" x14ac:dyDescent="0.25">
      <c r="A1052" s="53"/>
      <c r="B1052" s="58"/>
      <c r="C1052" s="58"/>
      <c r="D1052" s="35"/>
      <c r="E1052" s="129"/>
      <c r="F1052" s="129"/>
      <c r="G1052" s="129"/>
      <c r="H1052" s="129"/>
      <c r="I1052" s="129"/>
      <c r="J1052" s="129"/>
      <c r="K1052" s="129"/>
      <c r="L1052" s="129"/>
      <c r="M1052" s="129"/>
      <c r="N1052" s="129"/>
      <c r="O1052" s="129"/>
      <c r="P1052" s="148"/>
      <c r="Q1052" s="174"/>
    </row>
    <row r="1053" spans="1:17" s="28" customFormat="1" x14ac:dyDescent="0.25">
      <c r="A1053" s="53"/>
      <c r="B1053" s="58"/>
      <c r="C1053" s="58"/>
      <c r="D1053" s="35"/>
      <c r="E1053" s="129"/>
      <c r="F1053" s="129"/>
      <c r="G1053" s="129"/>
      <c r="H1053" s="129"/>
      <c r="I1053" s="129"/>
      <c r="J1053" s="129"/>
      <c r="K1053" s="129"/>
      <c r="L1053" s="129"/>
      <c r="M1053" s="129"/>
      <c r="N1053" s="129"/>
      <c r="O1053" s="129"/>
      <c r="P1053" s="148"/>
      <c r="Q1053" s="174"/>
    </row>
    <row r="1054" spans="1:17" s="28" customFormat="1" x14ac:dyDescent="0.25">
      <c r="A1054" s="53"/>
      <c r="B1054" s="58"/>
      <c r="C1054" s="58"/>
      <c r="D1054" s="35"/>
      <c r="E1054" s="129"/>
      <c r="F1054" s="129"/>
      <c r="G1054" s="129"/>
      <c r="H1054" s="129"/>
      <c r="I1054" s="129"/>
      <c r="J1054" s="129"/>
      <c r="K1054" s="129"/>
      <c r="L1054" s="129"/>
      <c r="M1054" s="129"/>
      <c r="N1054" s="129"/>
      <c r="O1054" s="129"/>
      <c r="P1054" s="148"/>
      <c r="Q1054" s="174"/>
    </row>
    <row r="1055" spans="1:17" s="28" customFormat="1" x14ac:dyDescent="0.25">
      <c r="A1055" s="53"/>
      <c r="B1055" s="58"/>
      <c r="C1055" s="58"/>
      <c r="D1055" s="35"/>
      <c r="E1055" s="129"/>
      <c r="F1055" s="129"/>
      <c r="G1055" s="129"/>
      <c r="H1055" s="129"/>
      <c r="I1055" s="129"/>
      <c r="J1055" s="129"/>
      <c r="K1055" s="129"/>
      <c r="L1055" s="129"/>
      <c r="M1055" s="129"/>
      <c r="N1055" s="129"/>
      <c r="O1055" s="129"/>
      <c r="P1055" s="148"/>
      <c r="Q1055" s="174"/>
    </row>
    <row r="1056" spans="1:17" s="28" customFormat="1" x14ac:dyDescent="0.25">
      <c r="A1056" s="53"/>
      <c r="B1056" s="58"/>
      <c r="C1056" s="58"/>
      <c r="D1056" s="35"/>
      <c r="E1056" s="129"/>
      <c r="F1056" s="129"/>
      <c r="G1056" s="129"/>
      <c r="H1056" s="129"/>
      <c r="I1056" s="129"/>
      <c r="J1056" s="129"/>
      <c r="K1056" s="129"/>
      <c r="L1056" s="129"/>
      <c r="M1056" s="129"/>
      <c r="N1056" s="129"/>
      <c r="O1056" s="129"/>
      <c r="P1056" s="148"/>
      <c r="Q1056" s="174"/>
    </row>
    <row r="1057" spans="1:17" s="28" customFormat="1" x14ac:dyDescent="0.25">
      <c r="A1057" s="53"/>
      <c r="B1057" s="58"/>
      <c r="C1057" s="58"/>
      <c r="D1057" s="35"/>
      <c r="E1057" s="129"/>
      <c r="F1057" s="129"/>
      <c r="G1057" s="129"/>
      <c r="H1057" s="129"/>
      <c r="I1057" s="129"/>
      <c r="J1057" s="129"/>
      <c r="K1057" s="129"/>
      <c r="L1057" s="129"/>
      <c r="M1057" s="129"/>
      <c r="N1057" s="129"/>
      <c r="O1057" s="129"/>
      <c r="P1057" s="148"/>
      <c r="Q1057" s="174"/>
    </row>
    <row r="1058" spans="1:17" s="28" customFormat="1" x14ac:dyDescent="0.25">
      <c r="A1058" s="53"/>
      <c r="B1058" s="58"/>
      <c r="C1058" s="58"/>
      <c r="D1058" s="35"/>
      <c r="E1058" s="129"/>
      <c r="F1058" s="129"/>
      <c r="G1058" s="129"/>
      <c r="H1058" s="129"/>
      <c r="I1058" s="129"/>
      <c r="J1058" s="129"/>
      <c r="K1058" s="129"/>
      <c r="L1058" s="129"/>
      <c r="M1058" s="129"/>
      <c r="N1058" s="129"/>
      <c r="O1058" s="129"/>
      <c r="P1058" s="148"/>
      <c r="Q1058" s="174"/>
    </row>
    <row r="1059" spans="1:17" s="28" customFormat="1" x14ac:dyDescent="0.25">
      <c r="A1059" s="53"/>
      <c r="B1059" s="58"/>
      <c r="C1059" s="58"/>
      <c r="D1059" s="35"/>
      <c r="E1059" s="129"/>
      <c r="F1059" s="129"/>
      <c r="G1059" s="129"/>
      <c r="H1059" s="129"/>
      <c r="I1059" s="129"/>
      <c r="J1059" s="129"/>
      <c r="K1059" s="129"/>
      <c r="L1059" s="129"/>
      <c r="M1059" s="129"/>
      <c r="N1059" s="129"/>
      <c r="O1059" s="129"/>
      <c r="P1059" s="148"/>
      <c r="Q1059" s="174"/>
    </row>
    <row r="1060" spans="1:17" s="28" customFormat="1" x14ac:dyDescent="0.25">
      <c r="A1060" s="53"/>
      <c r="B1060" s="58"/>
      <c r="C1060" s="58"/>
      <c r="D1060" s="35"/>
      <c r="E1060" s="129"/>
      <c r="F1060" s="129"/>
      <c r="G1060" s="129"/>
      <c r="H1060" s="129"/>
      <c r="I1060" s="129"/>
      <c r="J1060" s="129"/>
      <c r="K1060" s="129"/>
      <c r="L1060" s="129"/>
      <c r="M1060" s="129"/>
      <c r="N1060" s="129"/>
      <c r="O1060" s="129"/>
      <c r="P1060" s="148"/>
      <c r="Q1060" s="174"/>
    </row>
    <row r="1061" spans="1:17" s="28" customFormat="1" x14ac:dyDescent="0.25">
      <c r="A1061" s="53"/>
      <c r="B1061" s="58"/>
      <c r="C1061" s="58"/>
      <c r="D1061" s="35"/>
      <c r="E1061" s="129"/>
      <c r="F1061" s="129"/>
      <c r="G1061" s="129"/>
      <c r="H1061" s="129"/>
      <c r="I1061" s="129"/>
      <c r="J1061" s="129"/>
      <c r="K1061" s="129"/>
      <c r="L1061" s="129"/>
      <c r="M1061" s="129"/>
      <c r="N1061" s="129"/>
      <c r="O1061" s="129"/>
      <c r="P1061" s="148"/>
      <c r="Q1061" s="174"/>
    </row>
    <row r="1062" spans="1:17" s="28" customFormat="1" x14ac:dyDescent="0.25">
      <c r="A1062" s="53"/>
      <c r="B1062" s="58"/>
      <c r="C1062" s="58"/>
      <c r="D1062" s="35"/>
      <c r="E1062" s="129"/>
      <c r="F1062" s="129"/>
      <c r="G1062" s="129"/>
      <c r="H1062" s="129"/>
      <c r="I1062" s="129"/>
      <c r="J1062" s="129"/>
      <c r="K1062" s="129"/>
      <c r="L1062" s="129"/>
      <c r="M1062" s="129"/>
      <c r="N1062" s="129"/>
      <c r="O1062" s="129"/>
      <c r="P1062" s="148"/>
      <c r="Q1062" s="174"/>
    </row>
    <row r="1063" spans="1:17" s="28" customFormat="1" x14ac:dyDescent="0.25">
      <c r="A1063" s="53"/>
      <c r="B1063" s="58"/>
      <c r="C1063" s="58"/>
      <c r="D1063" s="35"/>
      <c r="E1063" s="129"/>
      <c r="F1063" s="129"/>
      <c r="G1063" s="129"/>
      <c r="H1063" s="129"/>
      <c r="I1063" s="129"/>
      <c r="J1063" s="129"/>
      <c r="K1063" s="129"/>
      <c r="L1063" s="129"/>
      <c r="M1063" s="129"/>
      <c r="N1063" s="129"/>
      <c r="O1063" s="129"/>
      <c r="P1063" s="148"/>
      <c r="Q1063" s="174"/>
    </row>
    <row r="1064" spans="1:17" s="28" customFormat="1" x14ac:dyDescent="0.25">
      <c r="A1064" s="53"/>
      <c r="B1064" s="58"/>
      <c r="C1064" s="58"/>
      <c r="D1064" s="35"/>
      <c r="E1064" s="129"/>
      <c r="F1064" s="129"/>
      <c r="G1064" s="129"/>
      <c r="H1064" s="129"/>
      <c r="I1064" s="129"/>
      <c r="J1064" s="129"/>
      <c r="K1064" s="129"/>
      <c r="L1064" s="129"/>
      <c r="M1064" s="129"/>
      <c r="N1064" s="129"/>
      <c r="O1064" s="129"/>
      <c r="P1064" s="148"/>
      <c r="Q1064" s="174"/>
    </row>
    <row r="1065" spans="1:17" s="28" customFormat="1" x14ac:dyDescent="0.25">
      <c r="A1065" s="53"/>
      <c r="B1065" s="58"/>
      <c r="C1065" s="58"/>
      <c r="D1065" s="35"/>
      <c r="E1065" s="129"/>
      <c r="F1065" s="129"/>
      <c r="G1065" s="129"/>
      <c r="H1065" s="129"/>
      <c r="I1065" s="129"/>
      <c r="J1065" s="129"/>
      <c r="K1065" s="129"/>
      <c r="L1065" s="129"/>
      <c r="M1065" s="129"/>
      <c r="N1065" s="129"/>
      <c r="O1065" s="129"/>
      <c r="P1065" s="148"/>
      <c r="Q1065" s="174"/>
    </row>
    <row r="1066" spans="1:17" s="28" customFormat="1" x14ac:dyDescent="0.25">
      <c r="A1066" s="53"/>
      <c r="B1066" s="58"/>
      <c r="C1066" s="58"/>
      <c r="D1066" s="35"/>
      <c r="E1066" s="129"/>
      <c r="F1066" s="129"/>
      <c r="G1066" s="129"/>
      <c r="H1066" s="129"/>
      <c r="I1066" s="129"/>
      <c r="J1066" s="129"/>
      <c r="K1066" s="129"/>
      <c r="L1066" s="129"/>
      <c r="M1066" s="129"/>
      <c r="N1066" s="129"/>
      <c r="O1066" s="129"/>
      <c r="P1066" s="148"/>
      <c r="Q1066" s="174"/>
    </row>
    <row r="1067" spans="1:17" s="28" customFormat="1" x14ac:dyDescent="0.25">
      <c r="A1067" s="53"/>
      <c r="B1067" s="58"/>
      <c r="C1067" s="58"/>
      <c r="D1067" s="35"/>
      <c r="E1067" s="129"/>
      <c r="F1067" s="129"/>
      <c r="G1067" s="129"/>
      <c r="H1067" s="129"/>
      <c r="I1067" s="129"/>
      <c r="J1067" s="129"/>
      <c r="K1067" s="129"/>
      <c r="L1067" s="129"/>
      <c r="M1067" s="129"/>
      <c r="N1067" s="129"/>
      <c r="O1067" s="129"/>
      <c r="P1067" s="148"/>
      <c r="Q1067" s="174"/>
    </row>
    <row r="1068" spans="1:17" s="28" customFormat="1" x14ac:dyDescent="0.25">
      <c r="A1068" s="53"/>
      <c r="B1068" s="58"/>
      <c r="C1068" s="58"/>
      <c r="D1068" s="35"/>
      <c r="E1068" s="129"/>
      <c r="F1068" s="129"/>
      <c r="G1068" s="129"/>
      <c r="H1068" s="129"/>
      <c r="I1068" s="129"/>
      <c r="J1068" s="129"/>
      <c r="K1068" s="129"/>
      <c r="L1068" s="129"/>
      <c r="M1068" s="129"/>
      <c r="N1068" s="129"/>
      <c r="O1068" s="129"/>
      <c r="P1068" s="148"/>
      <c r="Q1068" s="174"/>
    </row>
    <row r="1069" spans="1:17" s="28" customFormat="1" x14ac:dyDescent="0.25">
      <c r="A1069" s="53"/>
      <c r="B1069" s="58"/>
      <c r="C1069" s="58"/>
      <c r="D1069" s="35"/>
      <c r="E1069" s="129"/>
      <c r="F1069" s="129"/>
      <c r="G1069" s="129"/>
      <c r="H1069" s="129"/>
      <c r="I1069" s="129"/>
      <c r="J1069" s="129"/>
      <c r="K1069" s="129"/>
      <c r="L1069" s="129"/>
      <c r="M1069" s="129"/>
      <c r="N1069" s="129"/>
      <c r="O1069" s="129"/>
      <c r="P1069" s="148"/>
      <c r="Q1069" s="174"/>
    </row>
    <row r="1070" spans="1:17" s="28" customFormat="1" x14ac:dyDescent="0.25">
      <c r="A1070" s="53"/>
      <c r="B1070" s="58"/>
      <c r="C1070" s="58"/>
      <c r="D1070" s="35"/>
      <c r="E1070" s="129"/>
      <c r="F1070" s="129"/>
      <c r="G1070" s="129"/>
      <c r="H1070" s="129"/>
      <c r="I1070" s="129"/>
      <c r="J1070" s="129"/>
      <c r="K1070" s="129"/>
      <c r="L1070" s="129"/>
      <c r="M1070" s="129"/>
      <c r="N1070" s="129"/>
      <c r="O1070" s="129"/>
      <c r="P1070" s="148"/>
      <c r="Q1070" s="174"/>
    </row>
    <row r="1071" spans="1:17" s="28" customFormat="1" x14ac:dyDescent="0.25">
      <c r="A1071" s="53"/>
      <c r="B1071" s="58"/>
      <c r="C1071" s="58"/>
      <c r="D1071" s="35"/>
      <c r="E1071" s="129"/>
      <c r="F1071" s="129"/>
      <c r="G1071" s="129"/>
      <c r="H1071" s="129"/>
      <c r="I1071" s="129"/>
      <c r="J1071" s="129"/>
      <c r="K1071" s="129"/>
      <c r="L1071" s="129"/>
      <c r="M1071" s="129"/>
      <c r="N1071" s="129"/>
      <c r="O1071" s="129"/>
      <c r="P1071" s="148"/>
      <c r="Q1071" s="174"/>
    </row>
    <row r="1072" spans="1:17" s="28" customFormat="1" x14ac:dyDescent="0.25">
      <c r="A1072" s="53"/>
      <c r="B1072" s="58"/>
      <c r="C1072" s="58"/>
      <c r="D1072" s="35"/>
      <c r="E1072" s="129"/>
      <c r="F1072" s="129"/>
      <c r="G1072" s="129"/>
      <c r="H1072" s="129"/>
      <c r="I1072" s="129"/>
      <c r="J1072" s="129"/>
      <c r="K1072" s="129"/>
      <c r="L1072" s="129"/>
      <c r="M1072" s="129"/>
      <c r="N1072" s="129"/>
      <c r="O1072" s="129"/>
      <c r="P1072" s="148"/>
      <c r="Q1072" s="174"/>
    </row>
    <row r="1073" spans="1:17" s="28" customFormat="1" x14ac:dyDescent="0.25">
      <c r="A1073" s="53"/>
      <c r="B1073" s="58"/>
      <c r="C1073" s="58"/>
      <c r="D1073" s="35"/>
      <c r="E1073" s="129"/>
      <c r="F1073" s="129"/>
      <c r="G1073" s="129"/>
      <c r="H1073" s="129"/>
      <c r="I1073" s="129"/>
      <c r="J1073" s="129"/>
      <c r="K1073" s="129"/>
      <c r="L1073" s="129"/>
      <c r="M1073" s="129"/>
      <c r="N1073" s="129"/>
      <c r="O1073" s="129"/>
      <c r="P1073" s="148"/>
      <c r="Q1073" s="174"/>
    </row>
    <row r="1074" spans="1:17" s="28" customFormat="1" x14ac:dyDescent="0.25">
      <c r="A1074" s="53"/>
      <c r="B1074" s="58"/>
      <c r="C1074" s="58"/>
      <c r="D1074" s="35"/>
      <c r="E1074" s="129"/>
      <c r="F1074" s="129"/>
      <c r="G1074" s="129"/>
      <c r="H1074" s="129"/>
      <c r="I1074" s="129"/>
      <c r="J1074" s="129"/>
      <c r="K1074" s="129"/>
      <c r="L1074" s="129"/>
      <c r="M1074" s="129"/>
      <c r="N1074" s="129"/>
      <c r="O1074" s="129"/>
      <c r="P1074" s="148"/>
      <c r="Q1074" s="174"/>
    </row>
    <row r="1075" spans="1:17" s="28" customFormat="1" x14ac:dyDescent="0.25">
      <c r="A1075" s="53"/>
      <c r="B1075" s="58"/>
      <c r="C1075" s="58"/>
      <c r="D1075" s="35"/>
      <c r="E1075" s="129"/>
      <c r="F1075" s="129"/>
      <c r="G1075" s="129"/>
      <c r="H1075" s="129"/>
      <c r="I1075" s="129"/>
      <c r="J1075" s="129"/>
      <c r="K1075" s="129"/>
      <c r="L1075" s="129"/>
      <c r="M1075" s="129"/>
      <c r="N1075" s="129"/>
      <c r="O1075" s="129"/>
      <c r="P1075" s="148"/>
      <c r="Q1075" s="174"/>
    </row>
    <row r="1076" spans="1:17" s="28" customFormat="1" x14ac:dyDescent="0.25">
      <c r="A1076" s="53"/>
      <c r="B1076" s="58"/>
      <c r="C1076" s="58"/>
      <c r="D1076" s="35"/>
      <c r="E1076" s="129"/>
      <c r="F1076" s="129"/>
      <c r="G1076" s="129"/>
      <c r="H1076" s="129"/>
      <c r="I1076" s="129"/>
      <c r="J1076" s="129"/>
      <c r="K1076" s="129"/>
      <c r="L1076" s="129"/>
      <c r="M1076" s="129"/>
      <c r="N1076" s="129"/>
      <c r="O1076" s="129"/>
      <c r="P1076" s="148"/>
      <c r="Q1076" s="174"/>
    </row>
    <row r="1077" spans="1:17" s="28" customFormat="1" x14ac:dyDescent="0.25">
      <c r="A1077" s="53"/>
      <c r="B1077" s="58"/>
      <c r="C1077" s="58"/>
      <c r="D1077" s="35"/>
      <c r="E1077" s="129"/>
      <c r="F1077" s="129"/>
      <c r="G1077" s="129"/>
      <c r="H1077" s="129"/>
      <c r="I1077" s="129"/>
      <c r="J1077" s="129"/>
      <c r="K1077" s="129"/>
      <c r="L1077" s="129"/>
      <c r="M1077" s="129"/>
      <c r="N1077" s="129"/>
      <c r="O1077" s="129"/>
      <c r="P1077" s="148"/>
      <c r="Q1077" s="174"/>
    </row>
    <row r="1078" spans="1:17" s="28" customFormat="1" x14ac:dyDescent="0.25">
      <c r="A1078" s="53"/>
      <c r="B1078" s="58"/>
      <c r="C1078" s="58"/>
      <c r="D1078" s="35"/>
      <c r="E1078" s="129"/>
      <c r="F1078" s="129"/>
      <c r="G1078" s="129"/>
      <c r="H1078" s="129"/>
      <c r="I1078" s="129"/>
      <c r="J1078" s="129"/>
      <c r="K1078" s="129"/>
      <c r="L1078" s="129"/>
      <c r="M1078" s="129"/>
      <c r="N1078" s="129"/>
      <c r="O1078" s="129"/>
      <c r="P1078" s="148"/>
      <c r="Q1078" s="174"/>
    </row>
    <row r="1079" spans="1:17" s="28" customFormat="1" x14ac:dyDescent="0.25">
      <c r="A1079" s="53"/>
      <c r="B1079" s="58"/>
      <c r="C1079" s="58"/>
      <c r="D1079" s="35"/>
      <c r="E1079" s="129"/>
      <c r="F1079" s="129"/>
      <c r="G1079" s="129"/>
      <c r="H1079" s="129"/>
      <c r="I1079" s="129"/>
      <c r="J1079" s="129"/>
      <c r="K1079" s="129"/>
      <c r="L1079" s="129"/>
      <c r="M1079" s="129"/>
      <c r="N1079" s="129"/>
      <c r="O1079" s="129"/>
      <c r="P1079" s="148"/>
      <c r="Q1079" s="174"/>
    </row>
    <row r="1080" spans="1:17" s="28" customFormat="1" x14ac:dyDescent="0.25">
      <c r="A1080" s="53"/>
      <c r="B1080" s="58"/>
      <c r="C1080" s="58"/>
      <c r="D1080" s="35"/>
      <c r="E1080" s="129"/>
      <c r="F1080" s="129"/>
      <c r="G1080" s="129"/>
      <c r="H1080" s="129"/>
      <c r="I1080" s="129"/>
      <c r="J1080" s="129"/>
      <c r="K1080" s="129"/>
      <c r="L1080" s="129"/>
      <c r="M1080" s="129"/>
      <c r="N1080" s="129"/>
      <c r="O1080" s="129"/>
      <c r="P1080" s="148"/>
      <c r="Q1080" s="174"/>
    </row>
    <row r="1081" spans="1:17" s="28" customFormat="1" x14ac:dyDescent="0.25">
      <c r="A1081" s="53"/>
      <c r="B1081" s="58"/>
      <c r="C1081" s="58"/>
      <c r="D1081" s="35"/>
      <c r="E1081" s="129"/>
      <c r="F1081" s="129"/>
      <c r="G1081" s="129"/>
      <c r="H1081" s="129"/>
      <c r="I1081" s="129"/>
      <c r="J1081" s="129"/>
      <c r="K1081" s="129"/>
      <c r="L1081" s="129"/>
      <c r="M1081" s="129"/>
      <c r="N1081" s="129"/>
      <c r="O1081" s="129"/>
      <c r="P1081" s="148"/>
      <c r="Q1081" s="174"/>
    </row>
    <row r="1082" spans="1:17" s="28" customFormat="1" x14ac:dyDescent="0.25">
      <c r="A1082" s="53"/>
      <c r="B1082" s="58"/>
      <c r="C1082" s="58"/>
      <c r="D1082" s="35"/>
      <c r="E1082" s="129"/>
      <c r="F1082" s="129"/>
      <c r="G1082" s="129"/>
      <c r="H1082" s="129"/>
      <c r="I1082" s="129"/>
      <c r="J1082" s="129"/>
      <c r="K1082" s="129"/>
      <c r="L1082" s="129"/>
      <c r="M1082" s="129"/>
      <c r="N1082" s="129"/>
      <c r="O1082" s="129"/>
      <c r="P1082" s="148"/>
      <c r="Q1082" s="174"/>
    </row>
    <row r="1083" spans="1:17" s="28" customFormat="1" x14ac:dyDescent="0.25">
      <c r="A1083" s="53"/>
      <c r="B1083" s="58"/>
      <c r="C1083" s="58"/>
      <c r="D1083" s="35"/>
      <c r="E1083" s="129"/>
      <c r="F1083" s="129"/>
      <c r="G1083" s="129"/>
      <c r="H1083" s="129"/>
      <c r="I1083" s="129"/>
      <c r="J1083" s="129"/>
      <c r="K1083" s="129"/>
      <c r="L1083" s="129"/>
      <c r="M1083" s="129"/>
      <c r="N1083" s="129"/>
      <c r="O1083" s="129"/>
      <c r="P1083" s="148"/>
      <c r="Q1083" s="174"/>
    </row>
    <row r="1084" spans="1:17" s="28" customFormat="1" x14ac:dyDescent="0.25">
      <c r="A1084" s="53"/>
      <c r="B1084" s="58"/>
      <c r="C1084" s="58"/>
      <c r="D1084" s="35"/>
      <c r="E1084" s="129"/>
      <c r="F1084" s="129"/>
      <c r="G1084" s="129"/>
      <c r="H1084" s="129"/>
      <c r="I1084" s="129"/>
      <c r="J1084" s="129"/>
      <c r="K1084" s="129"/>
      <c r="L1084" s="129"/>
      <c r="M1084" s="129"/>
      <c r="N1084" s="129"/>
      <c r="O1084" s="129"/>
      <c r="P1084" s="148"/>
      <c r="Q1084" s="174"/>
    </row>
    <row r="1085" spans="1:17" s="28" customFormat="1" x14ac:dyDescent="0.25">
      <c r="A1085" s="53"/>
      <c r="B1085" s="58"/>
      <c r="C1085" s="58"/>
      <c r="D1085" s="35"/>
      <c r="E1085" s="129"/>
      <c r="F1085" s="129"/>
      <c r="G1085" s="129"/>
      <c r="H1085" s="129"/>
      <c r="I1085" s="129"/>
      <c r="J1085" s="129"/>
      <c r="K1085" s="129"/>
      <c r="L1085" s="129"/>
      <c r="M1085" s="129"/>
      <c r="N1085" s="129"/>
      <c r="O1085" s="129"/>
      <c r="P1085" s="148"/>
      <c r="Q1085" s="174"/>
    </row>
    <row r="1086" spans="1:17" s="28" customFormat="1" x14ac:dyDescent="0.25">
      <c r="A1086" s="53"/>
      <c r="B1086" s="58"/>
      <c r="C1086" s="58"/>
      <c r="D1086" s="35"/>
      <c r="E1086" s="129"/>
      <c r="F1086" s="129"/>
      <c r="G1086" s="129"/>
      <c r="H1086" s="129"/>
      <c r="I1086" s="129"/>
      <c r="J1086" s="129"/>
      <c r="K1086" s="129"/>
      <c r="L1086" s="129"/>
      <c r="M1086" s="129"/>
      <c r="N1086" s="129"/>
      <c r="O1086" s="129"/>
      <c r="P1086" s="148"/>
      <c r="Q1086" s="174"/>
    </row>
    <row r="1087" spans="1:17" s="28" customFormat="1" x14ac:dyDescent="0.25">
      <c r="A1087" s="53"/>
      <c r="B1087" s="58"/>
      <c r="C1087" s="58"/>
      <c r="D1087" s="35"/>
      <c r="E1087" s="129"/>
      <c r="F1087" s="129"/>
      <c r="G1087" s="129"/>
      <c r="H1087" s="129"/>
      <c r="I1087" s="129"/>
      <c r="J1087" s="129"/>
      <c r="K1087" s="129"/>
      <c r="L1087" s="129"/>
      <c r="M1087" s="129"/>
      <c r="N1087" s="129"/>
      <c r="O1087" s="129"/>
      <c r="P1087" s="148"/>
      <c r="Q1087" s="174"/>
    </row>
    <row r="1088" spans="1:17" s="28" customFormat="1" x14ac:dyDescent="0.25">
      <c r="A1088" s="53"/>
      <c r="B1088" s="58"/>
      <c r="C1088" s="58"/>
      <c r="D1088" s="35"/>
      <c r="E1088" s="129"/>
      <c r="F1088" s="129"/>
      <c r="G1088" s="129"/>
      <c r="H1088" s="129"/>
      <c r="I1088" s="129"/>
      <c r="J1088" s="129"/>
      <c r="K1088" s="129"/>
      <c r="L1088" s="129"/>
      <c r="M1088" s="129"/>
      <c r="N1088" s="129"/>
      <c r="O1088" s="129"/>
      <c r="P1088" s="148"/>
      <c r="Q1088" s="174"/>
    </row>
    <row r="1089" spans="1:17" s="28" customFormat="1" x14ac:dyDescent="0.25">
      <c r="A1089" s="53"/>
      <c r="B1089" s="58"/>
      <c r="C1089" s="58"/>
      <c r="D1089" s="35"/>
      <c r="E1089" s="129"/>
      <c r="F1089" s="129"/>
      <c r="G1089" s="129"/>
      <c r="H1089" s="129"/>
      <c r="I1089" s="129"/>
      <c r="J1089" s="129"/>
      <c r="K1089" s="129"/>
      <c r="L1089" s="129"/>
      <c r="M1089" s="129"/>
      <c r="N1089" s="129"/>
      <c r="O1089" s="129"/>
      <c r="P1089" s="148"/>
      <c r="Q1089" s="174"/>
    </row>
    <row r="1090" spans="1:17" s="28" customFormat="1" x14ac:dyDescent="0.25">
      <c r="A1090" s="53"/>
      <c r="B1090" s="58"/>
      <c r="C1090" s="58"/>
      <c r="D1090" s="35"/>
      <c r="E1090" s="129"/>
      <c r="F1090" s="129"/>
      <c r="G1090" s="129"/>
      <c r="H1090" s="129"/>
      <c r="I1090" s="129"/>
      <c r="J1090" s="129"/>
      <c r="K1090" s="129"/>
      <c r="L1090" s="129"/>
      <c r="M1090" s="129"/>
      <c r="N1090" s="129"/>
      <c r="O1090" s="129"/>
      <c r="P1090" s="148"/>
      <c r="Q1090" s="174"/>
    </row>
    <row r="1091" spans="1:17" s="28" customFormat="1" x14ac:dyDescent="0.25">
      <c r="A1091" s="53"/>
      <c r="B1091" s="58"/>
      <c r="C1091" s="58"/>
      <c r="D1091" s="35"/>
      <c r="E1091" s="129"/>
      <c r="F1091" s="129"/>
      <c r="G1091" s="129"/>
      <c r="H1091" s="129"/>
      <c r="I1091" s="129"/>
      <c r="J1091" s="129"/>
      <c r="K1091" s="129"/>
      <c r="L1091" s="129"/>
      <c r="M1091" s="129"/>
      <c r="N1091" s="129"/>
      <c r="O1091" s="129"/>
      <c r="P1091" s="148"/>
      <c r="Q1091" s="174"/>
    </row>
    <row r="1092" spans="1:17" s="28" customFormat="1" x14ac:dyDescent="0.25">
      <c r="A1092" s="53"/>
      <c r="B1092" s="58"/>
      <c r="C1092" s="58"/>
      <c r="D1092" s="35"/>
      <c r="E1092" s="129"/>
      <c r="F1092" s="129"/>
      <c r="G1092" s="129"/>
      <c r="H1092" s="129"/>
      <c r="I1092" s="129"/>
      <c r="J1092" s="129"/>
      <c r="K1092" s="129"/>
      <c r="L1092" s="129"/>
      <c r="M1092" s="129"/>
      <c r="N1092" s="129"/>
      <c r="O1092" s="129"/>
      <c r="P1092" s="148"/>
      <c r="Q1092" s="174"/>
    </row>
    <row r="1093" spans="1:17" s="28" customFormat="1" x14ac:dyDescent="0.25">
      <c r="A1093" s="53"/>
      <c r="B1093" s="58"/>
      <c r="C1093" s="58"/>
      <c r="D1093" s="35"/>
      <c r="E1093" s="129"/>
      <c r="F1093" s="129"/>
      <c r="G1093" s="129"/>
      <c r="H1093" s="129"/>
      <c r="I1093" s="129"/>
      <c r="J1093" s="129"/>
      <c r="K1093" s="129"/>
      <c r="L1093" s="129"/>
      <c r="M1093" s="129"/>
      <c r="N1093" s="129"/>
      <c r="O1093" s="129"/>
      <c r="P1093" s="148"/>
      <c r="Q1093" s="174"/>
    </row>
    <row r="1094" spans="1:17" s="28" customFormat="1" x14ac:dyDescent="0.25">
      <c r="A1094" s="53"/>
      <c r="B1094" s="58"/>
      <c r="C1094" s="58"/>
      <c r="D1094" s="35"/>
      <c r="E1094" s="129"/>
      <c r="F1094" s="129"/>
      <c r="G1094" s="129"/>
      <c r="H1094" s="129"/>
      <c r="I1094" s="129"/>
      <c r="J1094" s="129"/>
      <c r="K1094" s="129"/>
      <c r="L1094" s="129"/>
      <c r="M1094" s="129"/>
      <c r="N1094" s="129"/>
      <c r="O1094" s="129"/>
      <c r="P1094" s="148"/>
      <c r="Q1094" s="174"/>
    </row>
    <row r="1095" spans="1:17" s="28" customFormat="1" x14ac:dyDescent="0.25">
      <c r="A1095" s="53"/>
      <c r="B1095" s="58"/>
      <c r="C1095" s="58"/>
      <c r="D1095" s="35"/>
      <c r="E1095" s="129"/>
      <c r="F1095" s="129"/>
      <c r="G1095" s="129"/>
      <c r="H1095" s="129"/>
      <c r="I1095" s="129"/>
      <c r="J1095" s="129"/>
      <c r="K1095" s="129"/>
      <c r="L1095" s="129"/>
      <c r="M1095" s="129"/>
      <c r="N1095" s="129"/>
      <c r="O1095" s="129"/>
      <c r="P1095" s="148"/>
      <c r="Q1095" s="174"/>
    </row>
    <row r="1096" spans="1:17" s="28" customFormat="1" x14ac:dyDescent="0.25">
      <c r="A1096" s="53"/>
      <c r="B1096" s="58"/>
      <c r="C1096" s="58"/>
      <c r="D1096" s="35"/>
      <c r="E1096" s="129"/>
      <c r="F1096" s="129"/>
      <c r="G1096" s="129"/>
      <c r="H1096" s="129"/>
      <c r="I1096" s="129"/>
      <c r="J1096" s="129"/>
      <c r="K1096" s="129"/>
      <c r="L1096" s="129"/>
      <c r="M1096" s="129"/>
      <c r="N1096" s="129"/>
      <c r="O1096" s="129"/>
      <c r="P1096" s="148"/>
      <c r="Q1096" s="174"/>
    </row>
    <row r="1097" spans="1:17" s="28" customFormat="1" x14ac:dyDescent="0.25">
      <c r="A1097" s="53"/>
      <c r="B1097" s="58"/>
      <c r="C1097" s="58"/>
      <c r="D1097" s="35"/>
      <c r="E1097" s="129"/>
      <c r="F1097" s="129"/>
      <c r="G1097" s="129"/>
      <c r="H1097" s="129"/>
      <c r="I1097" s="129"/>
      <c r="J1097" s="129"/>
      <c r="K1097" s="129"/>
      <c r="L1097" s="129"/>
      <c r="M1097" s="129"/>
      <c r="N1097" s="129"/>
      <c r="O1097" s="129"/>
      <c r="P1097" s="148"/>
      <c r="Q1097" s="174"/>
    </row>
    <row r="1098" spans="1:17" s="28" customFormat="1" x14ac:dyDescent="0.25">
      <c r="A1098" s="53"/>
      <c r="B1098" s="58"/>
      <c r="C1098" s="58"/>
      <c r="D1098" s="35"/>
      <c r="E1098" s="129"/>
      <c r="F1098" s="129"/>
      <c r="G1098" s="129"/>
      <c r="H1098" s="129"/>
      <c r="I1098" s="129"/>
      <c r="J1098" s="129"/>
      <c r="K1098" s="129"/>
      <c r="L1098" s="129"/>
      <c r="M1098" s="129"/>
      <c r="N1098" s="129"/>
      <c r="O1098" s="129"/>
      <c r="P1098" s="148"/>
      <c r="Q1098" s="174"/>
    </row>
    <row r="1099" spans="1:17" s="28" customFormat="1" x14ac:dyDescent="0.25">
      <c r="A1099" s="53"/>
      <c r="B1099" s="58"/>
      <c r="C1099" s="58"/>
      <c r="D1099" s="35"/>
      <c r="E1099" s="129"/>
      <c r="F1099" s="129"/>
      <c r="G1099" s="129"/>
      <c r="H1099" s="129"/>
      <c r="I1099" s="129"/>
      <c r="J1099" s="129"/>
      <c r="K1099" s="129"/>
      <c r="L1099" s="129"/>
      <c r="M1099" s="129"/>
      <c r="N1099" s="129"/>
      <c r="O1099" s="129"/>
      <c r="P1099" s="148"/>
      <c r="Q1099" s="174"/>
    </row>
    <row r="1100" spans="1:17" s="28" customFormat="1" x14ac:dyDescent="0.25">
      <c r="A1100" s="53"/>
      <c r="B1100" s="58"/>
      <c r="C1100" s="58"/>
      <c r="D1100" s="35"/>
      <c r="E1100" s="129"/>
      <c r="F1100" s="129"/>
      <c r="G1100" s="129"/>
      <c r="H1100" s="129"/>
      <c r="I1100" s="129"/>
      <c r="J1100" s="129"/>
      <c r="K1100" s="129"/>
      <c r="L1100" s="129"/>
      <c r="M1100" s="129"/>
      <c r="N1100" s="129"/>
      <c r="O1100" s="129"/>
      <c r="P1100" s="148"/>
      <c r="Q1100" s="174"/>
    </row>
    <row r="1101" spans="1:17" s="28" customFormat="1" x14ac:dyDescent="0.25">
      <c r="A1101" s="53"/>
      <c r="B1101" s="58"/>
      <c r="C1101" s="58"/>
      <c r="D1101" s="35"/>
      <c r="E1101" s="129"/>
      <c r="F1101" s="129"/>
      <c r="G1101" s="129"/>
      <c r="H1101" s="129"/>
      <c r="I1101" s="129"/>
      <c r="J1101" s="129"/>
      <c r="K1101" s="129"/>
      <c r="L1101" s="129"/>
      <c r="M1101" s="129"/>
      <c r="N1101" s="129"/>
      <c r="O1101" s="129"/>
      <c r="P1101" s="148"/>
      <c r="Q1101" s="174"/>
    </row>
    <row r="1102" spans="1:17" s="28" customFormat="1" x14ac:dyDescent="0.25">
      <c r="A1102" s="53"/>
      <c r="B1102" s="58"/>
      <c r="C1102" s="58"/>
      <c r="D1102" s="35"/>
      <c r="E1102" s="129"/>
      <c r="F1102" s="129"/>
      <c r="G1102" s="129"/>
      <c r="H1102" s="129"/>
      <c r="I1102" s="129"/>
      <c r="J1102" s="129"/>
      <c r="K1102" s="129"/>
      <c r="L1102" s="129"/>
      <c r="M1102" s="129"/>
      <c r="N1102" s="129"/>
      <c r="O1102" s="129"/>
      <c r="P1102" s="148"/>
      <c r="Q1102" s="174"/>
    </row>
    <row r="1103" spans="1:17" s="28" customFormat="1" x14ac:dyDescent="0.25">
      <c r="A1103" s="53"/>
      <c r="B1103" s="58"/>
      <c r="C1103" s="58"/>
      <c r="D1103" s="35"/>
      <c r="E1103" s="129"/>
      <c r="F1103" s="129"/>
      <c r="G1103" s="129"/>
      <c r="H1103" s="129"/>
      <c r="I1103" s="129"/>
      <c r="J1103" s="129"/>
      <c r="K1103" s="129"/>
      <c r="L1103" s="129"/>
      <c r="M1103" s="129"/>
      <c r="N1103" s="129"/>
      <c r="O1103" s="129"/>
      <c r="P1103" s="148"/>
      <c r="Q1103" s="174"/>
    </row>
    <row r="1104" spans="1:17" s="28" customFormat="1" x14ac:dyDescent="0.25">
      <c r="A1104" s="53"/>
      <c r="B1104" s="58"/>
      <c r="C1104" s="58"/>
      <c r="D1104" s="35"/>
      <c r="E1104" s="129"/>
      <c r="F1104" s="129"/>
      <c r="G1104" s="129"/>
      <c r="H1104" s="129"/>
      <c r="I1104" s="129"/>
      <c r="J1104" s="129"/>
      <c r="K1104" s="129"/>
      <c r="L1104" s="129"/>
      <c r="M1104" s="129"/>
      <c r="N1104" s="129"/>
      <c r="O1104" s="129"/>
      <c r="P1104" s="148"/>
      <c r="Q1104" s="174"/>
    </row>
    <row r="1105" spans="1:17" s="28" customFormat="1" x14ac:dyDescent="0.25">
      <c r="A1105" s="53"/>
      <c r="B1105" s="58"/>
      <c r="C1105" s="58"/>
      <c r="D1105" s="35"/>
      <c r="E1105" s="129"/>
      <c r="F1105" s="129"/>
      <c r="G1105" s="129"/>
      <c r="H1105" s="129"/>
      <c r="I1105" s="129"/>
      <c r="J1105" s="129"/>
      <c r="K1105" s="129"/>
      <c r="L1105" s="129"/>
      <c r="M1105" s="129"/>
      <c r="N1105" s="129"/>
      <c r="O1105" s="129"/>
      <c r="P1105" s="148"/>
      <c r="Q1105" s="174"/>
    </row>
    <row r="1106" spans="1:17" s="28" customFormat="1" x14ac:dyDescent="0.25">
      <c r="A1106" s="53"/>
      <c r="B1106" s="58"/>
      <c r="C1106" s="58"/>
      <c r="D1106" s="35"/>
      <c r="E1106" s="129"/>
      <c r="F1106" s="129"/>
      <c r="G1106" s="129"/>
      <c r="H1106" s="129"/>
      <c r="I1106" s="129"/>
      <c r="J1106" s="129"/>
      <c r="K1106" s="129"/>
      <c r="L1106" s="129"/>
      <c r="M1106" s="129"/>
      <c r="N1106" s="129"/>
      <c r="O1106" s="129"/>
      <c r="P1106" s="148"/>
      <c r="Q1106" s="174"/>
    </row>
    <row r="1107" spans="1:17" s="28" customFormat="1" x14ac:dyDescent="0.25">
      <c r="A1107" s="53"/>
      <c r="B1107" s="58"/>
      <c r="C1107" s="58"/>
      <c r="D1107" s="35"/>
      <c r="E1107" s="129"/>
      <c r="F1107" s="129"/>
      <c r="G1107" s="129"/>
      <c r="H1107" s="129"/>
      <c r="I1107" s="129"/>
      <c r="J1107" s="129"/>
      <c r="K1107" s="129"/>
      <c r="L1107" s="129"/>
      <c r="M1107" s="129"/>
      <c r="N1107" s="129"/>
      <c r="O1107" s="129"/>
      <c r="P1107" s="148"/>
      <c r="Q1107" s="174"/>
    </row>
    <row r="1108" spans="1:17" s="28" customFormat="1" x14ac:dyDescent="0.25">
      <c r="A1108" s="53"/>
      <c r="B1108" s="58"/>
      <c r="C1108" s="58"/>
      <c r="D1108" s="35"/>
      <c r="E1108" s="129"/>
      <c r="F1108" s="129"/>
      <c r="G1108" s="129"/>
      <c r="H1108" s="129"/>
      <c r="I1108" s="129"/>
      <c r="J1108" s="129"/>
      <c r="K1108" s="129"/>
      <c r="L1108" s="129"/>
      <c r="M1108" s="129"/>
      <c r="N1108" s="129"/>
      <c r="O1108" s="129"/>
      <c r="P1108" s="148"/>
      <c r="Q1108" s="174"/>
    </row>
    <row r="1109" spans="1:17" s="28" customFormat="1" x14ac:dyDescent="0.25">
      <c r="A1109" s="53"/>
      <c r="B1109" s="58"/>
      <c r="C1109" s="58"/>
      <c r="D1109" s="35"/>
      <c r="E1109" s="129"/>
      <c r="F1109" s="129"/>
      <c r="G1109" s="129"/>
      <c r="H1109" s="129"/>
      <c r="I1109" s="129"/>
      <c r="J1109" s="129"/>
      <c r="K1109" s="129"/>
      <c r="L1109" s="129"/>
      <c r="M1109" s="129"/>
      <c r="N1109" s="129"/>
      <c r="O1109" s="129"/>
      <c r="P1109" s="148"/>
      <c r="Q1109" s="174"/>
    </row>
    <row r="1110" spans="1:17" s="28" customFormat="1" x14ac:dyDescent="0.25">
      <c r="A1110" s="53"/>
      <c r="B1110" s="58"/>
      <c r="C1110" s="58"/>
      <c r="D1110" s="35"/>
      <c r="E1110" s="129"/>
      <c r="F1110" s="129"/>
      <c r="G1110" s="129"/>
      <c r="H1110" s="129"/>
      <c r="I1110" s="129"/>
      <c r="J1110" s="129"/>
      <c r="K1110" s="129"/>
      <c r="L1110" s="129"/>
      <c r="M1110" s="129"/>
      <c r="N1110" s="129"/>
      <c r="O1110" s="129"/>
      <c r="P1110" s="148"/>
      <c r="Q1110" s="174"/>
    </row>
    <row r="1111" spans="1:17" s="28" customFormat="1" x14ac:dyDescent="0.25">
      <c r="A1111" s="53"/>
      <c r="B1111" s="58"/>
      <c r="C1111" s="58"/>
      <c r="D1111" s="35"/>
      <c r="E1111" s="129"/>
      <c r="F1111" s="129"/>
      <c r="G1111" s="129"/>
      <c r="H1111" s="129"/>
      <c r="I1111" s="129"/>
      <c r="J1111" s="129"/>
      <c r="K1111" s="129"/>
      <c r="L1111" s="129"/>
      <c r="M1111" s="129"/>
      <c r="N1111" s="129"/>
      <c r="O1111" s="129"/>
      <c r="P1111" s="148"/>
      <c r="Q1111" s="174"/>
    </row>
    <row r="1112" spans="1:17" s="28" customFormat="1" x14ac:dyDescent="0.25">
      <c r="A1112" s="53"/>
      <c r="B1112" s="58"/>
      <c r="C1112" s="58"/>
      <c r="D1112" s="35"/>
      <c r="E1112" s="129"/>
      <c r="F1112" s="129"/>
      <c r="G1112" s="129"/>
      <c r="H1112" s="129"/>
      <c r="I1112" s="129"/>
      <c r="J1112" s="129"/>
      <c r="K1112" s="129"/>
      <c r="L1112" s="129"/>
      <c r="M1112" s="129"/>
      <c r="N1112" s="129"/>
      <c r="O1112" s="129"/>
      <c r="P1112" s="148"/>
      <c r="Q1112" s="174"/>
    </row>
    <row r="1113" spans="1:17" s="28" customFormat="1" x14ac:dyDescent="0.25">
      <c r="A1113" s="53"/>
      <c r="B1113" s="58"/>
      <c r="C1113" s="58"/>
      <c r="D1113" s="35"/>
      <c r="E1113" s="129"/>
      <c r="F1113" s="129"/>
      <c r="G1113" s="129"/>
      <c r="H1113" s="129"/>
      <c r="I1113" s="129"/>
      <c r="J1113" s="129"/>
      <c r="K1113" s="129"/>
      <c r="L1113" s="129"/>
      <c r="M1113" s="129"/>
      <c r="N1113" s="129"/>
      <c r="O1113" s="129"/>
      <c r="P1113" s="148"/>
      <c r="Q1113" s="174"/>
    </row>
    <row r="1114" spans="1:17" s="28" customFormat="1" x14ac:dyDescent="0.25">
      <c r="A1114" s="53"/>
      <c r="B1114" s="58"/>
      <c r="C1114" s="58"/>
      <c r="D1114" s="35"/>
      <c r="E1114" s="129"/>
      <c r="F1114" s="129"/>
      <c r="G1114" s="129"/>
      <c r="H1114" s="129"/>
      <c r="I1114" s="129"/>
      <c r="J1114" s="129"/>
      <c r="K1114" s="129"/>
      <c r="L1114" s="129"/>
      <c r="M1114" s="129"/>
      <c r="N1114" s="129"/>
      <c r="O1114" s="129"/>
      <c r="P1114" s="148"/>
      <c r="Q1114" s="174"/>
    </row>
    <row r="1115" spans="1:17" s="28" customFormat="1" x14ac:dyDescent="0.25">
      <c r="A1115" s="53"/>
      <c r="B1115" s="58"/>
      <c r="C1115" s="58"/>
      <c r="D1115" s="35"/>
      <c r="E1115" s="129"/>
      <c r="F1115" s="129"/>
      <c r="G1115" s="129"/>
      <c r="H1115" s="129"/>
      <c r="I1115" s="129"/>
      <c r="J1115" s="129"/>
      <c r="K1115" s="129"/>
      <c r="L1115" s="129"/>
      <c r="M1115" s="129"/>
      <c r="N1115" s="129"/>
      <c r="O1115" s="129"/>
      <c r="P1115" s="148"/>
      <c r="Q1115" s="174"/>
    </row>
    <row r="1116" spans="1:17" s="28" customFormat="1" x14ac:dyDescent="0.25">
      <c r="A1116" s="53"/>
      <c r="B1116" s="58"/>
      <c r="C1116" s="58"/>
      <c r="D1116" s="35"/>
      <c r="E1116" s="129"/>
      <c r="F1116" s="129"/>
      <c r="G1116" s="129"/>
      <c r="H1116" s="129"/>
      <c r="I1116" s="129"/>
      <c r="J1116" s="129"/>
      <c r="K1116" s="129"/>
      <c r="L1116" s="129"/>
      <c r="M1116" s="129"/>
      <c r="N1116" s="129"/>
      <c r="O1116" s="129"/>
      <c r="P1116" s="148"/>
      <c r="Q1116" s="174"/>
    </row>
    <row r="1117" spans="1:17" s="28" customFormat="1" x14ac:dyDescent="0.25">
      <c r="A1117" s="53"/>
      <c r="B1117" s="58"/>
      <c r="C1117" s="58"/>
      <c r="D1117" s="35"/>
      <c r="E1117" s="129"/>
      <c r="F1117" s="129"/>
      <c r="G1117" s="129"/>
      <c r="H1117" s="129"/>
      <c r="I1117" s="129"/>
      <c r="J1117" s="129"/>
      <c r="K1117" s="129"/>
      <c r="L1117" s="129"/>
      <c r="M1117" s="129"/>
      <c r="N1117" s="129"/>
      <c r="O1117" s="129"/>
      <c r="P1117" s="148"/>
      <c r="Q1117" s="174"/>
    </row>
    <row r="1118" spans="1:17" s="28" customFormat="1" x14ac:dyDescent="0.25">
      <c r="A1118" s="53"/>
      <c r="B1118" s="58"/>
      <c r="C1118" s="58"/>
      <c r="D1118" s="35"/>
      <c r="E1118" s="129"/>
      <c r="F1118" s="129"/>
      <c r="G1118" s="129"/>
      <c r="H1118" s="129"/>
      <c r="I1118" s="129"/>
      <c r="J1118" s="129"/>
      <c r="K1118" s="129"/>
      <c r="L1118" s="129"/>
      <c r="M1118" s="129"/>
      <c r="N1118" s="129"/>
      <c r="O1118" s="129"/>
      <c r="P1118" s="148"/>
      <c r="Q1118" s="174"/>
    </row>
    <row r="1119" spans="1:17" s="28" customFormat="1" x14ac:dyDescent="0.25">
      <c r="A1119" s="53"/>
      <c r="B1119" s="58"/>
      <c r="C1119" s="58"/>
      <c r="D1119" s="35"/>
      <c r="E1119" s="129"/>
      <c r="F1119" s="129"/>
      <c r="G1119" s="129"/>
      <c r="H1119" s="129"/>
      <c r="I1119" s="129"/>
      <c r="J1119" s="129"/>
      <c r="K1119" s="129"/>
      <c r="L1119" s="129"/>
      <c r="M1119" s="129"/>
      <c r="N1119" s="129"/>
      <c r="O1119" s="129"/>
      <c r="P1119" s="148"/>
      <c r="Q1119" s="174"/>
    </row>
    <row r="1120" spans="1:17" s="28" customFormat="1" x14ac:dyDescent="0.25">
      <c r="A1120" s="53"/>
      <c r="B1120" s="58"/>
      <c r="C1120" s="58"/>
      <c r="D1120" s="35"/>
      <c r="E1120" s="129"/>
      <c r="F1120" s="129"/>
      <c r="G1120" s="129"/>
      <c r="H1120" s="129"/>
      <c r="I1120" s="129"/>
      <c r="J1120" s="129"/>
      <c r="K1120" s="129"/>
      <c r="L1120" s="129"/>
      <c r="M1120" s="129"/>
      <c r="N1120" s="129"/>
      <c r="O1120" s="129"/>
      <c r="P1120" s="148"/>
      <c r="Q1120" s="174"/>
    </row>
    <row r="1121" spans="1:17" s="28" customFormat="1" x14ac:dyDescent="0.25">
      <c r="A1121" s="53"/>
      <c r="B1121" s="58"/>
      <c r="C1121" s="58"/>
      <c r="D1121" s="35"/>
      <c r="E1121" s="129"/>
      <c r="F1121" s="129"/>
      <c r="G1121" s="129"/>
      <c r="H1121" s="129"/>
      <c r="I1121" s="129"/>
      <c r="J1121" s="129"/>
      <c r="K1121" s="129"/>
      <c r="L1121" s="129"/>
      <c r="M1121" s="129"/>
      <c r="N1121" s="129"/>
      <c r="O1121" s="129"/>
      <c r="P1121" s="148"/>
      <c r="Q1121" s="174"/>
    </row>
    <row r="1122" spans="1:17" s="28" customFormat="1" x14ac:dyDescent="0.25">
      <c r="A1122" s="53"/>
      <c r="B1122" s="58"/>
      <c r="C1122" s="58"/>
      <c r="D1122" s="35"/>
      <c r="E1122" s="129"/>
      <c r="F1122" s="129"/>
      <c r="G1122" s="129"/>
      <c r="H1122" s="129"/>
      <c r="I1122" s="129"/>
      <c r="J1122" s="129"/>
      <c r="K1122" s="129"/>
      <c r="L1122" s="129"/>
      <c r="M1122" s="129"/>
      <c r="N1122" s="129"/>
      <c r="O1122" s="129"/>
      <c r="P1122" s="148"/>
      <c r="Q1122" s="174"/>
    </row>
    <row r="1123" spans="1:17" s="28" customFormat="1" x14ac:dyDescent="0.25">
      <c r="A1123" s="53"/>
      <c r="B1123" s="58"/>
      <c r="C1123" s="58"/>
      <c r="D1123" s="35"/>
      <c r="E1123" s="129"/>
      <c r="F1123" s="129"/>
      <c r="G1123" s="129"/>
      <c r="H1123" s="129"/>
      <c r="I1123" s="129"/>
      <c r="J1123" s="129"/>
      <c r="K1123" s="129"/>
      <c r="L1123" s="129"/>
      <c r="M1123" s="129"/>
      <c r="N1123" s="129"/>
      <c r="O1123" s="129"/>
      <c r="P1123" s="148"/>
      <c r="Q1123" s="174"/>
    </row>
    <row r="1124" spans="1:17" s="28" customFormat="1" x14ac:dyDescent="0.25">
      <c r="A1124" s="53"/>
      <c r="B1124" s="58"/>
      <c r="C1124" s="58"/>
      <c r="D1124" s="35"/>
      <c r="E1124" s="129"/>
      <c r="F1124" s="129"/>
      <c r="G1124" s="129"/>
      <c r="H1124" s="129"/>
      <c r="I1124" s="129"/>
      <c r="J1124" s="129"/>
      <c r="K1124" s="129"/>
      <c r="L1124" s="129"/>
      <c r="M1124" s="129"/>
      <c r="N1124" s="129"/>
      <c r="O1124" s="129"/>
      <c r="P1124" s="148"/>
      <c r="Q1124" s="174"/>
    </row>
    <row r="1125" spans="1:17" s="28" customFormat="1" x14ac:dyDescent="0.25">
      <c r="A1125" s="53"/>
      <c r="B1125" s="58"/>
      <c r="C1125" s="58"/>
      <c r="D1125" s="35"/>
      <c r="E1125" s="129"/>
      <c r="F1125" s="129"/>
      <c r="G1125" s="129"/>
      <c r="H1125" s="129"/>
      <c r="I1125" s="129"/>
      <c r="J1125" s="129"/>
      <c r="K1125" s="129"/>
      <c r="L1125" s="129"/>
      <c r="M1125" s="129"/>
      <c r="N1125" s="129"/>
      <c r="O1125" s="129"/>
      <c r="P1125" s="148"/>
      <c r="Q1125" s="174"/>
    </row>
    <row r="1126" spans="1:17" s="28" customFormat="1" x14ac:dyDescent="0.25">
      <c r="A1126" s="53"/>
      <c r="B1126" s="58"/>
      <c r="C1126" s="58"/>
      <c r="D1126" s="35"/>
      <c r="E1126" s="129"/>
      <c r="F1126" s="129"/>
      <c r="G1126" s="129"/>
      <c r="H1126" s="129"/>
      <c r="I1126" s="129"/>
      <c r="J1126" s="129"/>
      <c r="K1126" s="129"/>
      <c r="L1126" s="129"/>
      <c r="M1126" s="129"/>
      <c r="N1126" s="129"/>
      <c r="O1126" s="129"/>
      <c r="P1126" s="148"/>
      <c r="Q1126" s="174"/>
    </row>
    <row r="1127" spans="1:17" s="28" customFormat="1" x14ac:dyDescent="0.25">
      <c r="A1127" s="53"/>
      <c r="B1127" s="58"/>
      <c r="C1127" s="58"/>
      <c r="D1127" s="35"/>
      <c r="E1127" s="129"/>
      <c r="F1127" s="129"/>
      <c r="G1127" s="129"/>
      <c r="H1127" s="129"/>
      <c r="I1127" s="129"/>
      <c r="J1127" s="129"/>
      <c r="K1127" s="129"/>
      <c r="L1127" s="129"/>
      <c r="M1127" s="129"/>
      <c r="N1127" s="129"/>
      <c r="O1127" s="129"/>
      <c r="P1127" s="148"/>
      <c r="Q1127" s="174"/>
    </row>
    <row r="1128" spans="1:17" s="28" customFormat="1" x14ac:dyDescent="0.25">
      <c r="A1128" s="53"/>
      <c r="B1128" s="58"/>
      <c r="C1128" s="58"/>
      <c r="D1128" s="35"/>
      <c r="E1128" s="129"/>
      <c r="F1128" s="129"/>
      <c r="G1128" s="129"/>
      <c r="H1128" s="129"/>
      <c r="I1128" s="129"/>
      <c r="J1128" s="129"/>
      <c r="K1128" s="129"/>
      <c r="L1128" s="129"/>
      <c r="M1128" s="129"/>
      <c r="N1128" s="129"/>
      <c r="O1128" s="129"/>
      <c r="P1128" s="148"/>
      <c r="Q1128" s="174"/>
    </row>
    <row r="1129" spans="1:17" s="28" customFormat="1" x14ac:dyDescent="0.25">
      <c r="A1129" s="53"/>
      <c r="B1129" s="58"/>
      <c r="C1129" s="58"/>
      <c r="D1129" s="35"/>
      <c r="E1129" s="129"/>
      <c r="F1129" s="129"/>
      <c r="G1129" s="129"/>
      <c r="H1129" s="129"/>
      <c r="I1129" s="129"/>
      <c r="J1129" s="129"/>
      <c r="K1129" s="129"/>
      <c r="L1129" s="129"/>
      <c r="M1129" s="129"/>
      <c r="N1129" s="129"/>
      <c r="O1129" s="129"/>
      <c r="P1129" s="148"/>
      <c r="Q1129" s="174"/>
    </row>
    <row r="1130" spans="1:17" s="28" customFormat="1" x14ac:dyDescent="0.25">
      <c r="A1130" s="53"/>
      <c r="B1130" s="58"/>
      <c r="C1130" s="58"/>
      <c r="D1130" s="35"/>
      <c r="E1130" s="129"/>
      <c r="F1130" s="129"/>
      <c r="G1130" s="129"/>
      <c r="H1130" s="129"/>
      <c r="I1130" s="129"/>
      <c r="J1130" s="129"/>
      <c r="K1130" s="129"/>
      <c r="L1130" s="129"/>
      <c r="M1130" s="129"/>
      <c r="N1130" s="129"/>
      <c r="O1130" s="129"/>
      <c r="P1130" s="148"/>
      <c r="Q1130" s="174"/>
    </row>
    <row r="1131" spans="1:17" s="28" customFormat="1" x14ac:dyDescent="0.25">
      <c r="A1131" s="53"/>
      <c r="B1131" s="58"/>
      <c r="C1131" s="58"/>
      <c r="D1131" s="35"/>
      <c r="E1131" s="129"/>
      <c r="F1131" s="129"/>
      <c r="G1131" s="129"/>
      <c r="H1131" s="129"/>
      <c r="I1131" s="129"/>
      <c r="J1131" s="129"/>
      <c r="K1131" s="129"/>
      <c r="L1131" s="129"/>
      <c r="M1131" s="129"/>
      <c r="N1131" s="129"/>
      <c r="O1131" s="129"/>
      <c r="P1131" s="148"/>
      <c r="Q1131" s="174"/>
    </row>
    <row r="1132" spans="1:17" s="28" customFormat="1" x14ac:dyDescent="0.25">
      <c r="A1132" s="53"/>
      <c r="B1132" s="58"/>
      <c r="C1132" s="58"/>
      <c r="D1132" s="35"/>
      <c r="E1132" s="129"/>
      <c r="F1132" s="129"/>
      <c r="G1132" s="129"/>
      <c r="H1132" s="129"/>
      <c r="I1132" s="129"/>
      <c r="J1132" s="129"/>
      <c r="K1132" s="129"/>
      <c r="L1132" s="129"/>
      <c r="M1132" s="129"/>
      <c r="N1132" s="129"/>
      <c r="O1132" s="129"/>
      <c r="P1132" s="148"/>
      <c r="Q1132" s="174"/>
    </row>
    <row r="1133" spans="1:17" s="28" customFormat="1" x14ac:dyDescent="0.25">
      <c r="A1133" s="53"/>
      <c r="B1133" s="58"/>
      <c r="C1133" s="58"/>
      <c r="D1133" s="35"/>
      <c r="E1133" s="129"/>
      <c r="F1133" s="129"/>
      <c r="G1133" s="129"/>
      <c r="H1133" s="129"/>
      <c r="I1133" s="129"/>
      <c r="J1133" s="129"/>
      <c r="K1133" s="129"/>
      <c r="L1133" s="129"/>
      <c r="M1133" s="129"/>
      <c r="N1133" s="129"/>
      <c r="O1133" s="129"/>
      <c r="P1133" s="148"/>
      <c r="Q1133" s="174"/>
    </row>
    <row r="1134" spans="1:17" s="28" customFormat="1" x14ac:dyDescent="0.25">
      <c r="A1134" s="53"/>
      <c r="B1134" s="58"/>
      <c r="C1134" s="58"/>
      <c r="D1134" s="35"/>
      <c r="E1134" s="129"/>
      <c r="F1134" s="129"/>
      <c r="G1134" s="129"/>
      <c r="H1134" s="129"/>
      <c r="I1134" s="129"/>
      <c r="J1134" s="129"/>
      <c r="K1134" s="129"/>
      <c r="L1134" s="129"/>
      <c r="M1134" s="129"/>
      <c r="N1134" s="129"/>
      <c r="O1134" s="129"/>
      <c r="P1134" s="148"/>
      <c r="Q1134" s="174"/>
    </row>
    <row r="1135" spans="1:17" s="28" customFormat="1" x14ac:dyDescent="0.25">
      <c r="A1135" s="53"/>
      <c r="B1135" s="58"/>
      <c r="C1135" s="58"/>
      <c r="D1135" s="35"/>
      <c r="E1135" s="129"/>
      <c r="F1135" s="129"/>
      <c r="G1135" s="129"/>
      <c r="H1135" s="129"/>
      <c r="I1135" s="129"/>
      <c r="J1135" s="129"/>
      <c r="K1135" s="129"/>
      <c r="L1135" s="129"/>
      <c r="M1135" s="129"/>
      <c r="N1135" s="129"/>
      <c r="O1135" s="129"/>
      <c r="P1135" s="148"/>
      <c r="Q1135" s="174"/>
    </row>
    <row r="1136" spans="1:17" s="28" customFormat="1" x14ac:dyDescent="0.25">
      <c r="A1136" s="53"/>
      <c r="B1136" s="58"/>
      <c r="C1136" s="58"/>
      <c r="D1136" s="35"/>
      <c r="E1136" s="129"/>
      <c r="F1136" s="129"/>
      <c r="G1136" s="129"/>
      <c r="H1136" s="129"/>
      <c r="I1136" s="129"/>
      <c r="J1136" s="129"/>
      <c r="K1136" s="129"/>
      <c r="L1136" s="129"/>
      <c r="M1136" s="129"/>
      <c r="N1136" s="129"/>
      <c r="O1136" s="129"/>
      <c r="P1136" s="148"/>
      <c r="Q1136" s="174"/>
    </row>
    <row r="1137" spans="1:17" s="28" customFormat="1" x14ac:dyDescent="0.25">
      <c r="A1137" s="53"/>
      <c r="B1137" s="58"/>
      <c r="C1137" s="58"/>
      <c r="D1137" s="35"/>
      <c r="E1137" s="129"/>
      <c r="F1137" s="129"/>
      <c r="G1137" s="129"/>
      <c r="H1137" s="129"/>
      <c r="I1137" s="129"/>
      <c r="J1137" s="129"/>
      <c r="K1137" s="129"/>
      <c r="L1137" s="129"/>
      <c r="M1137" s="129"/>
      <c r="N1137" s="129"/>
      <c r="O1137" s="129"/>
      <c r="P1137" s="148"/>
      <c r="Q1137" s="174"/>
    </row>
    <row r="1138" spans="1:17" s="28" customFormat="1" x14ac:dyDescent="0.25">
      <c r="A1138" s="53"/>
      <c r="B1138" s="58"/>
      <c r="C1138" s="58"/>
      <c r="D1138" s="35"/>
      <c r="E1138" s="129"/>
      <c r="F1138" s="129"/>
      <c r="G1138" s="129"/>
      <c r="H1138" s="129"/>
      <c r="I1138" s="129"/>
      <c r="J1138" s="129"/>
      <c r="K1138" s="129"/>
      <c r="L1138" s="129"/>
      <c r="M1138" s="129"/>
      <c r="N1138" s="129"/>
      <c r="O1138" s="129"/>
      <c r="P1138" s="148"/>
      <c r="Q1138" s="174"/>
    </row>
    <row r="1139" spans="1:17" s="28" customFormat="1" x14ac:dyDescent="0.25">
      <c r="A1139" s="53"/>
      <c r="B1139" s="58"/>
      <c r="C1139" s="58"/>
      <c r="D1139" s="35"/>
      <c r="E1139" s="129"/>
      <c r="F1139" s="129"/>
      <c r="G1139" s="129"/>
      <c r="H1139" s="129"/>
      <c r="I1139" s="129"/>
      <c r="J1139" s="129"/>
      <c r="K1139" s="129"/>
      <c r="L1139" s="129"/>
      <c r="M1139" s="129"/>
      <c r="N1139" s="129"/>
      <c r="O1139" s="129"/>
      <c r="P1139" s="148"/>
      <c r="Q1139" s="174"/>
    </row>
    <row r="1140" spans="1:17" s="28" customFormat="1" x14ac:dyDescent="0.25">
      <c r="A1140" s="53"/>
      <c r="B1140" s="58"/>
      <c r="C1140" s="58"/>
      <c r="D1140" s="35"/>
      <c r="E1140" s="129"/>
      <c r="F1140" s="129"/>
      <c r="G1140" s="129"/>
      <c r="H1140" s="129"/>
      <c r="I1140" s="129"/>
      <c r="J1140" s="129"/>
      <c r="K1140" s="129"/>
      <c r="L1140" s="129"/>
      <c r="M1140" s="129"/>
      <c r="N1140" s="129"/>
      <c r="O1140" s="129"/>
      <c r="P1140" s="148"/>
      <c r="Q1140" s="174"/>
    </row>
    <row r="1141" spans="1:17" s="28" customFormat="1" x14ac:dyDescent="0.25">
      <c r="A1141" s="53"/>
      <c r="B1141" s="58"/>
      <c r="C1141" s="58"/>
      <c r="D1141" s="35"/>
      <c r="E1141" s="129"/>
      <c r="F1141" s="129"/>
      <c r="G1141" s="129"/>
      <c r="H1141" s="129"/>
      <c r="I1141" s="129"/>
      <c r="J1141" s="129"/>
      <c r="K1141" s="129"/>
      <c r="L1141" s="129"/>
      <c r="M1141" s="129"/>
      <c r="N1141" s="129"/>
      <c r="O1141" s="129"/>
      <c r="P1141" s="148"/>
      <c r="Q1141" s="174"/>
    </row>
    <row r="1142" spans="1:17" s="28" customFormat="1" x14ac:dyDescent="0.25">
      <c r="A1142" s="53"/>
      <c r="B1142" s="58"/>
      <c r="C1142" s="58"/>
      <c r="D1142" s="35"/>
      <c r="E1142" s="129"/>
      <c r="F1142" s="129"/>
      <c r="G1142" s="129"/>
      <c r="H1142" s="129"/>
      <c r="I1142" s="129"/>
      <c r="J1142" s="129"/>
      <c r="K1142" s="129"/>
      <c r="L1142" s="129"/>
      <c r="M1142" s="129"/>
      <c r="N1142" s="129"/>
      <c r="O1142" s="129"/>
      <c r="P1142" s="148"/>
      <c r="Q1142" s="174"/>
    </row>
    <row r="1143" spans="1:17" s="28" customFormat="1" x14ac:dyDescent="0.25">
      <c r="A1143" s="53"/>
      <c r="B1143" s="58"/>
      <c r="C1143" s="58"/>
      <c r="D1143" s="35"/>
      <c r="E1143" s="129"/>
      <c r="F1143" s="129"/>
      <c r="G1143" s="129"/>
      <c r="H1143" s="129"/>
      <c r="I1143" s="129"/>
      <c r="J1143" s="129"/>
      <c r="K1143" s="129"/>
      <c r="L1143" s="129"/>
      <c r="M1143" s="129"/>
      <c r="N1143" s="129"/>
      <c r="O1143" s="129"/>
      <c r="P1143" s="148"/>
      <c r="Q1143" s="174"/>
    </row>
    <row r="1144" spans="1:17" s="28" customFormat="1" x14ac:dyDescent="0.25">
      <c r="A1144" s="53"/>
      <c r="B1144" s="58"/>
      <c r="C1144" s="58"/>
      <c r="D1144" s="35"/>
      <c r="E1144" s="129"/>
      <c r="F1144" s="129"/>
      <c r="G1144" s="129"/>
      <c r="H1144" s="129"/>
      <c r="I1144" s="129"/>
      <c r="J1144" s="129"/>
      <c r="K1144" s="129"/>
      <c r="L1144" s="129"/>
      <c r="M1144" s="129"/>
      <c r="N1144" s="129"/>
      <c r="O1144" s="129"/>
      <c r="P1144" s="148"/>
      <c r="Q1144" s="174"/>
    </row>
    <row r="1145" spans="1:17" s="28" customFormat="1" x14ac:dyDescent="0.25">
      <c r="A1145" s="53"/>
      <c r="B1145" s="58"/>
      <c r="C1145" s="58"/>
      <c r="D1145" s="35"/>
      <c r="E1145" s="129"/>
      <c r="F1145" s="129"/>
      <c r="G1145" s="129"/>
      <c r="H1145" s="129"/>
      <c r="I1145" s="129"/>
      <c r="J1145" s="129"/>
      <c r="K1145" s="129"/>
      <c r="L1145" s="129"/>
      <c r="M1145" s="129"/>
      <c r="N1145" s="129"/>
      <c r="O1145" s="129"/>
      <c r="P1145" s="148"/>
      <c r="Q1145" s="174"/>
    </row>
    <row r="1146" spans="1:17" s="28" customFormat="1" x14ac:dyDescent="0.25">
      <c r="A1146" s="53"/>
      <c r="B1146" s="58"/>
      <c r="C1146" s="58"/>
      <c r="D1146" s="35"/>
      <c r="E1146" s="129"/>
      <c r="F1146" s="129"/>
      <c r="G1146" s="129"/>
      <c r="H1146" s="129"/>
      <c r="I1146" s="129"/>
      <c r="J1146" s="129"/>
      <c r="K1146" s="129"/>
      <c r="L1146" s="129"/>
      <c r="M1146" s="129"/>
      <c r="N1146" s="129"/>
      <c r="O1146" s="129"/>
      <c r="P1146" s="148"/>
      <c r="Q1146" s="174"/>
    </row>
    <row r="1147" spans="1:17" s="28" customFormat="1" x14ac:dyDescent="0.25">
      <c r="A1147" s="53"/>
      <c r="B1147" s="58"/>
      <c r="C1147" s="58"/>
      <c r="D1147" s="35"/>
      <c r="E1147" s="129"/>
      <c r="F1147" s="129"/>
      <c r="G1147" s="129"/>
      <c r="H1147" s="129"/>
      <c r="I1147" s="129"/>
      <c r="J1147" s="129"/>
      <c r="K1147" s="129"/>
      <c r="L1147" s="129"/>
      <c r="M1147" s="129"/>
      <c r="N1147" s="129"/>
      <c r="O1147" s="129"/>
      <c r="P1147" s="148"/>
      <c r="Q1147" s="174"/>
    </row>
    <row r="1148" spans="1:17" s="28" customFormat="1" x14ac:dyDescent="0.25">
      <c r="A1148" s="53"/>
      <c r="B1148" s="58"/>
      <c r="C1148" s="58"/>
      <c r="D1148" s="35"/>
      <c r="E1148" s="129"/>
      <c r="F1148" s="129"/>
      <c r="G1148" s="129"/>
      <c r="H1148" s="129"/>
      <c r="I1148" s="129"/>
      <c r="J1148" s="129"/>
      <c r="K1148" s="129"/>
      <c r="L1148" s="129"/>
      <c r="M1148" s="129"/>
      <c r="N1148" s="129"/>
      <c r="O1148" s="129"/>
      <c r="P1148" s="148"/>
      <c r="Q1148" s="174"/>
    </row>
    <row r="1149" spans="1:17" s="28" customFormat="1" x14ac:dyDescent="0.25">
      <c r="A1149" s="53"/>
      <c r="B1149" s="58"/>
      <c r="C1149" s="58"/>
      <c r="D1149" s="35"/>
      <c r="E1149" s="129"/>
      <c r="F1149" s="129"/>
      <c r="G1149" s="129"/>
      <c r="H1149" s="129"/>
      <c r="I1149" s="129"/>
      <c r="J1149" s="129"/>
      <c r="K1149" s="129"/>
      <c r="L1149" s="129"/>
      <c r="M1149" s="129"/>
      <c r="N1149" s="129"/>
      <c r="O1149" s="129"/>
      <c r="P1149" s="148"/>
      <c r="Q1149" s="174"/>
    </row>
    <row r="1150" spans="1:17" s="28" customFormat="1" x14ac:dyDescent="0.25">
      <c r="A1150" s="53"/>
      <c r="B1150" s="58"/>
      <c r="C1150" s="58"/>
      <c r="D1150" s="35"/>
      <c r="E1150" s="129"/>
      <c r="F1150" s="129"/>
      <c r="G1150" s="129"/>
      <c r="H1150" s="129"/>
      <c r="I1150" s="129"/>
      <c r="J1150" s="129"/>
      <c r="K1150" s="129"/>
      <c r="L1150" s="129"/>
      <c r="M1150" s="129"/>
      <c r="N1150" s="129"/>
      <c r="O1150" s="129"/>
      <c r="P1150" s="148"/>
      <c r="Q1150" s="174"/>
    </row>
    <row r="1151" spans="1:17" s="28" customFormat="1" x14ac:dyDescent="0.25">
      <c r="A1151" s="53"/>
      <c r="B1151" s="58"/>
      <c r="C1151" s="58"/>
      <c r="D1151" s="35"/>
      <c r="E1151" s="129"/>
      <c r="F1151" s="129"/>
      <c r="G1151" s="129"/>
      <c r="H1151" s="129"/>
      <c r="I1151" s="129"/>
      <c r="J1151" s="129"/>
      <c r="K1151" s="129"/>
      <c r="L1151" s="129"/>
      <c r="M1151" s="129"/>
      <c r="N1151" s="129"/>
      <c r="O1151" s="129"/>
      <c r="P1151" s="148"/>
      <c r="Q1151" s="174"/>
    </row>
    <row r="1152" spans="1:17" s="28" customFormat="1" x14ac:dyDescent="0.25">
      <c r="A1152" s="53"/>
      <c r="B1152" s="58"/>
      <c r="C1152" s="58"/>
      <c r="D1152" s="35"/>
      <c r="E1152" s="129"/>
      <c r="F1152" s="129"/>
      <c r="G1152" s="129"/>
      <c r="H1152" s="129"/>
      <c r="I1152" s="129"/>
      <c r="J1152" s="129"/>
      <c r="K1152" s="129"/>
      <c r="L1152" s="129"/>
      <c r="M1152" s="129"/>
      <c r="N1152" s="129"/>
      <c r="O1152" s="129"/>
      <c r="P1152" s="148"/>
      <c r="Q1152" s="174"/>
    </row>
    <row r="1153" spans="1:17" s="28" customFormat="1" x14ac:dyDescent="0.25">
      <c r="A1153" s="53"/>
      <c r="B1153" s="58"/>
      <c r="C1153" s="58"/>
      <c r="D1153" s="35"/>
      <c r="E1153" s="129"/>
      <c r="F1153" s="129"/>
      <c r="G1153" s="129"/>
      <c r="H1153" s="129"/>
      <c r="I1153" s="129"/>
      <c r="J1153" s="129"/>
      <c r="K1153" s="129"/>
      <c r="L1153" s="129"/>
      <c r="M1153" s="129"/>
      <c r="N1153" s="129"/>
      <c r="O1153" s="129"/>
      <c r="P1153" s="148"/>
      <c r="Q1153" s="174"/>
    </row>
    <row r="1154" spans="1:17" s="28" customFormat="1" x14ac:dyDescent="0.25">
      <c r="A1154" s="53"/>
      <c r="B1154" s="58"/>
      <c r="C1154" s="58"/>
      <c r="D1154" s="35"/>
      <c r="E1154" s="129"/>
      <c r="F1154" s="129"/>
      <c r="G1154" s="129"/>
      <c r="H1154" s="129"/>
      <c r="I1154" s="129"/>
      <c r="J1154" s="129"/>
      <c r="K1154" s="129"/>
      <c r="L1154" s="129"/>
      <c r="M1154" s="129"/>
      <c r="N1154" s="129"/>
      <c r="O1154" s="129"/>
      <c r="P1154" s="148"/>
      <c r="Q1154" s="174"/>
    </row>
    <row r="1155" spans="1:17" s="28" customFormat="1" x14ac:dyDescent="0.25">
      <c r="A1155" s="53"/>
      <c r="B1155" s="58"/>
      <c r="C1155" s="58"/>
      <c r="D1155" s="35"/>
      <c r="E1155" s="129"/>
      <c r="F1155" s="129"/>
      <c r="G1155" s="129"/>
      <c r="H1155" s="129"/>
      <c r="I1155" s="129"/>
      <c r="J1155" s="129"/>
      <c r="K1155" s="129"/>
      <c r="L1155" s="129"/>
      <c r="M1155" s="129"/>
      <c r="N1155" s="129"/>
      <c r="O1155" s="129"/>
      <c r="P1155" s="148"/>
      <c r="Q1155" s="174"/>
    </row>
    <row r="1156" spans="1:17" s="28" customFormat="1" x14ac:dyDescent="0.25">
      <c r="A1156" s="53"/>
      <c r="B1156" s="58"/>
      <c r="C1156" s="58"/>
      <c r="D1156" s="35"/>
      <c r="E1156" s="129"/>
      <c r="F1156" s="129"/>
      <c r="G1156" s="129"/>
      <c r="H1156" s="129"/>
      <c r="I1156" s="129"/>
      <c r="J1156" s="129"/>
      <c r="K1156" s="129"/>
      <c r="L1156" s="129"/>
      <c r="M1156" s="129"/>
      <c r="N1156" s="129"/>
      <c r="O1156" s="129"/>
      <c r="P1156" s="148"/>
      <c r="Q1156" s="174"/>
    </row>
    <row r="1157" spans="1:17" s="28" customFormat="1" x14ac:dyDescent="0.25">
      <c r="A1157" s="53"/>
      <c r="B1157" s="58"/>
      <c r="C1157" s="58"/>
      <c r="D1157" s="35"/>
      <c r="E1157" s="129"/>
      <c r="F1157" s="129"/>
      <c r="G1157" s="129"/>
      <c r="H1157" s="129"/>
      <c r="I1157" s="129"/>
      <c r="J1157" s="129"/>
      <c r="K1157" s="129"/>
      <c r="L1157" s="129"/>
      <c r="M1157" s="129"/>
      <c r="N1157" s="129"/>
      <c r="O1157" s="129"/>
      <c r="P1157" s="148"/>
      <c r="Q1157" s="174"/>
    </row>
    <row r="1158" spans="1:17" s="28" customFormat="1" x14ac:dyDescent="0.25">
      <c r="A1158" s="53"/>
      <c r="B1158" s="58"/>
      <c r="C1158" s="58"/>
      <c r="D1158" s="35"/>
      <c r="E1158" s="129"/>
      <c r="F1158" s="129"/>
      <c r="G1158" s="129"/>
      <c r="H1158" s="129"/>
      <c r="I1158" s="129"/>
      <c r="J1158" s="129"/>
      <c r="K1158" s="129"/>
      <c r="L1158" s="129"/>
      <c r="M1158" s="129"/>
      <c r="N1158" s="129"/>
      <c r="O1158" s="129"/>
      <c r="P1158" s="148"/>
      <c r="Q1158" s="174"/>
    </row>
    <row r="1159" spans="1:17" s="28" customFormat="1" x14ac:dyDescent="0.25">
      <c r="A1159" s="53"/>
      <c r="B1159" s="58"/>
      <c r="C1159" s="58"/>
      <c r="D1159" s="35"/>
      <c r="E1159" s="129"/>
      <c r="F1159" s="129"/>
      <c r="G1159" s="129"/>
      <c r="H1159" s="129"/>
      <c r="I1159" s="129"/>
      <c r="J1159" s="129"/>
      <c r="K1159" s="129"/>
      <c r="L1159" s="129"/>
      <c r="M1159" s="129"/>
      <c r="N1159" s="129"/>
      <c r="O1159" s="129"/>
      <c r="P1159" s="148"/>
      <c r="Q1159" s="174"/>
    </row>
    <row r="1160" spans="1:17" s="28" customFormat="1" x14ac:dyDescent="0.25">
      <c r="A1160" s="53"/>
      <c r="B1160" s="58"/>
      <c r="C1160" s="58"/>
      <c r="D1160" s="35"/>
      <c r="E1160" s="129"/>
      <c r="F1160" s="129"/>
      <c r="G1160" s="129"/>
      <c r="H1160" s="129"/>
      <c r="I1160" s="129"/>
      <c r="J1160" s="129"/>
      <c r="K1160" s="129"/>
      <c r="L1160" s="129"/>
      <c r="M1160" s="129"/>
      <c r="N1160" s="129"/>
      <c r="O1160" s="129"/>
      <c r="P1160" s="148"/>
      <c r="Q1160" s="174"/>
    </row>
    <row r="1161" spans="1:17" s="28" customFormat="1" x14ac:dyDescent="0.25">
      <c r="A1161" s="53"/>
      <c r="B1161" s="58"/>
      <c r="C1161" s="58"/>
      <c r="D1161" s="35"/>
      <c r="E1161" s="129"/>
      <c r="F1161" s="129"/>
      <c r="G1161" s="129"/>
      <c r="H1161" s="129"/>
      <c r="I1161" s="129"/>
      <c r="J1161" s="129"/>
      <c r="K1161" s="129"/>
      <c r="L1161" s="129"/>
      <c r="M1161" s="129"/>
      <c r="N1161" s="129"/>
      <c r="O1161" s="129"/>
      <c r="P1161" s="148"/>
      <c r="Q1161" s="174"/>
    </row>
    <row r="1162" spans="1:17" s="28" customFormat="1" x14ac:dyDescent="0.25">
      <c r="A1162" s="53"/>
      <c r="B1162" s="58"/>
      <c r="C1162" s="58"/>
      <c r="D1162" s="35"/>
      <c r="E1162" s="129"/>
      <c r="F1162" s="129"/>
      <c r="G1162" s="129"/>
      <c r="H1162" s="129"/>
      <c r="I1162" s="129"/>
      <c r="J1162" s="129"/>
      <c r="K1162" s="129"/>
      <c r="L1162" s="129"/>
      <c r="M1162" s="129"/>
      <c r="N1162" s="129"/>
      <c r="O1162" s="129"/>
      <c r="P1162" s="148"/>
      <c r="Q1162" s="174"/>
    </row>
    <row r="1163" spans="1:17" s="28" customFormat="1" x14ac:dyDescent="0.25">
      <c r="A1163" s="53"/>
      <c r="B1163" s="58"/>
      <c r="C1163" s="58"/>
      <c r="D1163" s="35"/>
      <c r="E1163" s="129"/>
      <c r="F1163" s="129"/>
      <c r="G1163" s="129"/>
      <c r="H1163" s="129"/>
      <c r="I1163" s="129"/>
      <c r="J1163" s="129"/>
      <c r="K1163" s="129"/>
      <c r="L1163" s="129"/>
      <c r="M1163" s="129"/>
      <c r="N1163" s="129"/>
      <c r="O1163" s="129"/>
      <c r="P1163" s="148"/>
      <c r="Q1163" s="174"/>
    </row>
    <row r="1164" spans="1:17" s="28" customFormat="1" x14ac:dyDescent="0.25">
      <c r="A1164" s="53"/>
      <c r="B1164" s="58"/>
      <c r="C1164" s="58"/>
      <c r="D1164" s="35"/>
      <c r="E1164" s="129"/>
      <c r="F1164" s="129"/>
      <c r="G1164" s="129"/>
      <c r="H1164" s="129"/>
      <c r="I1164" s="129"/>
      <c r="J1164" s="129"/>
      <c r="K1164" s="129"/>
      <c r="L1164" s="129"/>
      <c r="M1164" s="129"/>
      <c r="N1164" s="129"/>
      <c r="O1164" s="129"/>
      <c r="P1164" s="148"/>
      <c r="Q1164" s="174"/>
    </row>
    <row r="1165" spans="1:17" s="28" customFormat="1" x14ac:dyDescent="0.25">
      <c r="A1165" s="53"/>
      <c r="B1165" s="58"/>
      <c r="C1165" s="58"/>
      <c r="D1165" s="35"/>
      <c r="E1165" s="129"/>
      <c r="F1165" s="129"/>
      <c r="G1165" s="129"/>
      <c r="H1165" s="129"/>
      <c r="I1165" s="129"/>
      <c r="J1165" s="129"/>
      <c r="K1165" s="129"/>
      <c r="L1165" s="129"/>
      <c r="M1165" s="129"/>
      <c r="N1165" s="129"/>
      <c r="O1165" s="129"/>
      <c r="P1165" s="148"/>
      <c r="Q1165" s="174"/>
    </row>
    <row r="1166" spans="1:17" s="28" customFormat="1" x14ac:dyDescent="0.25">
      <c r="A1166" s="53"/>
      <c r="B1166" s="58"/>
      <c r="C1166" s="58"/>
      <c r="D1166" s="35"/>
      <c r="E1166" s="129"/>
      <c r="F1166" s="129"/>
      <c r="G1166" s="129"/>
      <c r="H1166" s="129"/>
      <c r="I1166" s="129"/>
      <c r="J1166" s="129"/>
      <c r="K1166" s="129"/>
      <c r="L1166" s="129"/>
      <c r="M1166" s="129"/>
      <c r="N1166" s="129"/>
      <c r="O1166" s="129"/>
      <c r="P1166" s="148"/>
      <c r="Q1166" s="174"/>
    </row>
    <row r="1167" spans="1:17" s="28" customFormat="1" x14ac:dyDescent="0.25">
      <c r="A1167" s="53"/>
      <c r="B1167" s="58"/>
      <c r="C1167" s="58"/>
      <c r="D1167" s="35"/>
      <c r="E1167" s="129"/>
      <c r="F1167" s="129"/>
      <c r="G1167" s="129"/>
      <c r="H1167" s="129"/>
      <c r="I1167" s="129"/>
      <c r="J1167" s="129"/>
      <c r="K1167" s="129"/>
      <c r="L1167" s="129"/>
      <c r="M1167" s="129"/>
      <c r="N1167" s="129"/>
      <c r="O1167" s="129"/>
      <c r="P1167" s="148"/>
      <c r="Q1167" s="174"/>
    </row>
    <row r="1168" spans="1:17" s="28" customFormat="1" x14ac:dyDescent="0.25">
      <c r="A1168" s="53"/>
      <c r="B1168" s="58"/>
      <c r="C1168" s="58"/>
      <c r="D1168" s="35"/>
      <c r="E1168" s="129"/>
      <c r="F1168" s="129"/>
      <c r="G1168" s="129"/>
      <c r="H1168" s="129"/>
      <c r="I1168" s="129"/>
      <c r="J1168" s="129"/>
      <c r="K1168" s="129"/>
      <c r="L1168" s="129"/>
      <c r="M1168" s="129"/>
      <c r="N1168" s="129"/>
      <c r="O1168" s="129"/>
      <c r="P1168" s="148"/>
      <c r="Q1168" s="174"/>
    </row>
    <row r="1169" spans="1:17" s="28" customFormat="1" x14ac:dyDescent="0.25">
      <c r="A1169" s="53"/>
      <c r="B1169" s="58"/>
      <c r="C1169" s="58"/>
      <c r="D1169" s="35"/>
      <c r="E1169" s="129"/>
      <c r="F1169" s="129"/>
      <c r="G1169" s="129"/>
      <c r="H1169" s="129"/>
      <c r="I1169" s="129"/>
      <c r="J1169" s="129"/>
      <c r="K1169" s="129"/>
      <c r="L1169" s="129"/>
      <c r="M1169" s="129"/>
      <c r="N1169" s="129"/>
      <c r="O1169" s="129"/>
      <c r="P1169" s="148"/>
      <c r="Q1169" s="174"/>
    </row>
    <row r="1170" spans="1:17" s="28" customFormat="1" x14ac:dyDescent="0.25">
      <c r="A1170" s="53"/>
      <c r="B1170" s="58"/>
      <c r="C1170" s="58"/>
      <c r="D1170" s="35"/>
      <c r="E1170" s="129"/>
      <c r="F1170" s="129"/>
      <c r="G1170" s="129"/>
      <c r="H1170" s="129"/>
      <c r="I1170" s="129"/>
      <c r="J1170" s="129"/>
      <c r="K1170" s="129"/>
      <c r="L1170" s="129"/>
      <c r="M1170" s="129"/>
      <c r="N1170" s="129"/>
      <c r="O1170" s="129"/>
      <c r="P1170" s="148"/>
      <c r="Q1170" s="174"/>
    </row>
    <row r="1171" spans="1:17" s="28" customFormat="1" x14ac:dyDescent="0.25">
      <c r="A1171" s="53"/>
      <c r="B1171" s="58"/>
      <c r="C1171" s="58"/>
      <c r="D1171" s="35"/>
      <c r="E1171" s="129"/>
      <c r="F1171" s="129"/>
      <c r="G1171" s="129"/>
      <c r="H1171" s="129"/>
      <c r="I1171" s="129"/>
      <c r="J1171" s="129"/>
      <c r="K1171" s="129"/>
      <c r="L1171" s="129"/>
      <c r="M1171" s="129"/>
      <c r="N1171" s="129"/>
      <c r="O1171" s="129"/>
      <c r="P1171" s="148"/>
      <c r="Q1171" s="174"/>
    </row>
    <row r="1172" spans="1:17" s="28" customFormat="1" x14ac:dyDescent="0.25">
      <c r="A1172" s="53"/>
      <c r="B1172" s="58"/>
      <c r="C1172" s="58"/>
      <c r="D1172" s="35"/>
      <c r="E1172" s="129"/>
      <c r="F1172" s="129"/>
      <c r="G1172" s="129"/>
      <c r="H1172" s="129"/>
      <c r="I1172" s="129"/>
      <c r="J1172" s="129"/>
      <c r="K1172" s="129"/>
      <c r="L1172" s="129"/>
      <c r="M1172" s="129"/>
      <c r="N1172" s="129"/>
      <c r="O1172" s="129"/>
      <c r="P1172" s="148"/>
      <c r="Q1172" s="174"/>
    </row>
    <row r="1173" spans="1:17" s="28" customFormat="1" x14ac:dyDescent="0.25">
      <c r="A1173" s="53"/>
      <c r="B1173" s="58"/>
      <c r="C1173" s="58"/>
      <c r="D1173" s="35"/>
      <c r="E1173" s="129"/>
      <c r="F1173" s="129"/>
      <c r="G1173" s="129"/>
      <c r="H1173" s="129"/>
      <c r="I1173" s="129"/>
      <c r="J1173" s="129"/>
      <c r="K1173" s="129"/>
      <c r="L1173" s="129"/>
      <c r="M1173" s="129"/>
      <c r="N1173" s="129"/>
      <c r="O1173" s="129"/>
      <c r="P1173" s="148"/>
      <c r="Q1173" s="174"/>
    </row>
    <row r="1174" spans="1:17" s="28" customFormat="1" x14ac:dyDescent="0.25">
      <c r="A1174" s="53"/>
      <c r="B1174" s="58"/>
      <c r="C1174" s="58"/>
      <c r="D1174" s="35"/>
      <c r="E1174" s="129"/>
      <c r="F1174" s="129"/>
      <c r="G1174" s="129"/>
      <c r="H1174" s="129"/>
      <c r="I1174" s="129"/>
      <c r="J1174" s="129"/>
      <c r="K1174" s="129"/>
      <c r="L1174" s="129"/>
      <c r="M1174" s="129"/>
      <c r="N1174" s="129"/>
      <c r="O1174" s="129"/>
      <c r="P1174" s="148"/>
      <c r="Q1174" s="174"/>
    </row>
    <row r="1175" spans="1:17" s="28" customFormat="1" x14ac:dyDescent="0.25">
      <c r="A1175" s="53"/>
      <c r="B1175" s="58"/>
      <c r="C1175" s="58"/>
      <c r="D1175" s="35"/>
      <c r="E1175" s="129"/>
      <c r="F1175" s="129"/>
      <c r="G1175" s="129"/>
      <c r="H1175" s="129"/>
      <c r="I1175" s="129"/>
      <c r="J1175" s="129"/>
      <c r="K1175" s="129"/>
      <c r="L1175" s="129"/>
      <c r="M1175" s="129"/>
      <c r="N1175" s="129"/>
      <c r="O1175" s="129"/>
      <c r="P1175" s="148"/>
      <c r="Q1175" s="174"/>
    </row>
    <row r="1176" spans="1:17" s="28" customFormat="1" x14ac:dyDescent="0.25">
      <c r="A1176" s="53"/>
      <c r="B1176" s="58"/>
      <c r="C1176" s="58"/>
      <c r="D1176" s="35"/>
      <c r="E1176" s="129"/>
      <c r="F1176" s="129"/>
      <c r="G1176" s="129"/>
      <c r="H1176" s="129"/>
      <c r="I1176" s="129"/>
      <c r="J1176" s="129"/>
      <c r="K1176" s="129"/>
      <c r="L1176" s="129"/>
      <c r="M1176" s="129"/>
      <c r="N1176" s="129"/>
      <c r="O1176" s="129"/>
      <c r="P1176" s="148"/>
      <c r="Q1176" s="174"/>
    </row>
    <row r="1177" spans="1:17" s="28" customFormat="1" x14ac:dyDescent="0.25">
      <c r="A1177" s="53"/>
      <c r="B1177" s="58"/>
      <c r="C1177" s="58"/>
      <c r="D1177" s="35"/>
      <c r="E1177" s="129"/>
      <c r="F1177" s="129"/>
      <c r="G1177" s="129"/>
      <c r="H1177" s="129"/>
      <c r="I1177" s="129"/>
      <c r="J1177" s="129"/>
      <c r="K1177" s="129"/>
      <c r="L1177" s="129"/>
      <c r="M1177" s="129"/>
      <c r="N1177" s="129"/>
      <c r="O1177" s="129"/>
      <c r="P1177" s="148"/>
      <c r="Q1177" s="174"/>
    </row>
    <row r="1178" spans="1:17" s="28" customFormat="1" x14ac:dyDescent="0.25">
      <c r="A1178" s="53"/>
      <c r="B1178" s="58"/>
      <c r="C1178" s="58"/>
      <c r="D1178" s="35"/>
      <c r="E1178" s="129"/>
      <c r="F1178" s="129"/>
      <c r="G1178" s="129"/>
      <c r="H1178" s="129"/>
      <c r="I1178" s="129"/>
      <c r="J1178" s="129"/>
      <c r="K1178" s="129"/>
      <c r="L1178" s="129"/>
      <c r="M1178" s="129"/>
      <c r="N1178" s="129"/>
      <c r="O1178" s="129"/>
      <c r="P1178" s="148"/>
      <c r="Q1178" s="174"/>
    </row>
    <row r="1179" spans="1:17" s="28" customFormat="1" x14ac:dyDescent="0.25">
      <c r="A1179" s="53"/>
      <c r="B1179" s="58"/>
      <c r="C1179" s="58"/>
      <c r="D1179" s="35"/>
      <c r="E1179" s="129"/>
      <c r="F1179" s="129"/>
      <c r="G1179" s="129"/>
      <c r="H1179" s="129"/>
      <c r="I1179" s="129"/>
      <c r="J1179" s="129"/>
      <c r="K1179" s="129"/>
      <c r="L1179" s="129"/>
      <c r="M1179" s="129"/>
      <c r="N1179" s="129"/>
      <c r="O1179" s="129"/>
      <c r="P1179" s="148"/>
      <c r="Q1179" s="174"/>
    </row>
    <row r="1180" spans="1:17" s="28" customFormat="1" x14ac:dyDescent="0.25">
      <c r="A1180" s="53"/>
      <c r="B1180" s="58"/>
      <c r="C1180" s="58"/>
      <c r="D1180" s="35"/>
      <c r="E1180" s="129"/>
      <c r="F1180" s="129"/>
      <c r="G1180" s="129"/>
      <c r="H1180" s="129"/>
      <c r="I1180" s="129"/>
      <c r="J1180" s="129"/>
      <c r="K1180" s="129"/>
      <c r="L1180" s="129"/>
      <c r="M1180" s="129"/>
      <c r="N1180" s="129"/>
      <c r="O1180" s="129"/>
      <c r="P1180" s="148"/>
      <c r="Q1180" s="174"/>
    </row>
    <row r="1181" spans="1:17" s="28" customFormat="1" x14ac:dyDescent="0.25">
      <c r="A1181" s="53"/>
      <c r="B1181" s="58"/>
      <c r="C1181" s="58"/>
      <c r="D1181" s="35"/>
      <c r="E1181" s="129"/>
      <c r="F1181" s="129"/>
      <c r="G1181" s="129"/>
      <c r="H1181" s="129"/>
      <c r="I1181" s="129"/>
      <c r="J1181" s="129"/>
      <c r="K1181" s="129"/>
      <c r="L1181" s="129"/>
      <c r="M1181" s="129"/>
      <c r="N1181" s="129"/>
      <c r="O1181" s="129"/>
      <c r="P1181" s="148"/>
      <c r="Q1181" s="174"/>
    </row>
    <row r="1182" spans="1:17" s="28" customFormat="1" x14ac:dyDescent="0.25">
      <c r="A1182" s="53"/>
      <c r="B1182" s="58"/>
      <c r="C1182" s="58"/>
      <c r="D1182" s="35"/>
      <c r="E1182" s="129"/>
      <c r="F1182" s="129"/>
      <c r="G1182" s="129"/>
      <c r="H1182" s="129"/>
      <c r="I1182" s="129"/>
      <c r="J1182" s="129"/>
      <c r="K1182" s="129"/>
      <c r="L1182" s="129"/>
      <c r="M1182" s="129"/>
      <c r="N1182" s="129"/>
      <c r="O1182" s="129"/>
      <c r="P1182" s="148"/>
      <c r="Q1182" s="174"/>
    </row>
    <row r="1183" spans="1:17" s="28" customFormat="1" x14ac:dyDescent="0.25">
      <c r="A1183" s="53"/>
      <c r="B1183" s="58"/>
      <c r="C1183" s="58"/>
      <c r="D1183" s="35"/>
      <c r="E1183" s="129"/>
      <c r="F1183" s="129"/>
      <c r="G1183" s="129"/>
      <c r="H1183" s="129"/>
      <c r="I1183" s="129"/>
      <c r="J1183" s="129"/>
      <c r="K1183" s="129"/>
      <c r="L1183" s="129"/>
      <c r="M1183" s="129"/>
      <c r="N1183" s="129"/>
      <c r="O1183" s="129"/>
      <c r="P1183" s="148"/>
      <c r="Q1183" s="174"/>
    </row>
    <row r="1184" spans="1:17" s="28" customFormat="1" x14ac:dyDescent="0.25">
      <c r="A1184" s="53"/>
      <c r="B1184" s="58"/>
      <c r="C1184" s="58"/>
      <c r="D1184" s="35"/>
      <c r="E1184" s="129"/>
      <c r="F1184" s="129"/>
      <c r="G1184" s="129"/>
      <c r="H1184" s="129"/>
      <c r="I1184" s="129"/>
      <c r="J1184" s="129"/>
      <c r="K1184" s="129"/>
      <c r="L1184" s="129"/>
      <c r="M1184" s="129"/>
      <c r="N1184" s="129"/>
      <c r="O1184" s="129"/>
      <c r="P1184" s="148"/>
      <c r="Q1184" s="174"/>
    </row>
    <row r="1185" spans="1:17" s="28" customFormat="1" x14ac:dyDescent="0.25">
      <c r="A1185" s="53"/>
      <c r="B1185" s="58"/>
      <c r="C1185" s="58"/>
      <c r="D1185" s="35"/>
      <c r="E1185" s="129"/>
      <c r="F1185" s="129"/>
      <c r="G1185" s="129"/>
      <c r="H1185" s="129"/>
      <c r="I1185" s="129"/>
      <c r="J1185" s="129"/>
      <c r="K1185" s="129"/>
      <c r="L1185" s="129"/>
      <c r="M1185" s="129"/>
      <c r="N1185" s="129"/>
      <c r="O1185" s="129"/>
      <c r="P1185" s="148"/>
      <c r="Q1185" s="174"/>
    </row>
    <row r="1186" spans="1:17" s="28" customFormat="1" x14ac:dyDescent="0.25">
      <c r="A1186" s="53"/>
      <c r="B1186" s="58"/>
      <c r="C1186" s="58"/>
      <c r="D1186" s="35"/>
      <c r="E1186" s="129"/>
      <c r="F1186" s="129"/>
      <c r="G1186" s="129"/>
      <c r="H1186" s="129"/>
      <c r="I1186" s="129"/>
      <c r="J1186" s="129"/>
      <c r="K1186" s="129"/>
      <c r="L1186" s="129"/>
      <c r="M1186" s="129"/>
      <c r="N1186" s="129"/>
      <c r="O1186" s="129"/>
      <c r="P1186" s="148"/>
      <c r="Q1186" s="174"/>
    </row>
    <row r="1187" spans="1:17" s="28" customFormat="1" x14ac:dyDescent="0.25">
      <c r="A1187" s="53"/>
      <c r="B1187" s="58"/>
      <c r="C1187" s="58"/>
      <c r="D1187" s="35"/>
      <c r="E1187" s="129"/>
      <c r="F1187" s="129"/>
      <c r="G1187" s="129"/>
      <c r="H1187" s="129"/>
      <c r="I1187" s="129"/>
      <c r="J1187" s="129"/>
      <c r="K1187" s="129"/>
      <c r="L1187" s="129"/>
      <c r="M1187" s="129"/>
      <c r="N1187" s="129"/>
      <c r="O1187" s="129"/>
      <c r="P1187" s="148"/>
      <c r="Q1187" s="174"/>
    </row>
    <row r="1188" spans="1:17" s="28" customFormat="1" x14ac:dyDescent="0.25">
      <c r="A1188" s="53"/>
      <c r="B1188" s="58"/>
      <c r="C1188" s="58"/>
      <c r="D1188" s="35"/>
      <c r="E1188" s="129"/>
      <c r="F1188" s="129"/>
      <c r="G1188" s="129"/>
      <c r="H1188" s="129"/>
      <c r="I1188" s="129"/>
      <c r="J1188" s="129"/>
      <c r="K1188" s="129"/>
      <c r="L1188" s="129"/>
      <c r="M1188" s="129"/>
      <c r="N1188" s="129"/>
      <c r="O1188" s="129"/>
      <c r="P1188" s="148"/>
      <c r="Q1188" s="174"/>
    </row>
    <row r="1189" spans="1:17" s="28" customFormat="1" x14ac:dyDescent="0.25">
      <c r="A1189" s="53"/>
      <c r="B1189" s="58"/>
      <c r="C1189" s="58"/>
      <c r="D1189" s="35"/>
      <c r="E1189" s="129"/>
      <c r="F1189" s="129"/>
      <c r="G1189" s="129"/>
      <c r="H1189" s="129"/>
      <c r="I1189" s="129"/>
      <c r="J1189" s="129"/>
      <c r="K1189" s="129"/>
      <c r="L1189" s="129"/>
      <c r="M1189" s="129"/>
      <c r="N1189" s="129"/>
      <c r="O1189" s="129"/>
      <c r="P1189" s="148"/>
      <c r="Q1189" s="174"/>
    </row>
    <row r="1190" spans="1:17" s="28" customFormat="1" x14ac:dyDescent="0.25">
      <c r="A1190" s="53"/>
      <c r="B1190" s="58"/>
      <c r="C1190" s="58"/>
      <c r="D1190" s="35"/>
      <c r="E1190" s="129"/>
      <c r="F1190" s="129"/>
      <c r="G1190" s="129"/>
      <c r="H1190" s="129"/>
      <c r="I1190" s="129"/>
      <c r="J1190" s="129"/>
      <c r="K1190" s="129"/>
      <c r="L1190" s="129"/>
      <c r="M1190" s="129"/>
      <c r="N1190" s="129"/>
      <c r="O1190" s="129"/>
      <c r="P1190" s="148"/>
      <c r="Q1190" s="174"/>
    </row>
    <row r="1191" spans="1:17" s="28" customFormat="1" x14ac:dyDescent="0.25">
      <c r="A1191" s="53"/>
      <c r="B1191" s="58"/>
      <c r="C1191" s="58"/>
      <c r="D1191" s="35"/>
      <c r="E1191" s="129"/>
      <c r="F1191" s="129"/>
      <c r="G1191" s="129"/>
      <c r="H1191" s="129"/>
      <c r="I1191" s="129"/>
      <c r="J1191" s="129"/>
      <c r="K1191" s="129"/>
      <c r="L1191" s="129"/>
      <c r="M1191" s="129"/>
      <c r="N1191" s="129"/>
      <c r="O1191" s="129"/>
      <c r="P1191" s="148"/>
      <c r="Q1191" s="174"/>
    </row>
    <row r="1192" spans="1:17" s="28" customFormat="1" x14ac:dyDescent="0.25">
      <c r="A1192" s="53"/>
      <c r="B1192" s="58"/>
      <c r="C1192" s="58"/>
      <c r="D1192" s="35"/>
      <c r="E1192" s="129"/>
      <c r="F1192" s="129"/>
      <c r="G1192" s="129"/>
      <c r="H1192" s="129"/>
      <c r="I1192" s="129"/>
      <c r="J1192" s="129"/>
      <c r="K1192" s="129"/>
      <c r="L1192" s="129"/>
      <c r="M1192" s="129"/>
      <c r="N1192" s="129"/>
      <c r="O1192" s="129"/>
      <c r="P1192" s="148"/>
      <c r="Q1192" s="174"/>
    </row>
    <row r="1193" spans="1:17" s="28" customFormat="1" x14ac:dyDescent="0.25">
      <c r="A1193" s="53"/>
      <c r="B1193" s="58"/>
      <c r="C1193" s="58"/>
      <c r="D1193" s="35"/>
      <c r="E1193" s="129"/>
      <c r="F1193" s="129"/>
      <c r="G1193" s="129"/>
      <c r="H1193" s="129"/>
      <c r="I1193" s="129"/>
      <c r="J1193" s="129"/>
      <c r="K1193" s="129"/>
      <c r="L1193" s="129"/>
      <c r="M1193" s="129"/>
      <c r="N1193" s="129"/>
      <c r="O1193" s="129"/>
      <c r="P1193" s="148"/>
      <c r="Q1193" s="174"/>
    </row>
    <row r="1194" spans="1:17" s="28" customFormat="1" x14ac:dyDescent="0.25">
      <c r="A1194" s="53"/>
      <c r="B1194" s="58"/>
      <c r="C1194" s="58"/>
      <c r="D1194" s="35"/>
      <c r="E1194" s="129"/>
      <c r="F1194" s="129"/>
      <c r="G1194" s="129"/>
      <c r="H1194" s="129"/>
      <c r="I1194" s="129"/>
      <c r="J1194" s="129"/>
      <c r="K1194" s="129"/>
      <c r="L1194" s="129"/>
      <c r="M1194" s="129"/>
      <c r="N1194" s="129"/>
      <c r="O1194" s="129"/>
      <c r="P1194" s="148"/>
      <c r="Q1194" s="174"/>
    </row>
    <row r="1195" spans="1:17" s="28" customFormat="1" x14ac:dyDescent="0.25">
      <c r="A1195" s="53"/>
      <c r="B1195" s="58"/>
      <c r="C1195" s="58"/>
      <c r="D1195" s="35"/>
      <c r="E1195" s="129"/>
      <c r="F1195" s="129"/>
      <c r="G1195" s="129"/>
      <c r="H1195" s="129"/>
      <c r="I1195" s="129"/>
      <c r="J1195" s="129"/>
      <c r="K1195" s="129"/>
      <c r="L1195" s="129"/>
      <c r="M1195" s="129"/>
      <c r="N1195" s="129"/>
      <c r="O1195" s="129"/>
      <c r="P1195" s="148"/>
      <c r="Q1195" s="174"/>
    </row>
    <row r="1196" spans="1:17" s="28" customFormat="1" x14ac:dyDescent="0.25">
      <c r="A1196" s="53"/>
      <c r="B1196" s="58"/>
      <c r="C1196" s="58"/>
      <c r="D1196" s="35"/>
      <c r="E1196" s="129"/>
      <c r="F1196" s="129"/>
      <c r="G1196" s="129"/>
      <c r="H1196" s="129"/>
      <c r="I1196" s="129"/>
      <c r="J1196" s="129"/>
      <c r="K1196" s="129"/>
      <c r="L1196" s="129"/>
      <c r="M1196" s="129"/>
      <c r="N1196" s="129"/>
      <c r="O1196" s="129"/>
      <c r="P1196" s="148"/>
      <c r="Q1196" s="174"/>
    </row>
    <row r="1197" spans="1:17" s="28" customFormat="1" x14ac:dyDescent="0.25">
      <c r="A1197" s="53"/>
      <c r="B1197" s="58"/>
      <c r="C1197" s="58"/>
      <c r="D1197" s="35"/>
      <c r="E1197" s="129"/>
      <c r="F1197" s="129"/>
      <c r="G1197" s="129"/>
      <c r="H1197" s="129"/>
      <c r="I1197" s="129"/>
      <c r="J1197" s="129"/>
      <c r="K1197" s="129"/>
      <c r="L1197" s="129"/>
      <c r="M1197" s="129"/>
      <c r="N1197" s="129"/>
      <c r="O1197" s="129"/>
      <c r="P1197" s="148"/>
      <c r="Q1197" s="174"/>
    </row>
    <row r="1198" spans="1:17" s="28" customFormat="1" x14ac:dyDescent="0.25">
      <c r="A1198" s="53"/>
      <c r="B1198" s="58"/>
      <c r="C1198" s="58"/>
      <c r="D1198" s="35"/>
      <c r="E1198" s="129"/>
      <c r="F1198" s="129"/>
      <c r="G1198" s="129"/>
      <c r="H1198" s="129"/>
      <c r="I1198" s="129"/>
      <c r="J1198" s="129"/>
      <c r="K1198" s="129"/>
      <c r="L1198" s="129"/>
      <c r="M1198" s="129"/>
      <c r="N1198" s="129"/>
      <c r="O1198" s="129"/>
      <c r="P1198" s="148"/>
      <c r="Q1198" s="174"/>
    </row>
    <row r="1199" spans="1:17" s="28" customFormat="1" x14ac:dyDescent="0.25">
      <c r="A1199" s="53"/>
      <c r="B1199" s="58"/>
      <c r="C1199" s="58"/>
      <c r="D1199" s="35"/>
      <c r="E1199" s="129"/>
      <c r="F1199" s="129"/>
      <c r="G1199" s="129"/>
      <c r="H1199" s="129"/>
      <c r="I1199" s="129"/>
      <c r="J1199" s="129"/>
      <c r="K1199" s="129"/>
      <c r="L1199" s="129"/>
      <c r="M1199" s="129"/>
      <c r="N1199" s="129"/>
      <c r="O1199" s="129"/>
      <c r="P1199" s="148"/>
      <c r="Q1199" s="174"/>
    </row>
    <row r="1200" spans="1:17" s="28" customFormat="1" x14ac:dyDescent="0.25">
      <c r="A1200" s="53"/>
      <c r="B1200" s="58"/>
      <c r="C1200" s="58"/>
      <c r="D1200" s="35"/>
      <c r="E1200" s="129"/>
      <c r="F1200" s="129"/>
      <c r="G1200" s="129"/>
      <c r="H1200" s="129"/>
      <c r="I1200" s="129"/>
      <c r="J1200" s="129"/>
      <c r="K1200" s="129"/>
      <c r="L1200" s="129"/>
      <c r="M1200" s="129"/>
      <c r="N1200" s="129"/>
      <c r="O1200" s="129"/>
      <c r="P1200" s="148"/>
      <c r="Q1200" s="174"/>
    </row>
    <row r="1201" spans="1:17" s="28" customFormat="1" x14ac:dyDescent="0.25">
      <c r="A1201" s="53"/>
      <c r="B1201" s="58"/>
      <c r="C1201" s="58"/>
      <c r="D1201" s="35"/>
      <c r="E1201" s="129"/>
      <c r="F1201" s="129"/>
      <c r="G1201" s="129"/>
      <c r="H1201" s="129"/>
      <c r="I1201" s="129"/>
      <c r="J1201" s="129"/>
      <c r="K1201" s="129"/>
      <c r="L1201" s="129"/>
      <c r="M1201" s="129"/>
      <c r="N1201" s="129"/>
      <c r="O1201" s="129"/>
      <c r="P1201" s="148"/>
      <c r="Q1201" s="174"/>
    </row>
    <row r="1202" spans="1:17" s="28" customFormat="1" x14ac:dyDescent="0.25">
      <c r="A1202" s="53"/>
      <c r="B1202" s="58"/>
      <c r="C1202" s="58"/>
      <c r="D1202" s="35"/>
      <c r="E1202" s="129"/>
      <c r="F1202" s="129"/>
      <c r="G1202" s="129"/>
      <c r="H1202" s="129"/>
      <c r="I1202" s="129"/>
      <c r="J1202" s="129"/>
      <c r="K1202" s="129"/>
      <c r="L1202" s="129"/>
      <c r="M1202" s="129"/>
      <c r="N1202" s="129"/>
      <c r="O1202" s="129"/>
      <c r="P1202" s="148"/>
      <c r="Q1202" s="174"/>
    </row>
    <row r="1203" spans="1:17" s="28" customFormat="1" x14ac:dyDescent="0.25">
      <c r="A1203" s="53"/>
      <c r="B1203" s="58"/>
      <c r="C1203" s="58"/>
      <c r="D1203" s="35"/>
      <c r="E1203" s="129"/>
      <c r="F1203" s="129"/>
      <c r="G1203" s="129"/>
      <c r="H1203" s="129"/>
      <c r="I1203" s="129"/>
      <c r="J1203" s="129"/>
      <c r="K1203" s="129"/>
      <c r="L1203" s="129"/>
      <c r="M1203" s="129"/>
      <c r="N1203" s="129"/>
      <c r="O1203" s="129"/>
      <c r="P1203" s="148"/>
      <c r="Q1203" s="174"/>
    </row>
    <row r="1204" spans="1:17" s="28" customFormat="1" x14ac:dyDescent="0.25">
      <c r="A1204" s="53"/>
      <c r="B1204" s="58"/>
      <c r="C1204" s="58"/>
      <c r="D1204" s="35"/>
      <c r="E1204" s="129"/>
      <c r="F1204" s="129"/>
      <c r="G1204" s="129"/>
      <c r="H1204" s="129"/>
      <c r="I1204" s="129"/>
      <c r="J1204" s="129"/>
      <c r="K1204" s="129"/>
      <c r="L1204" s="129"/>
      <c r="M1204" s="129"/>
      <c r="N1204" s="129"/>
      <c r="O1204" s="129"/>
      <c r="P1204" s="148"/>
      <c r="Q1204" s="174"/>
    </row>
    <row r="1205" spans="1:17" s="28" customFormat="1" x14ac:dyDescent="0.25">
      <c r="A1205" s="53"/>
      <c r="B1205" s="58"/>
      <c r="C1205" s="58"/>
      <c r="D1205" s="35"/>
      <c r="E1205" s="129"/>
      <c r="F1205" s="129"/>
      <c r="G1205" s="129"/>
      <c r="H1205" s="129"/>
      <c r="I1205" s="129"/>
      <c r="J1205" s="129"/>
      <c r="K1205" s="129"/>
      <c r="L1205" s="129"/>
      <c r="M1205" s="129"/>
      <c r="N1205" s="129"/>
      <c r="O1205" s="129"/>
      <c r="P1205" s="148"/>
      <c r="Q1205" s="174"/>
    </row>
    <row r="1206" spans="1:17" s="28" customFormat="1" x14ac:dyDescent="0.25">
      <c r="A1206" s="53"/>
      <c r="B1206" s="58"/>
      <c r="C1206" s="58"/>
      <c r="D1206" s="35"/>
      <c r="E1206" s="129"/>
      <c r="F1206" s="129"/>
      <c r="G1206" s="129"/>
      <c r="H1206" s="129"/>
      <c r="I1206" s="129"/>
      <c r="J1206" s="129"/>
      <c r="K1206" s="129"/>
      <c r="L1206" s="129"/>
      <c r="M1206" s="129"/>
      <c r="N1206" s="129"/>
      <c r="O1206" s="129"/>
      <c r="P1206" s="148"/>
      <c r="Q1206" s="174"/>
    </row>
    <row r="1207" spans="1:17" s="28" customFormat="1" x14ac:dyDescent="0.25">
      <c r="A1207" s="53"/>
      <c r="B1207" s="58"/>
      <c r="C1207" s="58"/>
      <c r="D1207" s="35"/>
      <c r="E1207" s="129"/>
      <c r="F1207" s="129"/>
      <c r="G1207" s="129"/>
      <c r="H1207" s="129"/>
      <c r="I1207" s="129"/>
      <c r="J1207" s="129"/>
      <c r="K1207" s="129"/>
      <c r="L1207" s="129"/>
      <c r="M1207" s="129"/>
      <c r="N1207" s="129"/>
      <c r="O1207" s="129"/>
      <c r="P1207" s="148"/>
      <c r="Q1207" s="174"/>
    </row>
    <row r="1208" spans="1:17" s="28" customFormat="1" x14ac:dyDescent="0.25">
      <c r="A1208" s="53"/>
      <c r="B1208" s="58"/>
      <c r="C1208" s="58"/>
      <c r="D1208" s="35"/>
      <c r="E1208" s="129"/>
      <c r="F1208" s="129"/>
      <c r="G1208" s="129"/>
      <c r="H1208" s="129"/>
      <c r="I1208" s="129"/>
      <c r="J1208" s="129"/>
      <c r="K1208" s="129"/>
      <c r="L1208" s="129"/>
      <c r="M1208" s="129"/>
      <c r="N1208" s="129"/>
      <c r="O1208" s="129"/>
      <c r="P1208" s="148"/>
      <c r="Q1208" s="174"/>
    </row>
    <row r="1209" spans="1:17" s="28" customFormat="1" x14ac:dyDescent="0.25">
      <c r="A1209" s="53"/>
      <c r="B1209" s="58"/>
      <c r="C1209" s="58"/>
      <c r="D1209" s="35"/>
      <c r="E1209" s="129"/>
      <c r="F1209" s="129"/>
      <c r="G1209" s="129"/>
      <c r="H1209" s="129"/>
      <c r="I1209" s="129"/>
      <c r="J1209" s="129"/>
      <c r="K1209" s="129"/>
      <c r="L1209" s="129"/>
      <c r="M1209" s="129"/>
      <c r="N1209" s="129"/>
      <c r="O1209" s="129"/>
      <c r="P1209" s="148"/>
      <c r="Q1209" s="174"/>
    </row>
    <row r="1210" spans="1:17" s="28" customFormat="1" x14ac:dyDescent="0.25">
      <c r="A1210" s="53"/>
      <c r="B1210" s="58"/>
      <c r="C1210" s="58"/>
      <c r="D1210" s="35"/>
      <c r="E1210" s="129"/>
      <c r="F1210" s="129"/>
      <c r="G1210" s="129"/>
      <c r="H1210" s="129"/>
      <c r="I1210" s="129"/>
      <c r="J1210" s="129"/>
      <c r="K1210" s="129"/>
      <c r="L1210" s="129"/>
      <c r="M1210" s="129"/>
      <c r="N1210" s="129"/>
      <c r="O1210" s="129"/>
      <c r="P1210" s="148"/>
      <c r="Q1210" s="174"/>
    </row>
    <row r="1211" spans="1:17" s="28" customFormat="1" x14ac:dyDescent="0.25">
      <c r="A1211" s="53"/>
      <c r="B1211" s="58"/>
      <c r="C1211" s="58"/>
      <c r="D1211" s="35"/>
      <c r="E1211" s="129"/>
      <c r="F1211" s="129"/>
      <c r="G1211" s="129"/>
      <c r="H1211" s="129"/>
      <c r="I1211" s="129"/>
      <c r="J1211" s="129"/>
      <c r="K1211" s="129"/>
      <c r="L1211" s="129"/>
      <c r="M1211" s="129"/>
      <c r="N1211" s="129"/>
      <c r="O1211" s="129"/>
      <c r="P1211" s="148"/>
      <c r="Q1211" s="174"/>
    </row>
    <row r="1212" spans="1:17" s="28" customFormat="1" x14ac:dyDescent="0.25">
      <c r="A1212" s="53"/>
      <c r="B1212" s="58"/>
      <c r="C1212" s="58"/>
      <c r="D1212" s="35"/>
      <c r="E1212" s="129"/>
      <c r="F1212" s="129"/>
      <c r="G1212" s="129"/>
      <c r="H1212" s="129"/>
      <c r="I1212" s="129"/>
      <c r="J1212" s="129"/>
      <c r="K1212" s="129"/>
      <c r="L1212" s="129"/>
      <c r="M1212" s="129"/>
      <c r="N1212" s="129"/>
      <c r="O1212" s="129"/>
      <c r="P1212" s="148"/>
      <c r="Q1212" s="174"/>
    </row>
    <row r="1213" spans="1:17" s="28" customFormat="1" x14ac:dyDescent="0.25">
      <c r="A1213" s="53"/>
      <c r="B1213" s="58"/>
      <c r="C1213" s="58"/>
      <c r="D1213" s="35"/>
      <c r="E1213" s="129"/>
      <c r="F1213" s="129"/>
      <c r="G1213" s="129"/>
      <c r="H1213" s="129"/>
      <c r="I1213" s="129"/>
      <c r="J1213" s="129"/>
      <c r="K1213" s="129"/>
      <c r="L1213" s="129"/>
      <c r="M1213" s="129"/>
      <c r="N1213" s="129"/>
      <c r="O1213" s="129"/>
      <c r="P1213" s="148"/>
      <c r="Q1213" s="174"/>
    </row>
    <row r="1214" spans="1:17" s="28" customFormat="1" x14ac:dyDescent="0.25">
      <c r="A1214" s="53"/>
      <c r="B1214" s="58"/>
      <c r="C1214" s="58"/>
      <c r="D1214" s="35"/>
      <c r="E1214" s="129"/>
      <c r="F1214" s="129"/>
      <c r="G1214" s="129"/>
      <c r="H1214" s="129"/>
      <c r="I1214" s="129"/>
      <c r="J1214" s="129"/>
      <c r="K1214" s="129"/>
      <c r="L1214" s="129"/>
      <c r="M1214" s="129"/>
      <c r="N1214" s="129"/>
      <c r="O1214" s="129"/>
      <c r="P1214" s="148"/>
      <c r="Q1214" s="174"/>
    </row>
    <row r="1215" spans="1:17" s="28" customFormat="1" x14ac:dyDescent="0.25">
      <c r="A1215" s="53"/>
      <c r="B1215" s="58"/>
      <c r="C1215" s="58"/>
      <c r="D1215" s="35"/>
      <c r="E1215" s="129"/>
      <c r="F1215" s="129"/>
      <c r="G1215" s="129"/>
      <c r="H1215" s="129"/>
      <c r="I1215" s="129"/>
      <c r="J1215" s="129"/>
      <c r="K1215" s="129"/>
      <c r="L1215" s="129"/>
      <c r="M1215" s="129"/>
      <c r="N1215" s="129"/>
      <c r="O1215" s="129"/>
      <c r="P1215" s="148"/>
      <c r="Q1215" s="174"/>
    </row>
    <row r="1216" spans="1:17" s="28" customFormat="1" x14ac:dyDescent="0.25">
      <c r="A1216" s="53"/>
      <c r="B1216" s="58"/>
      <c r="C1216" s="58"/>
      <c r="D1216" s="35"/>
      <c r="E1216" s="129"/>
      <c r="F1216" s="129"/>
      <c r="G1216" s="129"/>
      <c r="H1216" s="129"/>
      <c r="I1216" s="129"/>
      <c r="J1216" s="129"/>
      <c r="K1216" s="129"/>
      <c r="L1216" s="129"/>
      <c r="M1216" s="129"/>
      <c r="N1216" s="129"/>
      <c r="O1216" s="129"/>
      <c r="P1216" s="148"/>
      <c r="Q1216" s="174"/>
    </row>
    <row r="1217" spans="1:17" s="28" customFormat="1" x14ac:dyDescent="0.25">
      <c r="A1217" s="53"/>
      <c r="B1217" s="58"/>
      <c r="C1217" s="58"/>
      <c r="D1217" s="35"/>
      <c r="E1217" s="129"/>
      <c r="F1217" s="129"/>
      <c r="G1217" s="129"/>
      <c r="H1217" s="129"/>
      <c r="I1217" s="129"/>
      <c r="J1217" s="129"/>
      <c r="K1217" s="129"/>
      <c r="L1217" s="129"/>
      <c r="M1217" s="129"/>
      <c r="N1217" s="129"/>
      <c r="O1217" s="129"/>
      <c r="P1217" s="148"/>
      <c r="Q1217" s="174"/>
    </row>
    <row r="1218" spans="1:17" s="28" customFormat="1" x14ac:dyDescent="0.25">
      <c r="A1218" s="53"/>
      <c r="B1218" s="58"/>
      <c r="C1218" s="58"/>
      <c r="D1218" s="35"/>
      <c r="E1218" s="129"/>
      <c r="F1218" s="129"/>
      <c r="G1218" s="129"/>
      <c r="H1218" s="129"/>
      <c r="I1218" s="129"/>
      <c r="J1218" s="129"/>
      <c r="K1218" s="129"/>
      <c r="L1218" s="129"/>
      <c r="M1218" s="129"/>
      <c r="N1218" s="129"/>
      <c r="O1218" s="129"/>
      <c r="P1218" s="148"/>
      <c r="Q1218" s="174"/>
    </row>
    <row r="1219" spans="1:17" s="28" customFormat="1" x14ac:dyDescent="0.25">
      <c r="A1219" s="53"/>
      <c r="B1219" s="58"/>
      <c r="C1219" s="58"/>
      <c r="D1219" s="35"/>
      <c r="E1219" s="129"/>
      <c r="F1219" s="129"/>
      <c r="G1219" s="129"/>
      <c r="H1219" s="129"/>
      <c r="I1219" s="129"/>
      <c r="J1219" s="129"/>
      <c r="K1219" s="129"/>
      <c r="L1219" s="129"/>
      <c r="M1219" s="129"/>
      <c r="N1219" s="129"/>
      <c r="O1219" s="129"/>
      <c r="P1219" s="148"/>
      <c r="Q1219" s="174"/>
    </row>
    <row r="1220" spans="1:17" s="28" customFormat="1" x14ac:dyDescent="0.25">
      <c r="A1220" s="53"/>
      <c r="B1220" s="58"/>
      <c r="C1220" s="58"/>
      <c r="D1220" s="35"/>
      <c r="E1220" s="129"/>
      <c r="F1220" s="129"/>
      <c r="G1220" s="129"/>
      <c r="H1220" s="129"/>
      <c r="I1220" s="129"/>
      <c r="J1220" s="129"/>
      <c r="K1220" s="129"/>
      <c r="L1220" s="129"/>
      <c r="M1220" s="129"/>
      <c r="N1220" s="129"/>
      <c r="O1220" s="129"/>
      <c r="P1220" s="148"/>
      <c r="Q1220" s="174"/>
    </row>
    <row r="1221" spans="1:17" s="28" customFormat="1" x14ac:dyDescent="0.25">
      <c r="A1221" s="53"/>
      <c r="B1221" s="58"/>
      <c r="C1221" s="58"/>
      <c r="D1221" s="35"/>
      <c r="E1221" s="129"/>
      <c r="F1221" s="129"/>
      <c r="G1221" s="129"/>
      <c r="H1221" s="129"/>
      <c r="I1221" s="129"/>
      <c r="J1221" s="129"/>
      <c r="K1221" s="129"/>
      <c r="L1221" s="129"/>
      <c r="M1221" s="129"/>
      <c r="N1221" s="129"/>
      <c r="O1221" s="129"/>
      <c r="P1221" s="148"/>
      <c r="Q1221" s="174"/>
    </row>
    <row r="1222" spans="1:17" s="28" customFormat="1" x14ac:dyDescent="0.25">
      <c r="A1222" s="53"/>
      <c r="B1222" s="58"/>
      <c r="C1222" s="58"/>
      <c r="D1222" s="35"/>
      <c r="E1222" s="129"/>
      <c r="F1222" s="129"/>
      <c r="G1222" s="129"/>
      <c r="H1222" s="129"/>
      <c r="I1222" s="129"/>
      <c r="J1222" s="129"/>
      <c r="K1222" s="129"/>
      <c r="L1222" s="129"/>
      <c r="M1222" s="129"/>
      <c r="N1222" s="129"/>
      <c r="O1222" s="129"/>
      <c r="P1222" s="148"/>
      <c r="Q1222" s="174"/>
    </row>
    <row r="1223" spans="1:17" s="28" customFormat="1" x14ac:dyDescent="0.25">
      <c r="A1223" s="53"/>
      <c r="B1223" s="58"/>
      <c r="C1223" s="58"/>
      <c r="D1223" s="35"/>
      <c r="E1223" s="129"/>
      <c r="F1223" s="129"/>
      <c r="G1223" s="129"/>
      <c r="H1223" s="129"/>
      <c r="I1223" s="129"/>
      <c r="J1223" s="129"/>
      <c r="K1223" s="129"/>
      <c r="L1223" s="129"/>
      <c r="M1223" s="129"/>
      <c r="N1223" s="129"/>
      <c r="O1223" s="129"/>
      <c r="P1223" s="148"/>
      <c r="Q1223" s="174"/>
    </row>
    <row r="1224" spans="1:17" s="28" customFormat="1" x14ac:dyDescent="0.25">
      <c r="A1224" s="53"/>
      <c r="B1224" s="58"/>
      <c r="C1224" s="58"/>
      <c r="D1224" s="35"/>
      <c r="E1224" s="129"/>
      <c r="F1224" s="129"/>
      <c r="G1224" s="129"/>
      <c r="H1224" s="129"/>
      <c r="I1224" s="129"/>
      <c r="J1224" s="129"/>
      <c r="K1224" s="129"/>
      <c r="L1224" s="129"/>
      <c r="M1224" s="129"/>
      <c r="N1224" s="129"/>
      <c r="O1224" s="129"/>
      <c r="P1224" s="148"/>
      <c r="Q1224" s="174"/>
    </row>
    <row r="1225" spans="1:17" s="28" customFormat="1" x14ac:dyDescent="0.25">
      <c r="A1225" s="53"/>
      <c r="B1225" s="58"/>
      <c r="C1225" s="58"/>
      <c r="D1225" s="35"/>
      <c r="E1225" s="129"/>
      <c r="F1225" s="129"/>
      <c r="G1225" s="129"/>
      <c r="H1225" s="129"/>
      <c r="I1225" s="129"/>
      <c r="J1225" s="129"/>
      <c r="K1225" s="129"/>
      <c r="L1225" s="129"/>
      <c r="M1225" s="129"/>
      <c r="N1225" s="129"/>
      <c r="O1225" s="129"/>
      <c r="P1225" s="148"/>
      <c r="Q1225" s="174"/>
    </row>
    <row r="1226" spans="1:17" s="28" customFormat="1" x14ac:dyDescent="0.25">
      <c r="A1226" s="53"/>
      <c r="B1226" s="58"/>
      <c r="C1226" s="58"/>
      <c r="D1226" s="35"/>
      <c r="E1226" s="129"/>
      <c r="F1226" s="129"/>
      <c r="G1226" s="129"/>
      <c r="H1226" s="129"/>
      <c r="I1226" s="129"/>
      <c r="J1226" s="129"/>
      <c r="K1226" s="129"/>
      <c r="L1226" s="129"/>
      <c r="M1226" s="129"/>
      <c r="N1226" s="129"/>
      <c r="O1226" s="129"/>
      <c r="P1226" s="148"/>
      <c r="Q1226" s="174"/>
    </row>
    <row r="1227" spans="1:17" s="28" customFormat="1" x14ac:dyDescent="0.25">
      <c r="A1227" s="53"/>
      <c r="B1227" s="58"/>
      <c r="C1227" s="58"/>
      <c r="D1227" s="35"/>
      <c r="E1227" s="129"/>
      <c r="F1227" s="129"/>
      <c r="G1227" s="129"/>
      <c r="H1227" s="129"/>
      <c r="I1227" s="129"/>
      <c r="J1227" s="129"/>
      <c r="K1227" s="129"/>
      <c r="L1227" s="129"/>
      <c r="M1227" s="129"/>
      <c r="N1227" s="129"/>
      <c r="O1227" s="129"/>
      <c r="P1227" s="148"/>
      <c r="Q1227" s="174"/>
    </row>
    <row r="1228" spans="1:17" s="28" customFormat="1" x14ac:dyDescent="0.25">
      <c r="A1228" s="53"/>
      <c r="B1228" s="58"/>
      <c r="C1228" s="58"/>
      <c r="D1228" s="35"/>
      <c r="E1228" s="129"/>
      <c r="F1228" s="129"/>
      <c r="G1228" s="129"/>
      <c r="H1228" s="129"/>
      <c r="I1228" s="129"/>
      <c r="J1228" s="129"/>
      <c r="K1228" s="129"/>
      <c r="L1228" s="129"/>
      <c r="M1228" s="129"/>
      <c r="N1228" s="129"/>
      <c r="O1228" s="129"/>
      <c r="P1228" s="148"/>
      <c r="Q1228" s="174"/>
    </row>
    <row r="1229" spans="1:17" s="28" customFormat="1" x14ac:dyDescent="0.25">
      <c r="A1229" s="53"/>
      <c r="B1229" s="58"/>
      <c r="C1229" s="58"/>
      <c r="D1229" s="35"/>
      <c r="E1229" s="129"/>
      <c r="F1229" s="129"/>
      <c r="G1229" s="129"/>
      <c r="H1229" s="129"/>
      <c r="I1229" s="129"/>
      <c r="J1229" s="129"/>
      <c r="K1229" s="129"/>
      <c r="L1229" s="129"/>
      <c r="M1229" s="129"/>
      <c r="N1229" s="129"/>
      <c r="O1229" s="129"/>
      <c r="P1229" s="148"/>
      <c r="Q1229" s="174"/>
    </row>
    <row r="1230" spans="1:17" s="28" customFormat="1" x14ac:dyDescent="0.25">
      <c r="A1230" s="53"/>
      <c r="B1230" s="58"/>
      <c r="C1230" s="58"/>
      <c r="D1230" s="35"/>
      <c r="E1230" s="129"/>
      <c r="F1230" s="129"/>
      <c r="G1230" s="129"/>
      <c r="H1230" s="129"/>
      <c r="I1230" s="129"/>
      <c r="J1230" s="129"/>
      <c r="K1230" s="129"/>
      <c r="L1230" s="129"/>
      <c r="M1230" s="129"/>
      <c r="N1230" s="129"/>
      <c r="O1230" s="129"/>
      <c r="P1230" s="148"/>
      <c r="Q1230" s="174"/>
    </row>
    <row r="1231" spans="1:17" s="28" customFormat="1" x14ac:dyDescent="0.25">
      <c r="A1231" s="53"/>
      <c r="B1231" s="58"/>
      <c r="C1231" s="58"/>
      <c r="D1231" s="35"/>
      <c r="E1231" s="129"/>
      <c r="F1231" s="129"/>
      <c r="G1231" s="129"/>
      <c r="H1231" s="129"/>
      <c r="I1231" s="129"/>
      <c r="J1231" s="129"/>
      <c r="K1231" s="129"/>
      <c r="L1231" s="129"/>
      <c r="M1231" s="129"/>
      <c r="N1231" s="129"/>
      <c r="O1231" s="129"/>
      <c r="P1231" s="148"/>
      <c r="Q1231" s="174"/>
    </row>
    <row r="1232" spans="1:17" s="28" customFormat="1" x14ac:dyDescent="0.25">
      <c r="A1232" s="53"/>
      <c r="B1232" s="58"/>
      <c r="C1232" s="58"/>
      <c r="D1232" s="35"/>
      <c r="E1232" s="129"/>
      <c r="F1232" s="129"/>
      <c r="G1232" s="129"/>
      <c r="H1232" s="129"/>
      <c r="I1232" s="129"/>
      <c r="J1232" s="129"/>
      <c r="K1232" s="129"/>
      <c r="L1232" s="129"/>
      <c r="M1232" s="129"/>
      <c r="N1232" s="129"/>
      <c r="O1232" s="129"/>
      <c r="P1232" s="148"/>
      <c r="Q1232" s="174"/>
    </row>
    <row r="1233" spans="1:17" s="28" customFormat="1" x14ac:dyDescent="0.25">
      <c r="A1233" s="53"/>
      <c r="B1233" s="58"/>
      <c r="C1233" s="58"/>
      <c r="D1233" s="35"/>
      <c r="E1233" s="129"/>
      <c r="F1233" s="129"/>
      <c r="G1233" s="129"/>
      <c r="H1233" s="129"/>
      <c r="I1233" s="129"/>
      <c r="J1233" s="129"/>
      <c r="K1233" s="129"/>
      <c r="L1233" s="129"/>
      <c r="M1233" s="129"/>
      <c r="N1233" s="129"/>
      <c r="O1233" s="129"/>
      <c r="P1233" s="148"/>
      <c r="Q1233" s="174"/>
    </row>
    <row r="1234" spans="1:17" s="28" customFormat="1" x14ac:dyDescent="0.25">
      <c r="A1234" s="53"/>
      <c r="B1234" s="58"/>
      <c r="C1234" s="58"/>
      <c r="D1234" s="35"/>
      <c r="E1234" s="129"/>
      <c r="F1234" s="129"/>
      <c r="G1234" s="129"/>
      <c r="H1234" s="129"/>
      <c r="I1234" s="129"/>
      <c r="J1234" s="129"/>
      <c r="K1234" s="129"/>
      <c r="L1234" s="129"/>
      <c r="M1234" s="129"/>
      <c r="N1234" s="129"/>
      <c r="O1234" s="129"/>
      <c r="P1234" s="148"/>
      <c r="Q1234" s="174"/>
    </row>
    <row r="1235" spans="1:17" s="28" customFormat="1" x14ac:dyDescent="0.25">
      <c r="A1235" s="53"/>
      <c r="B1235" s="58"/>
      <c r="C1235" s="58"/>
      <c r="D1235" s="35"/>
      <c r="E1235" s="129"/>
      <c r="F1235" s="129"/>
      <c r="G1235" s="129"/>
      <c r="H1235" s="129"/>
      <c r="I1235" s="129"/>
      <c r="J1235" s="129"/>
      <c r="K1235" s="129"/>
      <c r="L1235" s="129"/>
      <c r="M1235" s="129"/>
      <c r="N1235" s="129"/>
      <c r="O1235" s="129"/>
      <c r="P1235" s="148"/>
      <c r="Q1235" s="174"/>
    </row>
    <row r="1236" spans="1:17" s="28" customFormat="1" x14ac:dyDescent="0.25">
      <c r="A1236" s="53"/>
      <c r="B1236" s="58"/>
      <c r="C1236" s="58"/>
      <c r="D1236" s="35"/>
      <c r="E1236" s="129"/>
      <c r="F1236" s="129"/>
      <c r="G1236" s="129"/>
      <c r="H1236" s="129"/>
      <c r="I1236" s="129"/>
      <c r="J1236" s="129"/>
      <c r="K1236" s="129"/>
      <c r="L1236" s="129"/>
      <c r="M1236" s="129"/>
      <c r="N1236" s="129"/>
      <c r="O1236" s="129"/>
      <c r="P1236" s="148"/>
      <c r="Q1236" s="174"/>
    </row>
    <row r="1237" spans="1:17" s="28" customFormat="1" x14ac:dyDescent="0.25">
      <c r="A1237" s="53"/>
      <c r="B1237" s="58"/>
      <c r="C1237" s="58"/>
      <c r="D1237" s="35"/>
      <c r="E1237" s="129"/>
      <c r="F1237" s="129"/>
      <c r="G1237" s="129"/>
      <c r="H1237" s="129"/>
      <c r="I1237" s="129"/>
      <c r="J1237" s="129"/>
      <c r="K1237" s="129"/>
      <c r="L1237" s="129"/>
      <c r="M1237" s="129"/>
      <c r="N1237" s="129"/>
      <c r="O1237" s="129"/>
      <c r="P1237" s="148"/>
      <c r="Q1237" s="174"/>
    </row>
    <row r="1238" spans="1:17" s="28" customFormat="1" x14ac:dyDescent="0.25">
      <c r="A1238" s="53"/>
      <c r="B1238" s="58"/>
      <c r="C1238" s="58"/>
      <c r="D1238" s="35"/>
      <c r="E1238" s="129"/>
      <c r="F1238" s="129"/>
      <c r="G1238" s="129"/>
      <c r="H1238" s="129"/>
      <c r="I1238" s="129"/>
      <c r="J1238" s="129"/>
      <c r="K1238" s="129"/>
      <c r="L1238" s="129"/>
      <c r="M1238" s="129"/>
      <c r="N1238" s="129"/>
      <c r="O1238" s="129"/>
      <c r="P1238" s="148"/>
      <c r="Q1238" s="174"/>
    </row>
    <row r="1239" spans="1:17" s="28" customFormat="1" x14ac:dyDescent="0.25">
      <c r="A1239" s="53"/>
      <c r="B1239" s="58"/>
      <c r="C1239" s="58"/>
      <c r="D1239" s="35"/>
      <c r="E1239" s="129"/>
      <c r="F1239" s="129"/>
      <c r="G1239" s="129"/>
      <c r="H1239" s="129"/>
      <c r="I1239" s="129"/>
      <c r="J1239" s="129"/>
      <c r="K1239" s="129"/>
      <c r="L1239" s="129"/>
      <c r="M1239" s="129"/>
      <c r="N1239" s="129"/>
      <c r="O1239" s="129"/>
      <c r="P1239" s="148"/>
      <c r="Q1239" s="174"/>
    </row>
    <row r="1240" spans="1:17" s="28" customFormat="1" x14ac:dyDescent="0.25">
      <c r="A1240" s="53"/>
      <c r="B1240" s="58"/>
      <c r="C1240" s="58"/>
      <c r="D1240" s="35"/>
      <c r="E1240" s="129"/>
      <c r="F1240" s="129"/>
      <c r="G1240" s="129"/>
      <c r="H1240" s="129"/>
      <c r="I1240" s="129"/>
      <c r="J1240" s="129"/>
      <c r="K1240" s="129"/>
      <c r="L1240" s="129"/>
      <c r="M1240" s="129"/>
      <c r="N1240" s="129"/>
      <c r="O1240" s="129"/>
      <c r="P1240" s="148"/>
      <c r="Q1240" s="174"/>
    </row>
    <row r="1241" spans="1:17" s="28" customFormat="1" x14ac:dyDescent="0.25">
      <c r="A1241" s="53"/>
      <c r="B1241" s="58"/>
      <c r="C1241" s="58"/>
      <c r="D1241" s="35"/>
      <c r="E1241" s="129"/>
      <c r="F1241" s="129"/>
      <c r="G1241" s="129"/>
      <c r="H1241" s="129"/>
      <c r="I1241" s="129"/>
      <c r="J1241" s="129"/>
      <c r="K1241" s="129"/>
      <c r="L1241" s="129"/>
      <c r="M1241" s="129"/>
      <c r="N1241" s="129"/>
      <c r="O1241" s="129"/>
      <c r="P1241" s="148"/>
      <c r="Q1241" s="174"/>
    </row>
    <row r="1242" spans="1:17" s="28" customFormat="1" x14ac:dyDescent="0.25">
      <c r="A1242" s="53"/>
      <c r="B1242" s="58"/>
      <c r="C1242" s="58"/>
      <c r="D1242" s="35"/>
      <c r="E1242" s="129"/>
      <c r="F1242" s="129"/>
      <c r="G1242" s="129"/>
      <c r="H1242" s="129"/>
      <c r="I1242" s="129"/>
      <c r="J1242" s="129"/>
      <c r="K1242" s="129"/>
      <c r="L1242" s="129"/>
      <c r="M1242" s="129"/>
      <c r="N1242" s="129"/>
      <c r="O1242" s="129"/>
      <c r="P1242" s="148"/>
      <c r="Q1242" s="174"/>
    </row>
    <row r="1243" spans="1:17" s="28" customFormat="1" x14ac:dyDescent="0.25">
      <c r="A1243" s="53"/>
      <c r="B1243" s="58"/>
      <c r="C1243" s="58"/>
      <c r="D1243" s="35"/>
      <c r="E1243" s="129"/>
      <c r="F1243" s="129"/>
      <c r="G1243" s="129"/>
      <c r="H1243" s="129"/>
      <c r="I1243" s="129"/>
      <c r="J1243" s="129"/>
      <c r="K1243" s="129"/>
      <c r="L1243" s="129"/>
      <c r="M1243" s="129"/>
      <c r="N1243" s="129"/>
      <c r="O1243" s="129"/>
      <c r="P1243" s="148"/>
      <c r="Q1243" s="174"/>
    </row>
    <row r="1244" spans="1:17" s="28" customFormat="1" x14ac:dyDescent="0.25">
      <c r="A1244" s="53"/>
      <c r="B1244" s="58"/>
      <c r="C1244" s="58"/>
      <c r="D1244" s="35"/>
      <c r="E1244" s="129"/>
      <c r="F1244" s="129"/>
      <c r="G1244" s="129"/>
      <c r="H1244" s="129"/>
      <c r="I1244" s="129"/>
      <c r="J1244" s="129"/>
      <c r="K1244" s="129"/>
      <c r="L1244" s="129"/>
      <c r="M1244" s="129"/>
      <c r="N1244" s="129"/>
      <c r="O1244" s="129"/>
      <c r="P1244" s="148"/>
      <c r="Q1244" s="174"/>
    </row>
    <row r="1245" spans="1:17" s="28" customFormat="1" x14ac:dyDescent="0.25">
      <c r="A1245" s="53"/>
      <c r="B1245" s="58"/>
      <c r="C1245" s="58"/>
      <c r="D1245" s="35"/>
      <c r="E1245" s="129"/>
      <c r="F1245" s="129"/>
      <c r="G1245" s="129"/>
      <c r="H1245" s="129"/>
      <c r="I1245" s="129"/>
      <c r="J1245" s="129"/>
      <c r="K1245" s="129"/>
      <c r="L1245" s="129"/>
      <c r="M1245" s="129"/>
      <c r="N1245" s="129"/>
      <c r="O1245" s="129"/>
      <c r="P1245" s="148"/>
      <c r="Q1245" s="174"/>
    </row>
    <row r="1246" spans="1:17" s="28" customFormat="1" x14ac:dyDescent="0.25">
      <c r="A1246" s="53"/>
      <c r="B1246" s="58"/>
      <c r="C1246" s="58"/>
      <c r="D1246" s="35"/>
      <c r="E1246" s="129"/>
      <c r="F1246" s="129"/>
      <c r="G1246" s="129"/>
      <c r="H1246" s="129"/>
      <c r="I1246" s="129"/>
      <c r="J1246" s="129"/>
      <c r="K1246" s="129"/>
      <c r="L1246" s="129"/>
      <c r="M1246" s="129"/>
      <c r="N1246" s="129"/>
      <c r="O1246" s="129"/>
      <c r="P1246" s="148"/>
      <c r="Q1246" s="174"/>
    </row>
    <row r="1247" spans="1:17" s="28" customFormat="1" x14ac:dyDescent="0.25">
      <c r="A1247" s="53"/>
      <c r="B1247" s="58"/>
      <c r="C1247" s="58"/>
      <c r="D1247" s="35"/>
      <c r="E1247" s="129"/>
      <c r="F1247" s="129"/>
      <c r="G1247" s="129"/>
      <c r="H1247" s="129"/>
      <c r="I1247" s="129"/>
      <c r="J1247" s="129"/>
      <c r="K1247" s="129"/>
      <c r="L1247" s="129"/>
      <c r="M1247" s="129"/>
      <c r="N1247" s="129"/>
      <c r="O1247" s="129"/>
      <c r="P1247" s="148"/>
      <c r="Q1247" s="174"/>
    </row>
    <row r="1248" spans="1:17" s="28" customFormat="1" x14ac:dyDescent="0.25">
      <c r="A1248" s="53"/>
      <c r="B1248" s="58"/>
      <c r="C1248" s="58"/>
      <c r="D1248" s="35"/>
      <c r="E1248" s="129"/>
      <c r="F1248" s="129"/>
      <c r="G1248" s="129"/>
      <c r="H1248" s="129"/>
      <c r="I1248" s="129"/>
      <c r="J1248" s="129"/>
      <c r="K1248" s="129"/>
      <c r="L1248" s="129"/>
      <c r="M1248" s="129"/>
      <c r="N1248" s="129"/>
      <c r="O1248" s="129"/>
      <c r="P1248" s="148"/>
      <c r="Q1248" s="174"/>
    </row>
    <row r="1249" spans="1:17" s="28" customFormat="1" x14ac:dyDescent="0.25">
      <c r="A1249" s="53"/>
      <c r="B1249" s="58"/>
      <c r="C1249" s="58"/>
      <c r="D1249" s="35"/>
      <c r="E1249" s="129"/>
      <c r="F1249" s="129"/>
      <c r="G1249" s="129"/>
      <c r="H1249" s="129"/>
      <c r="I1249" s="129"/>
      <c r="J1249" s="129"/>
      <c r="K1249" s="129"/>
      <c r="L1249" s="129"/>
      <c r="M1249" s="129"/>
      <c r="N1249" s="129"/>
      <c r="O1249" s="129"/>
      <c r="P1249" s="148"/>
      <c r="Q1249" s="174"/>
    </row>
    <row r="1250" spans="1:17" s="28" customFormat="1" x14ac:dyDescent="0.25">
      <c r="A1250" s="53"/>
      <c r="B1250" s="58"/>
      <c r="C1250" s="58"/>
      <c r="D1250" s="35"/>
      <c r="E1250" s="129"/>
      <c r="F1250" s="129"/>
      <c r="G1250" s="129"/>
      <c r="H1250" s="129"/>
      <c r="I1250" s="129"/>
      <c r="J1250" s="129"/>
      <c r="K1250" s="129"/>
      <c r="L1250" s="129"/>
      <c r="M1250" s="129"/>
      <c r="N1250" s="129"/>
      <c r="O1250" s="129"/>
      <c r="P1250" s="148"/>
      <c r="Q1250" s="174"/>
    </row>
    <row r="1251" spans="1:17" s="28" customFormat="1" x14ac:dyDescent="0.25">
      <c r="A1251" s="53"/>
      <c r="B1251" s="58"/>
      <c r="C1251" s="58"/>
      <c r="D1251" s="35"/>
      <c r="E1251" s="129"/>
      <c r="F1251" s="129"/>
      <c r="G1251" s="129"/>
      <c r="H1251" s="129"/>
      <c r="I1251" s="129"/>
      <c r="J1251" s="129"/>
      <c r="K1251" s="129"/>
      <c r="L1251" s="129"/>
      <c r="M1251" s="129"/>
      <c r="N1251" s="129"/>
      <c r="O1251" s="129"/>
      <c r="P1251" s="148"/>
      <c r="Q1251" s="174"/>
    </row>
    <row r="1252" spans="1:17" s="28" customFormat="1" x14ac:dyDescent="0.25">
      <c r="A1252" s="53"/>
      <c r="B1252" s="58"/>
      <c r="C1252" s="58"/>
      <c r="D1252" s="35"/>
      <c r="E1252" s="129"/>
      <c r="F1252" s="129"/>
      <c r="G1252" s="129"/>
      <c r="H1252" s="129"/>
      <c r="I1252" s="129"/>
      <c r="J1252" s="129"/>
      <c r="K1252" s="129"/>
      <c r="L1252" s="129"/>
      <c r="M1252" s="129"/>
      <c r="N1252" s="129"/>
      <c r="O1252" s="129"/>
      <c r="P1252" s="148"/>
      <c r="Q1252" s="174"/>
    </row>
    <row r="1253" spans="1:17" s="28" customFormat="1" x14ac:dyDescent="0.25">
      <c r="A1253" s="53"/>
      <c r="B1253" s="58"/>
      <c r="C1253" s="58"/>
      <c r="D1253" s="35"/>
      <c r="E1253" s="129"/>
      <c r="F1253" s="129"/>
      <c r="G1253" s="129"/>
      <c r="H1253" s="129"/>
      <c r="I1253" s="129"/>
      <c r="J1253" s="129"/>
      <c r="K1253" s="129"/>
      <c r="L1253" s="129"/>
      <c r="M1253" s="129"/>
      <c r="N1253" s="129"/>
      <c r="O1253" s="129"/>
      <c r="P1253" s="148"/>
      <c r="Q1253" s="174"/>
    </row>
    <row r="1254" spans="1:17" s="28" customFormat="1" x14ac:dyDescent="0.25">
      <c r="A1254" s="53"/>
      <c r="B1254" s="58"/>
      <c r="C1254" s="58"/>
      <c r="D1254" s="35"/>
      <c r="E1254" s="129"/>
      <c r="F1254" s="129"/>
      <c r="G1254" s="129"/>
      <c r="H1254" s="129"/>
      <c r="I1254" s="129"/>
      <c r="J1254" s="129"/>
      <c r="K1254" s="129"/>
      <c r="L1254" s="129"/>
      <c r="M1254" s="129"/>
      <c r="N1254" s="129"/>
      <c r="O1254" s="129"/>
      <c r="P1254" s="148"/>
      <c r="Q1254" s="174"/>
    </row>
    <row r="1255" spans="1:17" s="28" customFormat="1" x14ac:dyDescent="0.25">
      <c r="A1255" s="53"/>
      <c r="B1255" s="58"/>
      <c r="C1255" s="58"/>
      <c r="D1255" s="35"/>
      <c r="E1255" s="129"/>
      <c r="F1255" s="129"/>
      <c r="G1255" s="129"/>
      <c r="H1255" s="129"/>
      <c r="I1255" s="129"/>
      <c r="J1255" s="129"/>
      <c r="K1255" s="129"/>
      <c r="L1255" s="129"/>
      <c r="M1255" s="129"/>
      <c r="N1255" s="129"/>
      <c r="O1255" s="129"/>
      <c r="P1255" s="148"/>
      <c r="Q1255" s="174"/>
    </row>
    <row r="1256" spans="1:17" s="28" customFormat="1" x14ac:dyDescent="0.25">
      <c r="A1256" s="53"/>
      <c r="B1256" s="58"/>
      <c r="C1256" s="58"/>
      <c r="D1256" s="35"/>
      <c r="E1256" s="129"/>
      <c r="F1256" s="129"/>
      <c r="G1256" s="129"/>
      <c r="H1256" s="129"/>
      <c r="I1256" s="129"/>
      <c r="J1256" s="129"/>
      <c r="K1256" s="129"/>
      <c r="L1256" s="129"/>
      <c r="M1256" s="129"/>
      <c r="N1256" s="129"/>
      <c r="O1256" s="129"/>
      <c r="P1256" s="148"/>
      <c r="Q1256" s="174"/>
    </row>
    <row r="1257" spans="1:17" s="28" customFormat="1" x14ac:dyDescent="0.25">
      <c r="A1257" s="53"/>
      <c r="B1257" s="58"/>
      <c r="C1257" s="58"/>
      <c r="D1257" s="35"/>
      <c r="E1257" s="129"/>
      <c r="F1257" s="129"/>
      <c r="G1257" s="129"/>
      <c r="H1257" s="129"/>
      <c r="I1257" s="129"/>
      <c r="J1257" s="129"/>
      <c r="K1257" s="129"/>
      <c r="L1257" s="129"/>
      <c r="M1257" s="129"/>
      <c r="N1257" s="129"/>
      <c r="O1257" s="129"/>
      <c r="P1257" s="148"/>
      <c r="Q1257" s="174"/>
    </row>
    <row r="1258" spans="1:17" s="28" customFormat="1" x14ac:dyDescent="0.25">
      <c r="A1258" s="53"/>
      <c r="B1258" s="58"/>
      <c r="C1258" s="58"/>
      <c r="D1258" s="35"/>
      <c r="E1258" s="129"/>
      <c r="F1258" s="129"/>
      <c r="G1258" s="129"/>
      <c r="H1258" s="129"/>
      <c r="I1258" s="129"/>
      <c r="J1258" s="129"/>
      <c r="K1258" s="129"/>
      <c r="L1258" s="129"/>
      <c r="M1258" s="129"/>
      <c r="N1258" s="129"/>
      <c r="O1258" s="129"/>
      <c r="P1258" s="148"/>
      <c r="Q1258" s="174"/>
    </row>
    <row r="1259" spans="1:17" s="28" customFormat="1" x14ac:dyDescent="0.25">
      <c r="A1259" s="53"/>
      <c r="B1259" s="58"/>
      <c r="C1259" s="58"/>
      <c r="D1259" s="35"/>
      <c r="E1259" s="129"/>
      <c r="F1259" s="129"/>
      <c r="G1259" s="129"/>
      <c r="H1259" s="129"/>
      <c r="I1259" s="129"/>
      <c r="J1259" s="129"/>
      <c r="K1259" s="129"/>
      <c r="L1259" s="129"/>
      <c r="M1259" s="129"/>
      <c r="N1259" s="129"/>
      <c r="O1259" s="129"/>
      <c r="P1259" s="148"/>
      <c r="Q1259" s="174"/>
    </row>
    <row r="1260" spans="1:17" s="28" customFormat="1" x14ac:dyDescent="0.25">
      <c r="A1260" s="53"/>
      <c r="B1260" s="58"/>
      <c r="C1260" s="58"/>
      <c r="D1260" s="35"/>
      <c r="E1260" s="129"/>
      <c r="F1260" s="129"/>
      <c r="G1260" s="129"/>
      <c r="H1260" s="129"/>
      <c r="I1260" s="129"/>
      <c r="J1260" s="129"/>
      <c r="K1260" s="129"/>
      <c r="L1260" s="129"/>
      <c r="M1260" s="129"/>
      <c r="N1260" s="129"/>
      <c r="O1260" s="129"/>
      <c r="P1260" s="148"/>
      <c r="Q1260" s="174"/>
    </row>
    <row r="1261" spans="1:17" s="28" customFormat="1" x14ac:dyDescent="0.25">
      <c r="A1261" s="53"/>
      <c r="B1261" s="58"/>
      <c r="C1261" s="58"/>
      <c r="D1261" s="35"/>
      <c r="E1261" s="129"/>
      <c r="F1261" s="129"/>
      <c r="G1261" s="129"/>
      <c r="H1261" s="129"/>
      <c r="I1261" s="129"/>
      <c r="J1261" s="129"/>
      <c r="K1261" s="129"/>
      <c r="L1261" s="129"/>
      <c r="M1261" s="129"/>
      <c r="N1261" s="129"/>
      <c r="O1261" s="129"/>
      <c r="P1261" s="148"/>
      <c r="Q1261" s="174"/>
    </row>
    <row r="1262" spans="1:17" s="28" customFormat="1" x14ac:dyDescent="0.25">
      <c r="A1262" s="53"/>
      <c r="B1262" s="58"/>
      <c r="C1262" s="58"/>
      <c r="D1262" s="35"/>
      <c r="E1262" s="129"/>
      <c r="F1262" s="129"/>
      <c r="G1262" s="129"/>
      <c r="H1262" s="129"/>
      <c r="I1262" s="129"/>
      <c r="J1262" s="129"/>
      <c r="K1262" s="129"/>
      <c r="L1262" s="129"/>
      <c r="M1262" s="129"/>
      <c r="N1262" s="129"/>
      <c r="O1262" s="129"/>
      <c r="P1262" s="148"/>
      <c r="Q1262" s="174"/>
    </row>
    <row r="1263" spans="1:17" s="28" customFormat="1" x14ac:dyDescent="0.25">
      <c r="A1263" s="53"/>
      <c r="B1263" s="58"/>
      <c r="C1263" s="58"/>
      <c r="D1263" s="35"/>
      <c r="E1263" s="129"/>
      <c r="F1263" s="129"/>
      <c r="G1263" s="129"/>
      <c r="H1263" s="129"/>
      <c r="I1263" s="129"/>
      <c r="J1263" s="129"/>
      <c r="K1263" s="129"/>
      <c r="L1263" s="129"/>
      <c r="M1263" s="129"/>
      <c r="N1263" s="129"/>
      <c r="O1263" s="129"/>
      <c r="P1263" s="148"/>
      <c r="Q1263" s="174"/>
    </row>
    <row r="1264" spans="1:17" s="28" customFormat="1" x14ac:dyDescent="0.25">
      <c r="A1264" s="53"/>
      <c r="B1264" s="58"/>
      <c r="C1264" s="58"/>
      <c r="D1264" s="35"/>
      <c r="E1264" s="129"/>
      <c r="F1264" s="129"/>
      <c r="G1264" s="129"/>
      <c r="H1264" s="129"/>
      <c r="I1264" s="129"/>
      <c r="J1264" s="129"/>
      <c r="K1264" s="129"/>
      <c r="L1264" s="129"/>
      <c r="M1264" s="129"/>
      <c r="N1264" s="129"/>
      <c r="O1264" s="129"/>
      <c r="P1264" s="148"/>
      <c r="Q1264" s="174"/>
    </row>
    <row r="1265" spans="1:17" s="28" customFormat="1" x14ac:dyDescent="0.25">
      <c r="A1265" s="53"/>
      <c r="B1265" s="58"/>
      <c r="C1265" s="58"/>
      <c r="D1265" s="35"/>
      <c r="E1265" s="129"/>
      <c r="F1265" s="129"/>
      <c r="G1265" s="129"/>
      <c r="H1265" s="129"/>
      <c r="I1265" s="129"/>
      <c r="J1265" s="129"/>
      <c r="K1265" s="129"/>
      <c r="L1265" s="129"/>
      <c r="M1265" s="129"/>
      <c r="N1265" s="129"/>
      <c r="O1265" s="129"/>
      <c r="P1265" s="148"/>
      <c r="Q1265" s="174"/>
    </row>
    <row r="1266" spans="1:17" s="28" customFormat="1" x14ac:dyDescent="0.25">
      <c r="A1266" s="53"/>
      <c r="B1266" s="58"/>
      <c r="C1266" s="58"/>
      <c r="D1266" s="35"/>
      <c r="E1266" s="129"/>
      <c r="F1266" s="129"/>
      <c r="G1266" s="129"/>
      <c r="H1266" s="129"/>
      <c r="I1266" s="129"/>
      <c r="J1266" s="129"/>
      <c r="K1266" s="129"/>
      <c r="L1266" s="129"/>
      <c r="M1266" s="129"/>
      <c r="N1266" s="129"/>
      <c r="O1266" s="129"/>
      <c r="P1266" s="148"/>
      <c r="Q1266" s="174"/>
    </row>
    <row r="1267" spans="1:17" s="28" customFormat="1" x14ac:dyDescent="0.25">
      <c r="A1267" s="53"/>
      <c r="B1267" s="58"/>
      <c r="C1267" s="58"/>
      <c r="D1267" s="35"/>
      <c r="E1267" s="129"/>
      <c r="F1267" s="129"/>
      <c r="G1267" s="129"/>
      <c r="H1267" s="129"/>
      <c r="I1267" s="129"/>
      <c r="J1267" s="129"/>
      <c r="K1267" s="129"/>
      <c r="L1267" s="129"/>
      <c r="M1267" s="129"/>
      <c r="N1267" s="129"/>
      <c r="O1267" s="129"/>
      <c r="P1267" s="148"/>
      <c r="Q1267" s="174"/>
    </row>
    <row r="1268" spans="1:17" s="28" customFormat="1" x14ac:dyDescent="0.25">
      <c r="A1268" s="53"/>
      <c r="B1268" s="58"/>
      <c r="C1268" s="58"/>
      <c r="D1268" s="35"/>
      <c r="E1268" s="129"/>
      <c r="F1268" s="129"/>
      <c r="G1268" s="129"/>
      <c r="H1268" s="129"/>
      <c r="I1268" s="129"/>
      <c r="J1268" s="129"/>
      <c r="K1268" s="129"/>
      <c r="L1268" s="129"/>
      <c r="M1268" s="129"/>
      <c r="N1268" s="129"/>
      <c r="O1268" s="129"/>
      <c r="P1268" s="148"/>
      <c r="Q1268" s="174"/>
    </row>
    <row r="1269" spans="1:17" s="28" customFormat="1" x14ac:dyDescent="0.25">
      <c r="A1269" s="53"/>
      <c r="B1269" s="58"/>
      <c r="C1269" s="58"/>
      <c r="D1269" s="35"/>
      <c r="E1269" s="129"/>
      <c r="F1269" s="129"/>
      <c r="G1269" s="129"/>
      <c r="H1269" s="129"/>
      <c r="I1269" s="129"/>
      <c r="J1269" s="129"/>
      <c r="K1269" s="129"/>
      <c r="L1269" s="129"/>
      <c r="M1269" s="129"/>
      <c r="N1269" s="129"/>
      <c r="O1269" s="129"/>
      <c r="P1269" s="148"/>
      <c r="Q1269" s="174"/>
    </row>
    <row r="1270" spans="1:17" s="28" customFormat="1" x14ac:dyDescent="0.25">
      <c r="A1270" s="53"/>
      <c r="B1270" s="58"/>
      <c r="C1270" s="58"/>
      <c r="D1270" s="35"/>
      <c r="E1270" s="129"/>
      <c r="F1270" s="129"/>
      <c r="G1270" s="129"/>
      <c r="H1270" s="129"/>
      <c r="I1270" s="129"/>
      <c r="J1270" s="129"/>
      <c r="K1270" s="129"/>
      <c r="L1270" s="129"/>
      <c r="M1270" s="129"/>
      <c r="N1270" s="129"/>
      <c r="O1270" s="129"/>
      <c r="P1270" s="148"/>
      <c r="Q1270" s="174"/>
    </row>
    <row r="1271" spans="1:17" s="28" customFormat="1" x14ac:dyDescent="0.25">
      <c r="A1271" s="53"/>
      <c r="B1271" s="58"/>
      <c r="C1271" s="58"/>
      <c r="D1271" s="35"/>
      <c r="E1271" s="129"/>
      <c r="F1271" s="129"/>
      <c r="G1271" s="129"/>
      <c r="H1271" s="129"/>
      <c r="I1271" s="129"/>
      <c r="J1271" s="129"/>
      <c r="K1271" s="129"/>
      <c r="L1271" s="129"/>
      <c r="M1271" s="129"/>
      <c r="N1271" s="129"/>
      <c r="O1271" s="129"/>
      <c r="P1271" s="148"/>
      <c r="Q1271" s="174"/>
    </row>
    <row r="1272" spans="1:17" s="28" customFormat="1" x14ac:dyDescent="0.25">
      <c r="A1272" s="53"/>
      <c r="B1272" s="58"/>
      <c r="C1272" s="58"/>
      <c r="D1272" s="35"/>
      <c r="E1272" s="129"/>
      <c r="F1272" s="129"/>
      <c r="G1272" s="129"/>
      <c r="H1272" s="129"/>
      <c r="I1272" s="129"/>
      <c r="J1272" s="129"/>
      <c r="K1272" s="129"/>
      <c r="L1272" s="129"/>
      <c r="M1272" s="129"/>
      <c r="N1272" s="129"/>
      <c r="O1272" s="129"/>
      <c r="P1272" s="148"/>
      <c r="Q1272" s="174"/>
    </row>
    <row r="1273" spans="1:17" s="28" customFormat="1" x14ac:dyDescent="0.25">
      <c r="A1273" s="53"/>
      <c r="B1273" s="58"/>
      <c r="C1273" s="58"/>
      <c r="D1273" s="35"/>
      <c r="E1273" s="129"/>
      <c r="F1273" s="129"/>
      <c r="G1273" s="129"/>
      <c r="H1273" s="129"/>
      <c r="I1273" s="129"/>
      <c r="J1273" s="129"/>
      <c r="K1273" s="129"/>
      <c r="L1273" s="129"/>
      <c r="M1273" s="129"/>
      <c r="N1273" s="129"/>
      <c r="O1273" s="129"/>
      <c r="P1273" s="148"/>
      <c r="Q1273" s="174"/>
    </row>
    <row r="1274" spans="1:17" s="28" customFormat="1" x14ac:dyDescent="0.25">
      <c r="A1274" s="53"/>
      <c r="B1274" s="58"/>
      <c r="C1274" s="58"/>
      <c r="D1274" s="35"/>
      <c r="E1274" s="129"/>
      <c r="F1274" s="129"/>
      <c r="G1274" s="129"/>
      <c r="H1274" s="129"/>
      <c r="I1274" s="129"/>
      <c r="J1274" s="129"/>
      <c r="K1274" s="129"/>
      <c r="L1274" s="129"/>
      <c r="M1274" s="129"/>
      <c r="N1274" s="129"/>
      <c r="O1274" s="129"/>
      <c r="P1274" s="148"/>
      <c r="Q1274" s="174"/>
    </row>
    <row r="1275" spans="1:17" s="28" customFormat="1" x14ac:dyDescent="0.25">
      <c r="A1275" s="53"/>
      <c r="B1275" s="58"/>
      <c r="C1275" s="58"/>
      <c r="D1275" s="35"/>
      <c r="E1275" s="129"/>
      <c r="F1275" s="129"/>
      <c r="G1275" s="129"/>
      <c r="H1275" s="129"/>
      <c r="I1275" s="129"/>
      <c r="J1275" s="129"/>
      <c r="K1275" s="129"/>
      <c r="L1275" s="129"/>
      <c r="M1275" s="129"/>
      <c r="N1275" s="129"/>
      <c r="O1275" s="129"/>
      <c r="P1275" s="148"/>
      <c r="Q1275" s="174"/>
    </row>
    <row r="1276" spans="1:17" s="28" customFormat="1" x14ac:dyDescent="0.25">
      <c r="A1276" s="53"/>
      <c r="B1276" s="58"/>
      <c r="C1276" s="58"/>
      <c r="D1276" s="35"/>
      <c r="E1276" s="129"/>
      <c r="F1276" s="129"/>
      <c r="G1276" s="129"/>
      <c r="H1276" s="129"/>
      <c r="I1276" s="129"/>
      <c r="J1276" s="129"/>
      <c r="K1276" s="129"/>
      <c r="L1276" s="129"/>
      <c r="M1276" s="129"/>
      <c r="N1276" s="129"/>
      <c r="O1276" s="129"/>
      <c r="P1276" s="148"/>
      <c r="Q1276" s="174"/>
    </row>
    <row r="1277" spans="1:17" s="28" customFormat="1" x14ac:dyDescent="0.25">
      <c r="A1277" s="53"/>
      <c r="B1277" s="58"/>
      <c r="C1277" s="58"/>
      <c r="D1277" s="35"/>
      <c r="E1277" s="129"/>
      <c r="F1277" s="129"/>
      <c r="G1277" s="129"/>
      <c r="H1277" s="129"/>
      <c r="I1277" s="129"/>
      <c r="J1277" s="129"/>
      <c r="K1277" s="129"/>
      <c r="L1277" s="129"/>
      <c r="M1277" s="129"/>
      <c r="N1277" s="129"/>
      <c r="O1277" s="129"/>
      <c r="P1277" s="148"/>
      <c r="Q1277" s="174"/>
    </row>
    <row r="1278" spans="1:17" s="28" customFormat="1" x14ac:dyDescent="0.25">
      <c r="A1278" s="53"/>
      <c r="B1278" s="58"/>
      <c r="C1278" s="58"/>
      <c r="D1278" s="35"/>
      <c r="E1278" s="129"/>
      <c r="F1278" s="129"/>
      <c r="G1278" s="129"/>
      <c r="H1278" s="129"/>
      <c r="I1278" s="129"/>
      <c r="J1278" s="129"/>
      <c r="K1278" s="129"/>
      <c r="L1278" s="129"/>
      <c r="M1278" s="129"/>
      <c r="N1278" s="129"/>
      <c r="O1278" s="129"/>
      <c r="P1278" s="148"/>
      <c r="Q1278" s="174"/>
    </row>
    <row r="1279" spans="1:17" s="28" customFormat="1" x14ac:dyDescent="0.25">
      <c r="A1279" s="53"/>
      <c r="B1279" s="58"/>
      <c r="C1279" s="58"/>
      <c r="D1279" s="35"/>
      <c r="E1279" s="129"/>
      <c r="F1279" s="129"/>
      <c r="G1279" s="129"/>
      <c r="H1279" s="129"/>
      <c r="I1279" s="129"/>
      <c r="J1279" s="129"/>
      <c r="K1279" s="129"/>
      <c r="L1279" s="129"/>
      <c r="M1279" s="129"/>
      <c r="N1279" s="129"/>
      <c r="O1279" s="129"/>
      <c r="P1279" s="148"/>
      <c r="Q1279" s="174"/>
    </row>
    <row r="1280" spans="1:17" s="28" customFormat="1" x14ac:dyDescent="0.25">
      <c r="A1280" s="53"/>
      <c r="B1280" s="58"/>
      <c r="C1280" s="58"/>
      <c r="D1280" s="35"/>
      <c r="E1280" s="129"/>
      <c r="F1280" s="129"/>
      <c r="G1280" s="129"/>
      <c r="H1280" s="129"/>
      <c r="I1280" s="129"/>
      <c r="J1280" s="129"/>
      <c r="K1280" s="129"/>
      <c r="L1280" s="129"/>
      <c r="M1280" s="129"/>
      <c r="N1280" s="129"/>
      <c r="O1280" s="129"/>
      <c r="P1280" s="148"/>
      <c r="Q1280" s="174"/>
    </row>
    <row r="1281" spans="1:17" s="28" customFormat="1" x14ac:dyDescent="0.25">
      <c r="A1281" s="53"/>
      <c r="B1281" s="58"/>
      <c r="C1281" s="58"/>
      <c r="D1281" s="35"/>
      <c r="E1281" s="129"/>
      <c r="F1281" s="129"/>
      <c r="G1281" s="129"/>
      <c r="H1281" s="129"/>
      <c r="I1281" s="129"/>
      <c r="J1281" s="129"/>
      <c r="K1281" s="129"/>
      <c r="L1281" s="129"/>
      <c r="M1281" s="129"/>
      <c r="N1281" s="129"/>
      <c r="O1281" s="129"/>
      <c r="P1281" s="148"/>
      <c r="Q1281" s="174"/>
    </row>
    <row r="1282" spans="1:17" s="28" customFormat="1" x14ac:dyDescent="0.25">
      <c r="A1282" s="53"/>
      <c r="B1282" s="58"/>
      <c r="C1282" s="58"/>
      <c r="D1282" s="35"/>
      <c r="E1282" s="129"/>
      <c r="F1282" s="129"/>
      <c r="G1282" s="129"/>
      <c r="H1282" s="129"/>
      <c r="I1282" s="129"/>
      <c r="J1282" s="129"/>
      <c r="K1282" s="129"/>
      <c r="L1282" s="129"/>
      <c r="M1282" s="129"/>
      <c r="N1282" s="129"/>
      <c r="O1282" s="129"/>
      <c r="P1282" s="148"/>
      <c r="Q1282" s="174"/>
    </row>
    <row r="1283" spans="1:17" s="28" customFormat="1" x14ac:dyDescent="0.25">
      <c r="A1283" s="53"/>
      <c r="B1283" s="58"/>
      <c r="C1283" s="58"/>
      <c r="D1283" s="35"/>
      <c r="E1283" s="129"/>
      <c r="F1283" s="129"/>
      <c r="G1283" s="129"/>
      <c r="H1283" s="129"/>
      <c r="I1283" s="129"/>
      <c r="J1283" s="129"/>
      <c r="K1283" s="129"/>
      <c r="L1283" s="129"/>
      <c r="M1283" s="129"/>
      <c r="N1283" s="129"/>
      <c r="O1283" s="129"/>
      <c r="P1283" s="148"/>
      <c r="Q1283" s="174"/>
    </row>
    <row r="1284" spans="1:17" s="28" customFormat="1" x14ac:dyDescent="0.25">
      <c r="A1284" s="53"/>
      <c r="B1284" s="58"/>
      <c r="C1284" s="58"/>
      <c r="D1284" s="35"/>
      <c r="E1284" s="129"/>
      <c r="F1284" s="129"/>
      <c r="G1284" s="129"/>
      <c r="H1284" s="129"/>
      <c r="I1284" s="129"/>
      <c r="J1284" s="129"/>
      <c r="K1284" s="129"/>
      <c r="L1284" s="129"/>
      <c r="M1284" s="129"/>
      <c r="N1284" s="129"/>
      <c r="O1284" s="129"/>
      <c r="P1284" s="148"/>
      <c r="Q1284" s="174"/>
    </row>
    <row r="1285" spans="1:17" s="28" customFormat="1" x14ac:dyDescent="0.25">
      <c r="A1285" s="53"/>
      <c r="B1285" s="58"/>
      <c r="C1285" s="58"/>
      <c r="D1285" s="35"/>
      <c r="E1285" s="129"/>
      <c r="F1285" s="129"/>
      <c r="G1285" s="129"/>
      <c r="H1285" s="129"/>
      <c r="I1285" s="129"/>
      <c r="J1285" s="129"/>
      <c r="K1285" s="129"/>
      <c r="L1285" s="129"/>
      <c r="M1285" s="129"/>
      <c r="N1285" s="129"/>
      <c r="O1285" s="129"/>
      <c r="P1285" s="148"/>
      <c r="Q1285" s="174"/>
    </row>
    <row r="1286" spans="1:17" s="28" customFormat="1" x14ac:dyDescent="0.25">
      <c r="A1286" s="53"/>
      <c r="B1286" s="58"/>
      <c r="C1286" s="58"/>
      <c r="D1286" s="35"/>
      <c r="E1286" s="129"/>
      <c r="F1286" s="129"/>
      <c r="G1286" s="129"/>
      <c r="H1286" s="129"/>
      <c r="I1286" s="129"/>
      <c r="J1286" s="129"/>
      <c r="K1286" s="129"/>
      <c r="L1286" s="129"/>
      <c r="M1286" s="129"/>
      <c r="N1286" s="129"/>
      <c r="O1286" s="129"/>
      <c r="P1286" s="148"/>
      <c r="Q1286" s="174"/>
    </row>
    <row r="1287" spans="1:17" s="28" customFormat="1" x14ac:dyDescent="0.25">
      <c r="A1287" s="53"/>
      <c r="B1287" s="58"/>
      <c r="C1287" s="58"/>
      <c r="D1287" s="35"/>
      <c r="E1287" s="129"/>
      <c r="F1287" s="129"/>
      <c r="G1287" s="129"/>
      <c r="H1287" s="129"/>
      <c r="I1287" s="129"/>
      <c r="J1287" s="129"/>
      <c r="K1287" s="129"/>
      <c r="L1287" s="129"/>
      <c r="M1287" s="129"/>
      <c r="N1287" s="129"/>
      <c r="O1287" s="129"/>
      <c r="P1287" s="148"/>
      <c r="Q1287" s="174"/>
    </row>
    <row r="1288" spans="1:17" s="28" customFormat="1" x14ac:dyDescent="0.25">
      <c r="A1288" s="53"/>
      <c r="B1288" s="58"/>
      <c r="C1288" s="58"/>
      <c r="D1288" s="35"/>
      <c r="E1288" s="129"/>
      <c r="F1288" s="129"/>
      <c r="G1288" s="129"/>
      <c r="H1288" s="129"/>
      <c r="I1288" s="129"/>
      <c r="J1288" s="129"/>
      <c r="K1288" s="129"/>
      <c r="L1288" s="129"/>
      <c r="M1288" s="129"/>
      <c r="N1288" s="129"/>
      <c r="O1288" s="129"/>
      <c r="P1288" s="148"/>
      <c r="Q1288" s="174"/>
    </row>
    <row r="1289" spans="1:17" s="28" customFormat="1" x14ac:dyDescent="0.25">
      <c r="A1289" s="53"/>
      <c r="B1289" s="58"/>
      <c r="C1289" s="58"/>
      <c r="D1289" s="35"/>
      <c r="E1289" s="129"/>
      <c r="F1289" s="129"/>
      <c r="G1289" s="129"/>
      <c r="H1289" s="129"/>
      <c r="I1289" s="129"/>
      <c r="J1289" s="129"/>
      <c r="K1289" s="129"/>
      <c r="L1289" s="129"/>
      <c r="M1289" s="129"/>
      <c r="N1289" s="129"/>
      <c r="O1289" s="129"/>
      <c r="P1289" s="148"/>
      <c r="Q1289" s="174"/>
    </row>
    <row r="1290" spans="1:17" s="28" customFormat="1" x14ac:dyDescent="0.25">
      <c r="A1290" s="53"/>
      <c r="B1290" s="58"/>
      <c r="C1290" s="58"/>
      <c r="D1290" s="35"/>
      <c r="E1290" s="129"/>
      <c r="F1290" s="129"/>
      <c r="G1290" s="129"/>
      <c r="H1290" s="129"/>
      <c r="I1290" s="129"/>
      <c r="J1290" s="129"/>
      <c r="K1290" s="129"/>
      <c r="L1290" s="129"/>
      <c r="M1290" s="129"/>
      <c r="N1290" s="129"/>
      <c r="O1290" s="129"/>
      <c r="P1290" s="148"/>
      <c r="Q1290" s="174"/>
    </row>
    <row r="1291" spans="1:17" s="28" customFormat="1" x14ac:dyDescent="0.25">
      <c r="A1291" s="53"/>
      <c r="B1291" s="58"/>
      <c r="C1291" s="58"/>
      <c r="D1291" s="35"/>
      <c r="E1291" s="129"/>
      <c r="F1291" s="129"/>
      <c r="G1291" s="129"/>
      <c r="H1291" s="129"/>
      <c r="I1291" s="129"/>
      <c r="J1291" s="129"/>
      <c r="K1291" s="129"/>
      <c r="L1291" s="129"/>
      <c r="M1291" s="129"/>
      <c r="N1291" s="129"/>
      <c r="O1291" s="129"/>
      <c r="P1291" s="148"/>
      <c r="Q1291" s="174"/>
    </row>
    <row r="1292" spans="1:17" s="28" customFormat="1" x14ac:dyDescent="0.25">
      <c r="A1292" s="53"/>
      <c r="B1292" s="58"/>
      <c r="C1292" s="58"/>
      <c r="D1292" s="35"/>
      <c r="E1292" s="129"/>
      <c r="F1292" s="129"/>
      <c r="G1292" s="129"/>
      <c r="H1292" s="129"/>
      <c r="I1292" s="129"/>
      <c r="J1292" s="129"/>
      <c r="K1292" s="129"/>
      <c r="L1292" s="129"/>
      <c r="M1292" s="129"/>
      <c r="N1292" s="129"/>
      <c r="O1292" s="129"/>
      <c r="P1292" s="148"/>
      <c r="Q1292" s="174"/>
    </row>
    <row r="1293" spans="1:17" s="28" customFormat="1" x14ac:dyDescent="0.25">
      <c r="A1293" s="53"/>
      <c r="B1293" s="58"/>
      <c r="C1293" s="58"/>
      <c r="D1293" s="35"/>
      <c r="E1293" s="129"/>
      <c r="F1293" s="129"/>
      <c r="G1293" s="129"/>
      <c r="H1293" s="129"/>
      <c r="I1293" s="129"/>
      <c r="J1293" s="129"/>
      <c r="K1293" s="129"/>
      <c r="L1293" s="129"/>
      <c r="M1293" s="129"/>
      <c r="N1293" s="129"/>
      <c r="O1293" s="129"/>
      <c r="P1293" s="148"/>
      <c r="Q1293" s="174"/>
    </row>
    <row r="1294" spans="1:17" s="28" customFormat="1" x14ac:dyDescent="0.25">
      <c r="A1294" s="53"/>
      <c r="B1294" s="58"/>
      <c r="C1294" s="58"/>
      <c r="D1294" s="35"/>
      <c r="E1294" s="129"/>
      <c r="F1294" s="129"/>
      <c r="G1294" s="129"/>
      <c r="H1294" s="129"/>
      <c r="I1294" s="129"/>
      <c r="J1294" s="129"/>
      <c r="K1294" s="129"/>
      <c r="L1294" s="129"/>
      <c r="M1294" s="129"/>
      <c r="N1294" s="129"/>
      <c r="O1294" s="129"/>
      <c r="P1294" s="148"/>
      <c r="Q1294" s="174"/>
    </row>
    <row r="1295" spans="1:17" s="28" customFormat="1" x14ac:dyDescent="0.25">
      <c r="A1295" s="53"/>
      <c r="B1295" s="58"/>
      <c r="C1295" s="58"/>
      <c r="D1295" s="35"/>
      <c r="E1295" s="129"/>
      <c r="F1295" s="129"/>
      <c r="G1295" s="129"/>
      <c r="H1295" s="129"/>
      <c r="I1295" s="129"/>
      <c r="J1295" s="129"/>
      <c r="K1295" s="129"/>
      <c r="L1295" s="129"/>
      <c r="M1295" s="129"/>
      <c r="N1295" s="129"/>
      <c r="O1295" s="129"/>
      <c r="P1295" s="148"/>
      <c r="Q1295" s="174"/>
    </row>
    <row r="1296" spans="1:17" s="28" customFormat="1" x14ac:dyDescent="0.25">
      <c r="A1296" s="53"/>
      <c r="B1296" s="58"/>
      <c r="C1296" s="58"/>
      <c r="D1296" s="35"/>
      <c r="E1296" s="129"/>
      <c r="F1296" s="129"/>
      <c r="G1296" s="129"/>
      <c r="H1296" s="129"/>
      <c r="I1296" s="129"/>
      <c r="J1296" s="129"/>
      <c r="K1296" s="129"/>
      <c r="L1296" s="129"/>
      <c r="M1296" s="129"/>
      <c r="N1296" s="129"/>
      <c r="O1296" s="129"/>
      <c r="P1296" s="148"/>
      <c r="Q1296" s="174"/>
    </row>
    <row r="1297" spans="1:17" s="28" customFormat="1" x14ac:dyDescent="0.25">
      <c r="A1297" s="53"/>
      <c r="B1297" s="58"/>
      <c r="C1297" s="58"/>
      <c r="D1297" s="35"/>
      <c r="E1297" s="129"/>
      <c r="F1297" s="129"/>
      <c r="G1297" s="129"/>
      <c r="H1297" s="129"/>
      <c r="I1297" s="129"/>
      <c r="J1297" s="129"/>
      <c r="K1297" s="129"/>
      <c r="L1297" s="129"/>
      <c r="M1297" s="129"/>
      <c r="N1297" s="129"/>
      <c r="O1297" s="129"/>
      <c r="P1297" s="148"/>
      <c r="Q1297" s="174"/>
    </row>
    <row r="1298" spans="1:17" s="28" customFormat="1" x14ac:dyDescent="0.25">
      <c r="A1298" s="53"/>
      <c r="B1298" s="58"/>
      <c r="C1298" s="58"/>
      <c r="D1298" s="35"/>
      <c r="E1298" s="129"/>
      <c r="F1298" s="129"/>
      <c r="G1298" s="129"/>
      <c r="H1298" s="129"/>
      <c r="I1298" s="129"/>
      <c r="J1298" s="129"/>
      <c r="K1298" s="129"/>
      <c r="L1298" s="129"/>
      <c r="M1298" s="129"/>
      <c r="N1298" s="129"/>
      <c r="O1298" s="129"/>
      <c r="P1298" s="148"/>
      <c r="Q1298" s="174"/>
    </row>
    <row r="1299" spans="1:17" s="28" customFormat="1" x14ac:dyDescent="0.25">
      <c r="A1299" s="53"/>
      <c r="B1299" s="58"/>
      <c r="C1299" s="58"/>
      <c r="D1299" s="35"/>
      <c r="E1299" s="129"/>
      <c r="F1299" s="129"/>
      <c r="G1299" s="129"/>
      <c r="H1299" s="129"/>
      <c r="I1299" s="129"/>
      <c r="J1299" s="129"/>
      <c r="K1299" s="129"/>
      <c r="L1299" s="129"/>
      <c r="M1299" s="129"/>
      <c r="N1299" s="129"/>
      <c r="O1299" s="129"/>
      <c r="P1299" s="148"/>
      <c r="Q1299" s="174"/>
    </row>
    <row r="1300" spans="1:17" s="28" customFormat="1" x14ac:dyDescent="0.25">
      <c r="A1300" s="53"/>
      <c r="B1300" s="58"/>
      <c r="C1300" s="58"/>
      <c r="D1300" s="35"/>
      <c r="E1300" s="129"/>
      <c r="F1300" s="129"/>
      <c r="G1300" s="129"/>
      <c r="H1300" s="129"/>
      <c r="I1300" s="129"/>
      <c r="J1300" s="129"/>
      <c r="K1300" s="129"/>
      <c r="L1300" s="129"/>
      <c r="M1300" s="129"/>
      <c r="N1300" s="129"/>
      <c r="O1300" s="129"/>
      <c r="P1300" s="148"/>
      <c r="Q1300" s="174"/>
    </row>
    <row r="1301" spans="1:17" s="28" customFormat="1" x14ac:dyDescent="0.25">
      <c r="A1301" s="53"/>
      <c r="B1301" s="58"/>
      <c r="C1301" s="58"/>
      <c r="D1301" s="35"/>
      <c r="E1301" s="129"/>
      <c r="F1301" s="129"/>
      <c r="G1301" s="129"/>
      <c r="H1301" s="129"/>
      <c r="I1301" s="129"/>
      <c r="J1301" s="129"/>
      <c r="K1301" s="129"/>
      <c r="L1301" s="129"/>
      <c r="M1301" s="129"/>
      <c r="N1301" s="129"/>
      <c r="O1301" s="129"/>
      <c r="P1301" s="148"/>
      <c r="Q1301" s="174"/>
    </row>
    <row r="1302" spans="1:17" s="28" customFormat="1" x14ac:dyDescent="0.25">
      <c r="A1302" s="53"/>
      <c r="B1302" s="58"/>
      <c r="C1302" s="58"/>
      <c r="D1302" s="35"/>
      <c r="E1302" s="129"/>
      <c r="F1302" s="129"/>
      <c r="G1302" s="129"/>
      <c r="H1302" s="129"/>
      <c r="I1302" s="129"/>
      <c r="J1302" s="129"/>
      <c r="K1302" s="129"/>
      <c r="L1302" s="129"/>
      <c r="M1302" s="129"/>
      <c r="N1302" s="129"/>
      <c r="O1302" s="129"/>
      <c r="P1302" s="148"/>
      <c r="Q1302" s="174"/>
    </row>
    <row r="1303" spans="1:17" s="28" customFormat="1" x14ac:dyDescent="0.25">
      <c r="A1303" s="53"/>
      <c r="B1303" s="58"/>
      <c r="C1303" s="58"/>
      <c r="D1303" s="35"/>
      <c r="E1303" s="129"/>
      <c r="F1303" s="129"/>
      <c r="G1303" s="129"/>
      <c r="H1303" s="129"/>
      <c r="I1303" s="129"/>
      <c r="J1303" s="129"/>
      <c r="K1303" s="129"/>
      <c r="L1303" s="129"/>
      <c r="M1303" s="129"/>
      <c r="N1303" s="129"/>
      <c r="O1303" s="129"/>
      <c r="P1303" s="148"/>
      <c r="Q1303" s="174"/>
    </row>
    <row r="1304" spans="1:17" s="28" customFormat="1" x14ac:dyDescent="0.25">
      <c r="A1304" s="53"/>
      <c r="B1304" s="58"/>
      <c r="C1304" s="58"/>
      <c r="D1304" s="35"/>
      <c r="E1304" s="129"/>
      <c r="F1304" s="129"/>
      <c r="G1304" s="129"/>
      <c r="H1304" s="129"/>
      <c r="I1304" s="129"/>
      <c r="J1304" s="129"/>
      <c r="K1304" s="129"/>
      <c r="L1304" s="129"/>
      <c r="M1304" s="129"/>
      <c r="N1304" s="129"/>
      <c r="O1304" s="129"/>
      <c r="P1304" s="148"/>
      <c r="Q1304" s="174"/>
    </row>
    <row r="1305" spans="1:17" s="28" customFormat="1" x14ac:dyDescent="0.25">
      <c r="A1305" s="53"/>
      <c r="B1305" s="58"/>
      <c r="C1305" s="58"/>
      <c r="D1305" s="35"/>
      <c r="E1305" s="129"/>
      <c r="F1305" s="129"/>
      <c r="G1305" s="129"/>
      <c r="H1305" s="129"/>
      <c r="I1305" s="129"/>
      <c r="J1305" s="129"/>
      <c r="K1305" s="129"/>
      <c r="L1305" s="129"/>
      <c r="M1305" s="129"/>
      <c r="N1305" s="129"/>
      <c r="O1305" s="129"/>
      <c r="P1305" s="148"/>
      <c r="Q1305" s="174"/>
    </row>
    <row r="1306" spans="1:17" s="28" customFormat="1" x14ac:dyDescent="0.25">
      <c r="A1306" s="53"/>
      <c r="B1306" s="58"/>
      <c r="C1306" s="58"/>
      <c r="D1306" s="35"/>
      <c r="E1306" s="129"/>
      <c r="F1306" s="129"/>
      <c r="G1306" s="129"/>
      <c r="H1306" s="129"/>
      <c r="I1306" s="129"/>
      <c r="J1306" s="129"/>
      <c r="K1306" s="129"/>
      <c r="L1306" s="129"/>
      <c r="M1306" s="129"/>
      <c r="N1306" s="129"/>
      <c r="O1306" s="129"/>
      <c r="P1306" s="148"/>
      <c r="Q1306" s="174"/>
    </row>
    <row r="1307" spans="1:17" s="28" customFormat="1" x14ac:dyDescent="0.25">
      <c r="A1307" s="53"/>
      <c r="B1307" s="58"/>
      <c r="C1307" s="58"/>
      <c r="D1307" s="35"/>
      <c r="E1307" s="129"/>
      <c r="F1307" s="129"/>
      <c r="G1307" s="129"/>
      <c r="H1307" s="129"/>
      <c r="I1307" s="129"/>
      <c r="J1307" s="129"/>
      <c r="K1307" s="129"/>
      <c r="L1307" s="129"/>
      <c r="M1307" s="129"/>
      <c r="N1307" s="129"/>
      <c r="O1307" s="129"/>
      <c r="P1307" s="148"/>
      <c r="Q1307" s="174"/>
    </row>
    <row r="1308" spans="1:17" s="28" customFormat="1" x14ac:dyDescent="0.25">
      <c r="A1308" s="53"/>
      <c r="B1308" s="58"/>
      <c r="C1308" s="58"/>
      <c r="D1308" s="35"/>
      <c r="E1308" s="129"/>
      <c r="F1308" s="129"/>
      <c r="G1308" s="129"/>
      <c r="H1308" s="129"/>
      <c r="I1308" s="129"/>
      <c r="J1308" s="129"/>
      <c r="K1308" s="129"/>
      <c r="L1308" s="129"/>
      <c r="M1308" s="129"/>
      <c r="N1308" s="129"/>
      <c r="O1308" s="129"/>
      <c r="P1308" s="148"/>
      <c r="Q1308" s="174"/>
    </row>
    <row r="1309" spans="1:17" s="28" customFormat="1" x14ac:dyDescent="0.25">
      <c r="A1309" s="53"/>
      <c r="B1309" s="58"/>
      <c r="C1309" s="58"/>
      <c r="D1309" s="35"/>
      <c r="E1309" s="129"/>
      <c r="F1309" s="129"/>
      <c r="G1309" s="129"/>
      <c r="H1309" s="129"/>
      <c r="I1309" s="129"/>
      <c r="J1309" s="129"/>
      <c r="K1309" s="129"/>
      <c r="L1309" s="129"/>
      <c r="M1309" s="129"/>
      <c r="N1309" s="129"/>
      <c r="O1309" s="129"/>
      <c r="P1309" s="148"/>
      <c r="Q1309" s="174"/>
    </row>
    <row r="1310" spans="1:17" s="28" customFormat="1" x14ac:dyDescent="0.25">
      <c r="A1310" s="53"/>
      <c r="B1310" s="58"/>
      <c r="C1310" s="58"/>
      <c r="D1310" s="35"/>
      <c r="E1310" s="129"/>
      <c r="F1310" s="129"/>
      <c r="G1310" s="129"/>
      <c r="H1310" s="129"/>
      <c r="I1310" s="129"/>
      <c r="J1310" s="129"/>
      <c r="K1310" s="129"/>
      <c r="L1310" s="129"/>
      <c r="M1310" s="129"/>
      <c r="N1310" s="129"/>
      <c r="O1310" s="129"/>
      <c r="P1310" s="148"/>
      <c r="Q1310" s="174"/>
    </row>
    <row r="1311" spans="1:17" s="28" customFormat="1" x14ac:dyDescent="0.25">
      <c r="A1311" s="53"/>
      <c r="B1311" s="58"/>
      <c r="C1311" s="58"/>
      <c r="D1311" s="35"/>
      <c r="E1311" s="129"/>
      <c r="F1311" s="129"/>
      <c r="G1311" s="129"/>
      <c r="H1311" s="129"/>
      <c r="I1311" s="129"/>
      <c r="J1311" s="129"/>
      <c r="K1311" s="129"/>
      <c r="L1311" s="129"/>
      <c r="M1311" s="129"/>
      <c r="N1311" s="129"/>
      <c r="O1311" s="129"/>
      <c r="P1311" s="148"/>
      <c r="Q1311" s="174"/>
    </row>
    <row r="1312" spans="1:17" s="28" customFormat="1" x14ac:dyDescent="0.25">
      <c r="A1312" s="53"/>
      <c r="B1312" s="58"/>
      <c r="C1312" s="58"/>
      <c r="D1312" s="35"/>
      <c r="E1312" s="129"/>
      <c r="F1312" s="129"/>
      <c r="G1312" s="129"/>
      <c r="H1312" s="129"/>
      <c r="I1312" s="129"/>
      <c r="J1312" s="129"/>
      <c r="K1312" s="129"/>
      <c r="L1312" s="129"/>
      <c r="M1312" s="129"/>
      <c r="N1312" s="129"/>
      <c r="O1312" s="129"/>
      <c r="P1312" s="148"/>
      <c r="Q1312" s="174"/>
    </row>
    <row r="1313" spans="1:17" s="28" customFormat="1" x14ac:dyDescent="0.25">
      <c r="A1313" s="53"/>
      <c r="B1313" s="58"/>
      <c r="C1313" s="58"/>
      <c r="D1313" s="35"/>
      <c r="E1313" s="129"/>
      <c r="F1313" s="129"/>
      <c r="G1313" s="129"/>
      <c r="H1313" s="129"/>
      <c r="I1313" s="129"/>
      <c r="J1313" s="129"/>
      <c r="K1313" s="129"/>
      <c r="L1313" s="129"/>
      <c r="M1313" s="129"/>
      <c r="N1313" s="129"/>
      <c r="O1313" s="129"/>
      <c r="P1313" s="148"/>
      <c r="Q1313" s="174"/>
    </row>
    <row r="1314" spans="1:17" s="28" customFormat="1" x14ac:dyDescent="0.25">
      <c r="A1314" s="53"/>
      <c r="B1314" s="58"/>
      <c r="C1314" s="58"/>
      <c r="D1314" s="35"/>
      <c r="E1314" s="129"/>
      <c r="F1314" s="129"/>
      <c r="G1314" s="129"/>
      <c r="H1314" s="129"/>
      <c r="I1314" s="129"/>
      <c r="J1314" s="129"/>
      <c r="K1314" s="129"/>
      <c r="L1314" s="129"/>
      <c r="M1314" s="129"/>
      <c r="N1314" s="129"/>
      <c r="O1314" s="129"/>
      <c r="P1314" s="148"/>
      <c r="Q1314" s="174"/>
    </row>
    <row r="1315" spans="1:17" s="28" customFormat="1" x14ac:dyDescent="0.25">
      <c r="A1315" s="53"/>
      <c r="B1315" s="58"/>
      <c r="C1315" s="58"/>
      <c r="D1315" s="35"/>
      <c r="E1315" s="129"/>
      <c r="F1315" s="129"/>
      <c r="G1315" s="129"/>
      <c r="H1315" s="129"/>
      <c r="I1315" s="129"/>
      <c r="J1315" s="129"/>
      <c r="K1315" s="129"/>
      <c r="L1315" s="129"/>
      <c r="M1315" s="129"/>
      <c r="N1315" s="129"/>
      <c r="O1315" s="129"/>
      <c r="P1315" s="148"/>
      <c r="Q1315" s="174"/>
    </row>
    <row r="1316" spans="1:17" s="28" customFormat="1" x14ac:dyDescent="0.25">
      <c r="A1316" s="53"/>
      <c r="B1316" s="58"/>
      <c r="C1316" s="58"/>
      <c r="D1316" s="35"/>
      <c r="E1316" s="129"/>
      <c r="F1316" s="129"/>
      <c r="G1316" s="129"/>
      <c r="H1316" s="129"/>
      <c r="I1316" s="129"/>
      <c r="J1316" s="129"/>
      <c r="K1316" s="129"/>
      <c r="L1316" s="129"/>
      <c r="M1316" s="129"/>
      <c r="N1316" s="129"/>
      <c r="O1316" s="129"/>
      <c r="P1316" s="148"/>
      <c r="Q1316" s="174"/>
    </row>
    <row r="1317" spans="1:17" s="28" customFormat="1" x14ac:dyDescent="0.25">
      <c r="A1317" s="53"/>
      <c r="B1317" s="58"/>
      <c r="C1317" s="58"/>
      <c r="D1317" s="35"/>
      <c r="E1317" s="129"/>
      <c r="F1317" s="129"/>
      <c r="G1317" s="129"/>
      <c r="H1317" s="129"/>
      <c r="I1317" s="129"/>
      <c r="J1317" s="129"/>
      <c r="K1317" s="129"/>
      <c r="L1317" s="129"/>
      <c r="M1317" s="129"/>
      <c r="N1317" s="129"/>
      <c r="O1317" s="129"/>
      <c r="P1317" s="148"/>
      <c r="Q1317" s="174"/>
    </row>
    <row r="1318" spans="1:17" s="28" customFormat="1" x14ac:dyDescent="0.25">
      <c r="A1318" s="53"/>
      <c r="B1318" s="58"/>
      <c r="C1318" s="58"/>
      <c r="D1318" s="35"/>
      <c r="E1318" s="129"/>
      <c r="F1318" s="129"/>
      <c r="G1318" s="129"/>
      <c r="H1318" s="129"/>
      <c r="I1318" s="129"/>
      <c r="J1318" s="129"/>
      <c r="K1318" s="129"/>
      <c r="L1318" s="129"/>
      <c r="M1318" s="129"/>
      <c r="N1318" s="129"/>
      <c r="O1318" s="129"/>
      <c r="P1318" s="148"/>
      <c r="Q1318" s="174"/>
    </row>
    <row r="1319" spans="1:17" s="28" customFormat="1" x14ac:dyDescent="0.25">
      <c r="A1319" s="53"/>
      <c r="B1319" s="58"/>
      <c r="C1319" s="58"/>
      <c r="D1319" s="35"/>
      <c r="E1319" s="129"/>
      <c r="F1319" s="129"/>
      <c r="G1319" s="129"/>
      <c r="H1319" s="129"/>
      <c r="I1319" s="129"/>
      <c r="J1319" s="129"/>
      <c r="K1319" s="129"/>
      <c r="L1319" s="129"/>
      <c r="M1319" s="129"/>
      <c r="N1319" s="129"/>
      <c r="O1319" s="129"/>
      <c r="P1319" s="148"/>
      <c r="Q1319" s="174"/>
    </row>
    <row r="1320" spans="1:17" s="28" customFormat="1" x14ac:dyDescent="0.25">
      <c r="A1320" s="53"/>
      <c r="B1320" s="58"/>
      <c r="C1320" s="58"/>
      <c r="D1320" s="35"/>
      <c r="E1320" s="129"/>
      <c r="F1320" s="129"/>
      <c r="G1320" s="129"/>
      <c r="H1320" s="129"/>
      <c r="I1320" s="129"/>
      <c r="J1320" s="129"/>
      <c r="K1320" s="129"/>
      <c r="L1320" s="129"/>
      <c r="M1320" s="129"/>
      <c r="N1320" s="129"/>
      <c r="O1320" s="129"/>
      <c r="P1320" s="148"/>
      <c r="Q1320" s="174"/>
    </row>
    <row r="1321" spans="1:17" s="28" customFormat="1" x14ac:dyDescent="0.25">
      <c r="A1321" s="53"/>
      <c r="B1321" s="58"/>
      <c r="C1321" s="58"/>
      <c r="D1321" s="35"/>
      <c r="E1321" s="129"/>
      <c r="F1321" s="129"/>
      <c r="G1321" s="129"/>
      <c r="H1321" s="129"/>
      <c r="I1321" s="129"/>
      <c r="J1321" s="129"/>
      <c r="K1321" s="129"/>
      <c r="L1321" s="129"/>
      <c r="M1321" s="129"/>
      <c r="N1321" s="129"/>
      <c r="O1321" s="129"/>
      <c r="P1321" s="148"/>
      <c r="Q1321" s="174"/>
    </row>
    <row r="1322" spans="1:17" s="28" customFormat="1" x14ac:dyDescent="0.25">
      <c r="A1322" s="53"/>
      <c r="B1322" s="58"/>
      <c r="C1322" s="58"/>
      <c r="D1322" s="35"/>
      <c r="E1322" s="129"/>
      <c r="F1322" s="129"/>
      <c r="G1322" s="129"/>
      <c r="H1322" s="129"/>
      <c r="I1322" s="129"/>
      <c r="J1322" s="129"/>
      <c r="K1322" s="129"/>
      <c r="L1322" s="129"/>
      <c r="M1322" s="129"/>
      <c r="N1322" s="129"/>
      <c r="O1322" s="129"/>
      <c r="P1322" s="148"/>
      <c r="Q1322" s="174"/>
    </row>
    <row r="1323" spans="1:17" s="28" customFormat="1" x14ac:dyDescent="0.25">
      <c r="A1323" s="53"/>
      <c r="B1323" s="58"/>
      <c r="C1323" s="58"/>
      <c r="D1323" s="35"/>
      <c r="E1323" s="129"/>
      <c r="F1323" s="129"/>
      <c r="G1323" s="129"/>
      <c r="H1323" s="129"/>
      <c r="I1323" s="129"/>
      <c r="J1323" s="129"/>
      <c r="K1323" s="129"/>
      <c r="L1323" s="129"/>
      <c r="M1323" s="129"/>
      <c r="N1323" s="129"/>
      <c r="O1323" s="129"/>
      <c r="P1323" s="148"/>
      <c r="Q1323" s="174"/>
    </row>
    <row r="1324" spans="1:17" s="28" customFormat="1" x14ac:dyDescent="0.25">
      <c r="A1324" s="53"/>
      <c r="B1324" s="58"/>
      <c r="C1324" s="58"/>
      <c r="D1324" s="35"/>
      <c r="E1324" s="129"/>
      <c r="F1324" s="129"/>
      <c r="G1324" s="129"/>
      <c r="H1324" s="129"/>
      <c r="I1324" s="129"/>
      <c r="J1324" s="129"/>
      <c r="K1324" s="129"/>
      <c r="L1324" s="129"/>
      <c r="M1324" s="129"/>
      <c r="N1324" s="129"/>
      <c r="O1324" s="129"/>
      <c r="P1324" s="148"/>
      <c r="Q1324" s="174"/>
    </row>
    <row r="1325" spans="1:17" s="28" customFormat="1" x14ac:dyDescent="0.25">
      <c r="A1325" s="53"/>
      <c r="B1325" s="58"/>
      <c r="C1325" s="58"/>
      <c r="D1325" s="35"/>
      <c r="E1325" s="129"/>
      <c r="F1325" s="129"/>
      <c r="G1325" s="129"/>
      <c r="H1325" s="129"/>
      <c r="I1325" s="129"/>
      <c r="J1325" s="129"/>
      <c r="K1325" s="129"/>
      <c r="L1325" s="129"/>
      <c r="M1325" s="129"/>
      <c r="N1325" s="129"/>
      <c r="O1325" s="129"/>
      <c r="P1325" s="148"/>
      <c r="Q1325" s="174"/>
    </row>
    <row r="1326" spans="1:17" s="28" customFormat="1" x14ac:dyDescent="0.25">
      <c r="A1326" s="53"/>
      <c r="B1326" s="58"/>
      <c r="C1326" s="58"/>
      <c r="D1326" s="35"/>
      <c r="E1326" s="129"/>
      <c r="F1326" s="129"/>
      <c r="G1326" s="129"/>
      <c r="H1326" s="129"/>
      <c r="I1326" s="129"/>
      <c r="J1326" s="129"/>
      <c r="K1326" s="129"/>
      <c r="L1326" s="129"/>
      <c r="M1326" s="129"/>
      <c r="N1326" s="129"/>
      <c r="O1326" s="129"/>
      <c r="P1326" s="148"/>
      <c r="Q1326" s="174"/>
    </row>
    <row r="1327" spans="1:17" s="28" customFormat="1" x14ac:dyDescent="0.25">
      <c r="A1327" s="53"/>
      <c r="B1327" s="58"/>
      <c r="C1327" s="58"/>
      <c r="D1327" s="35"/>
      <c r="E1327" s="129"/>
      <c r="F1327" s="129"/>
      <c r="G1327" s="129"/>
      <c r="H1327" s="129"/>
      <c r="I1327" s="129"/>
      <c r="J1327" s="129"/>
      <c r="K1327" s="129"/>
      <c r="L1327" s="129"/>
      <c r="M1327" s="129"/>
      <c r="N1327" s="129"/>
      <c r="O1327" s="129"/>
      <c r="P1327" s="148"/>
      <c r="Q1327" s="174"/>
    </row>
    <row r="1328" spans="1:17" s="28" customFormat="1" x14ac:dyDescent="0.25">
      <c r="A1328" s="53"/>
      <c r="B1328" s="58"/>
      <c r="C1328" s="58"/>
      <c r="D1328" s="35"/>
      <c r="E1328" s="129"/>
      <c r="F1328" s="129"/>
      <c r="G1328" s="129"/>
      <c r="H1328" s="129"/>
      <c r="I1328" s="129"/>
      <c r="J1328" s="129"/>
      <c r="K1328" s="129"/>
      <c r="L1328" s="129"/>
      <c r="M1328" s="129"/>
      <c r="N1328" s="129"/>
      <c r="O1328" s="129"/>
      <c r="P1328" s="148"/>
      <c r="Q1328" s="174"/>
    </row>
    <row r="1329" spans="1:17" s="28" customFormat="1" x14ac:dyDescent="0.25">
      <c r="A1329" s="53"/>
      <c r="B1329" s="58"/>
      <c r="C1329" s="58"/>
      <c r="D1329" s="35"/>
      <c r="E1329" s="129"/>
      <c r="F1329" s="129"/>
      <c r="G1329" s="129"/>
      <c r="H1329" s="129"/>
      <c r="I1329" s="129"/>
      <c r="J1329" s="129"/>
      <c r="K1329" s="129"/>
      <c r="L1329" s="129"/>
      <c r="M1329" s="129"/>
      <c r="N1329" s="129"/>
      <c r="O1329" s="129"/>
      <c r="P1329" s="148"/>
      <c r="Q1329" s="174"/>
    </row>
    <row r="1330" spans="1:17" s="28" customFormat="1" x14ac:dyDescent="0.25">
      <c r="A1330" s="53"/>
      <c r="B1330" s="58"/>
      <c r="C1330" s="58"/>
      <c r="D1330" s="35"/>
      <c r="E1330" s="129"/>
      <c r="F1330" s="129"/>
      <c r="G1330" s="129"/>
      <c r="H1330" s="129"/>
      <c r="I1330" s="129"/>
      <c r="J1330" s="129"/>
      <c r="K1330" s="129"/>
      <c r="L1330" s="129"/>
      <c r="M1330" s="129"/>
      <c r="N1330" s="129"/>
      <c r="O1330" s="129"/>
      <c r="P1330" s="148"/>
      <c r="Q1330" s="174"/>
    </row>
    <row r="1331" spans="1:17" s="28" customFormat="1" x14ac:dyDescent="0.25">
      <c r="A1331" s="53"/>
      <c r="B1331" s="58"/>
      <c r="C1331" s="58"/>
      <c r="D1331" s="35"/>
      <c r="E1331" s="129"/>
      <c r="F1331" s="129"/>
      <c r="G1331" s="129"/>
      <c r="H1331" s="129"/>
      <c r="I1331" s="129"/>
      <c r="J1331" s="129"/>
      <c r="K1331" s="129"/>
      <c r="L1331" s="129"/>
      <c r="M1331" s="129"/>
      <c r="N1331" s="129"/>
      <c r="O1331" s="129"/>
      <c r="P1331" s="148"/>
      <c r="Q1331" s="174"/>
    </row>
    <row r="1332" spans="1:17" s="28" customFormat="1" x14ac:dyDescent="0.25">
      <c r="A1332" s="53"/>
      <c r="B1332" s="58"/>
      <c r="C1332" s="58"/>
      <c r="D1332" s="35"/>
      <c r="E1332" s="129"/>
      <c r="F1332" s="129"/>
      <c r="G1332" s="129"/>
      <c r="H1332" s="129"/>
      <c r="I1332" s="129"/>
      <c r="J1332" s="129"/>
      <c r="K1332" s="129"/>
      <c r="L1332" s="129"/>
      <c r="M1332" s="129"/>
      <c r="N1332" s="129"/>
      <c r="O1332" s="129"/>
      <c r="P1332" s="148"/>
      <c r="Q1332" s="174"/>
    </row>
    <row r="1333" spans="1:17" s="28" customFormat="1" x14ac:dyDescent="0.25">
      <c r="A1333" s="53"/>
      <c r="B1333" s="58"/>
      <c r="C1333" s="58"/>
      <c r="D1333" s="35"/>
      <c r="E1333" s="129"/>
      <c r="F1333" s="129"/>
      <c r="G1333" s="129"/>
      <c r="H1333" s="129"/>
      <c r="I1333" s="129"/>
      <c r="J1333" s="129"/>
      <c r="K1333" s="129"/>
      <c r="L1333" s="129"/>
      <c r="M1333" s="129"/>
      <c r="N1333" s="129"/>
      <c r="O1333" s="129"/>
      <c r="P1333" s="148"/>
      <c r="Q1333" s="174"/>
    </row>
    <row r="1334" spans="1:17" s="28" customFormat="1" x14ac:dyDescent="0.25">
      <c r="A1334" s="53"/>
      <c r="B1334" s="58"/>
      <c r="C1334" s="58"/>
      <c r="D1334" s="35"/>
      <c r="E1334" s="129"/>
      <c r="F1334" s="129"/>
      <c r="G1334" s="129"/>
      <c r="H1334" s="129"/>
      <c r="I1334" s="129"/>
      <c r="J1334" s="129"/>
      <c r="K1334" s="129"/>
      <c r="L1334" s="129"/>
      <c r="M1334" s="129"/>
      <c r="N1334" s="129"/>
      <c r="O1334" s="129"/>
      <c r="P1334" s="148"/>
      <c r="Q1334" s="174"/>
    </row>
    <row r="1335" spans="1:17" s="28" customFormat="1" x14ac:dyDescent="0.25">
      <c r="A1335" s="53"/>
      <c r="B1335" s="58"/>
      <c r="C1335" s="58"/>
      <c r="D1335" s="35"/>
      <c r="E1335" s="129"/>
      <c r="F1335" s="129"/>
      <c r="G1335" s="129"/>
      <c r="H1335" s="129"/>
      <c r="I1335" s="129"/>
      <c r="J1335" s="129"/>
      <c r="K1335" s="129"/>
      <c r="L1335" s="129"/>
      <c r="M1335" s="129"/>
      <c r="N1335" s="129"/>
      <c r="O1335" s="129"/>
      <c r="P1335" s="148"/>
      <c r="Q1335" s="174"/>
    </row>
    <row r="1336" spans="1:17" s="28" customFormat="1" x14ac:dyDescent="0.25">
      <c r="A1336" s="53"/>
      <c r="B1336" s="58"/>
      <c r="C1336" s="58"/>
      <c r="D1336" s="35"/>
      <c r="E1336" s="129"/>
      <c r="F1336" s="129"/>
      <c r="G1336" s="129"/>
      <c r="H1336" s="129"/>
      <c r="I1336" s="129"/>
      <c r="J1336" s="129"/>
      <c r="K1336" s="129"/>
      <c r="L1336" s="129"/>
      <c r="M1336" s="129"/>
      <c r="N1336" s="129"/>
      <c r="O1336" s="129"/>
      <c r="P1336" s="148"/>
      <c r="Q1336" s="174"/>
    </row>
    <row r="1337" spans="1:17" s="28" customFormat="1" x14ac:dyDescent="0.25">
      <c r="A1337" s="53"/>
      <c r="B1337" s="58"/>
      <c r="C1337" s="58"/>
      <c r="D1337" s="35"/>
      <c r="E1337" s="129"/>
      <c r="F1337" s="129"/>
      <c r="G1337" s="129"/>
      <c r="H1337" s="129"/>
      <c r="I1337" s="129"/>
      <c r="J1337" s="129"/>
      <c r="K1337" s="129"/>
      <c r="L1337" s="129"/>
      <c r="M1337" s="129"/>
      <c r="N1337" s="129"/>
      <c r="O1337" s="129"/>
      <c r="P1337" s="148"/>
      <c r="Q1337" s="174"/>
    </row>
    <row r="1338" spans="1:17" s="28" customFormat="1" x14ac:dyDescent="0.25">
      <c r="A1338" s="53"/>
      <c r="B1338" s="58"/>
      <c r="C1338" s="58"/>
      <c r="D1338" s="35"/>
      <c r="E1338" s="129"/>
      <c r="F1338" s="129"/>
      <c r="G1338" s="129"/>
      <c r="H1338" s="129"/>
      <c r="I1338" s="129"/>
      <c r="J1338" s="129"/>
      <c r="K1338" s="129"/>
      <c r="L1338" s="129"/>
      <c r="M1338" s="129"/>
      <c r="N1338" s="129"/>
      <c r="O1338" s="129"/>
      <c r="P1338" s="148"/>
      <c r="Q1338" s="174"/>
    </row>
    <row r="1339" spans="1:17" s="28" customFormat="1" x14ac:dyDescent="0.25">
      <c r="A1339" s="53"/>
      <c r="B1339" s="58"/>
      <c r="C1339" s="58"/>
      <c r="D1339" s="35"/>
      <c r="E1339" s="129"/>
      <c r="F1339" s="129"/>
      <c r="G1339" s="129"/>
      <c r="H1339" s="129"/>
      <c r="I1339" s="129"/>
      <c r="J1339" s="129"/>
      <c r="K1339" s="129"/>
      <c r="L1339" s="129"/>
      <c r="M1339" s="129"/>
      <c r="N1339" s="129"/>
      <c r="O1339" s="129"/>
      <c r="P1339" s="148"/>
      <c r="Q1339" s="174"/>
    </row>
    <row r="1340" spans="1:17" s="28" customFormat="1" x14ac:dyDescent="0.25">
      <c r="A1340" s="53"/>
      <c r="B1340" s="58"/>
      <c r="C1340" s="58"/>
      <c r="D1340" s="35"/>
      <c r="E1340" s="129"/>
      <c r="F1340" s="129"/>
      <c r="G1340" s="129"/>
      <c r="H1340" s="129"/>
      <c r="I1340" s="129"/>
      <c r="J1340" s="129"/>
      <c r="K1340" s="129"/>
      <c r="L1340" s="129"/>
      <c r="M1340" s="129"/>
      <c r="N1340" s="129"/>
      <c r="O1340" s="129"/>
      <c r="P1340" s="148"/>
      <c r="Q1340" s="174"/>
    </row>
    <row r="1341" spans="1:17" s="28" customFormat="1" x14ac:dyDescent="0.25">
      <c r="A1341" s="53"/>
      <c r="B1341" s="58"/>
      <c r="C1341" s="58"/>
      <c r="D1341" s="35"/>
      <c r="E1341" s="129"/>
      <c r="F1341" s="129"/>
      <c r="G1341" s="129"/>
      <c r="H1341" s="129"/>
      <c r="I1341" s="129"/>
      <c r="J1341" s="129"/>
      <c r="K1341" s="129"/>
      <c r="L1341" s="129"/>
      <c r="M1341" s="129"/>
      <c r="N1341" s="129"/>
      <c r="O1341" s="129"/>
      <c r="P1341" s="148"/>
      <c r="Q1341" s="174"/>
    </row>
    <row r="1342" spans="1:17" s="28" customFormat="1" x14ac:dyDescent="0.25">
      <c r="A1342" s="53"/>
      <c r="B1342" s="58"/>
      <c r="C1342" s="58"/>
      <c r="D1342" s="35"/>
      <c r="E1342" s="129"/>
      <c r="F1342" s="129"/>
      <c r="G1342" s="129"/>
      <c r="H1342" s="129"/>
      <c r="I1342" s="129"/>
      <c r="J1342" s="129"/>
      <c r="K1342" s="129"/>
      <c r="L1342" s="129"/>
      <c r="M1342" s="129"/>
      <c r="N1342" s="129"/>
      <c r="O1342" s="129"/>
      <c r="P1342" s="148"/>
      <c r="Q1342" s="174"/>
    </row>
    <row r="1343" spans="1:17" s="28" customFormat="1" x14ac:dyDescent="0.25">
      <c r="A1343" s="53"/>
      <c r="B1343" s="58"/>
      <c r="C1343" s="58"/>
      <c r="D1343" s="35"/>
      <c r="E1343" s="129"/>
      <c r="F1343" s="129"/>
      <c r="G1343" s="129"/>
      <c r="H1343" s="129"/>
      <c r="I1343" s="129"/>
      <c r="J1343" s="129"/>
      <c r="K1343" s="129"/>
      <c r="L1343" s="129"/>
      <c r="M1343" s="129"/>
      <c r="N1343" s="129"/>
      <c r="O1343" s="129"/>
      <c r="P1343" s="148"/>
      <c r="Q1343" s="174"/>
    </row>
    <row r="1344" spans="1:17" s="28" customFormat="1" x14ac:dyDescent="0.25">
      <c r="A1344" s="53"/>
      <c r="B1344" s="58"/>
      <c r="C1344" s="58"/>
      <c r="D1344" s="35"/>
      <c r="E1344" s="129"/>
      <c r="F1344" s="129"/>
      <c r="G1344" s="129"/>
      <c r="H1344" s="129"/>
      <c r="I1344" s="129"/>
      <c r="J1344" s="129"/>
      <c r="K1344" s="129"/>
      <c r="L1344" s="129"/>
      <c r="M1344" s="129"/>
      <c r="N1344" s="129"/>
      <c r="O1344" s="129"/>
      <c r="P1344" s="148"/>
      <c r="Q1344" s="174"/>
    </row>
    <row r="1345" spans="1:17" s="28" customFormat="1" x14ac:dyDescent="0.25">
      <c r="A1345" s="53"/>
      <c r="B1345" s="58"/>
      <c r="C1345" s="58"/>
      <c r="D1345" s="35"/>
      <c r="E1345" s="129"/>
      <c r="F1345" s="129"/>
      <c r="G1345" s="129"/>
      <c r="H1345" s="129"/>
      <c r="I1345" s="129"/>
      <c r="J1345" s="129"/>
      <c r="K1345" s="129"/>
      <c r="L1345" s="129"/>
      <c r="M1345" s="129"/>
      <c r="N1345" s="129"/>
      <c r="O1345" s="129"/>
      <c r="P1345" s="148"/>
      <c r="Q1345" s="174"/>
    </row>
    <row r="1346" spans="1:17" s="28" customFormat="1" x14ac:dyDescent="0.25">
      <c r="A1346" s="53"/>
      <c r="B1346" s="58"/>
      <c r="C1346" s="58"/>
      <c r="D1346" s="35"/>
      <c r="E1346" s="129"/>
      <c r="F1346" s="129"/>
      <c r="G1346" s="129"/>
      <c r="H1346" s="129"/>
      <c r="I1346" s="129"/>
      <c r="J1346" s="129"/>
      <c r="K1346" s="129"/>
      <c r="L1346" s="129"/>
      <c r="M1346" s="129"/>
      <c r="N1346" s="129"/>
      <c r="O1346" s="129"/>
      <c r="P1346" s="148"/>
      <c r="Q1346" s="174"/>
    </row>
    <row r="1347" spans="1:17" s="28" customFormat="1" x14ac:dyDescent="0.25">
      <c r="A1347" s="53"/>
      <c r="B1347" s="58"/>
      <c r="C1347" s="58"/>
      <c r="D1347" s="35"/>
      <c r="E1347" s="129"/>
      <c r="F1347" s="129"/>
      <c r="G1347" s="129"/>
      <c r="H1347" s="129"/>
      <c r="I1347" s="129"/>
      <c r="J1347" s="129"/>
      <c r="K1347" s="129"/>
      <c r="L1347" s="129"/>
      <c r="M1347" s="129"/>
      <c r="N1347" s="129"/>
      <c r="O1347" s="129"/>
      <c r="P1347" s="148"/>
      <c r="Q1347" s="174"/>
    </row>
    <row r="1348" spans="1:17" s="28" customFormat="1" x14ac:dyDescent="0.25">
      <c r="A1348" s="53"/>
      <c r="B1348" s="58"/>
      <c r="C1348" s="58"/>
      <c r="D1348" s="35"/>
      <c r="E1348" s="129"/>
      <c r="F1348" s="129"/>
      <c r="G1348" s="129"/>
      <c r="H1348" s="129"/>
      <c r="I1348" s="129"/>
      <c r="J1348" s="129"/>
      <c r="K1348" s="129"/>
      <c r="L1348" s="129"/>
      <c r="M1348" s="129"/>
      <c r="N1348" s="129"/>
      <c r="O1348" s="129"/>
      <c r="P1348" s="148"/>
      <c r="Q1348" s="174"/>
    </row>
    <row r="1349" spans="1:17" s="28" customFormat="1" x14ac:dyDescent="0.25">
      <c r="A1349" s="53"/>
      <c r="B1349" s="58"/>
      <c r="C1349" s="58"/>
      <c r="D1349" s="35"/>
      <c r="E1349" s="129"/>
      <c r="F1349" s="129"/>
      <c r="G1349" s="129"/>
      <c r="H1349" s="129"/>
      <c r="I1349" s="129"/>
      <c r="J1349" s="129"/>
      <c r="K1349" s="129"/>
      <c r="L1349" s="129"/>
      <c r="M1349" s="129"/>
      <c r="N1349" s="129"/>
      <c r="O1349" s="129"/>
      <c r="P1349" s="148"/>
      <c r="Q1349" s="174"/>
    </row>
    <row r="1350" spans="1:17" s="28" customFormat="1" x14ac:dyDescent="0.25">
      <c r="A1350" s="53"/>
      <c r="B1350" s="58"/>
      <c r="C1350" s="58"/>
      <c r="D1350" s="35"/>
      <c r="E1350" s="129"/>
      <c r="F1350" s="129"/>
      <c r="G1350" s="129"/>
      <c r="H1350" s="129"/>
      <c r="I1350" s="129"/>
      <c r="J1350" s="129"/>
      <c r="K1350" s="129"/>
      <c r="L1350" s="129"/>
      <c r="M1350" s="129"/>
      <c r="N1350" s="129"/>
      <c r="O1350" s="129"/>
      <c r="P1350" s="148"/>
      <c r="Q1350" s="174"/>
    </row>
    <row r="1351" spans="1:17" s="28" customFormat="1" x14ac:dyDescent="0.25">
      <c r="A1351" s="53"/>
      <c r="B1351" s="58"/>
      <c r="C1351" s="58"/>
      <c r="D1351" s="35"/>
      <c r="E1351" s="129"/>
      <c r="F1351" s="129"/>
      <c r="G1351" s="129"/>
      <c r="H1351" s="129"/>
      <c r="I1351" s="129"/>
      <c r="J1351" s="129"/>
      <c r="K1351" s="129"/>
      <c r="L1351" s="129"/>
      <c r="M1351" s="129"/>
      <c r="N1351" s="129"/>
      <c r="O1351" s="129"/>
      <c r="P1351" s="148"/>
      <c r="Q1351" s="174"/>
    </row>
    <row r="1352" spans="1:17" s="28" customFormat="1" x14ac:dyDescent="0.25">
      <c r="A1352" s="53"/>
      <c r="B1352" s="58"/>
      <c r="C1352" s="58"/>
      <c r="D1352" s="35"/>
      <c r="E1352" s="129"/>
      <c r="F1352" s="129"/>
      <c r="G1352" s="129"/>
      <c r="H1352" s="129"/>
      <c r="I1352" s="129"/>
      <c r="J1352" s="129"/>
      <c r="K1352" s="129"/>
      <c r="L1352" s="129"/>
      <c r="M1352" s="129"/>
      <c r="N1352" s="129"/>
      <c r="O1352" s="129"/>
      <c r="P1352" s="148"/>
      <c r="Q1352" s="174"/>
    </row>
    <row r="1353" spans="1:17" s="28" customFormat="1" x14ac:dyDescent="0.25">
      <c r="A1353" s="53"/>
      <c r="B1353" s="58"/>
      <c r="C1353" s="58"/>
      <c r="D1353" s="35"/>
      <c r="E1353" s="129"/>
      <c r="F1353" s="129"/>
      <c r="G1353" s="129"/>
      <c r="H1353" s="129"/>
      <c r="I1353" s="129"/>
      <c r="J1353" s="129"/>
      <c r="K1353" s="129"/>
      <c r="L1353" s="129"/>
      <c r="M1353" s="129"/>
      <c r="N1353" s="129"/>
      <c r="O1353" s="129"/>
      <c r="P1353" s="148"/>
      <c r="Q1353" s="174"/>
    </row>
    <row r="1354" spans="1:17" s="28" customFormat="1" x14ac:dyDescent="0.25">
      <c r="A1354" s="53"/>
      <c r="B1354" s="58"/>
      <c r="C1354" s="58"/>
      <c r="D1354" s="35"/>
      <c r="E1354" s="129"/>
      <c r="F1354" s="129"/>
      <c r="G1354" s="129"/>
      <c r="H1354" s="129"/>
      <c r="I1354" s="129"/>
      <c r="J1354" s="129"/>
      <c r="K1354" s="129"/>
      <c r="L1354" s="129"/>
      <c r="M1354" s="129"/>
      <c r="N1354" s="129"/>
      <c r="O1354" s="129"/>
      <c r="P1354" s="148"/>
      <c r="Q1354" s="174"/>
    </row>
    <row r="1355" spans="1:17" s="28" customFormat="1" x14ac:dyDescent="0.25">
      <c r="A1355" s="53"/>
      <c r="B1355" s="58"/>
      <c r="C1355" s="58"/>
      <c r="D1355" s="35"/>
      <c r="E1355" s="129"/>
      <c r="F1355" s="129"/>
      <c r="G1355" s="129"/>
      <c r="H1355" s="129"/>
      <c r="I1355" s="129"/>
      <c r="J1355" s="129"/>
      <c r="K1355" s="129"/>
      <c r="L1355" s="129"/>
      <c r="M1355" s="129"/>
      <c r="N1355" s="129"/>
      <c r="O1355" s="129"/>
      <c r="P1355" s="148"/>
      <c r="Q1355" s="174"/>
    </row>
    <row r="1356" spans="1:17" s="28" customFormat="1" x14ac:dyDescent="0.25">
      <c r="A1356" s="53"/>
      <c r="B1356" s="58"/>
      <c r="C1356" s="58"/>
      <c r="D1356" s="35"/>
      <c r="E1356" s="129"/>
      <c r="F1356" s="129"/>
      <c r="G1356" s="129"/>
      <c r="H1356" s="129"/>
      <c r="I1356" s="129"/>
      <c r="J1356" s="129"/>
      <c r="K1356" s="129"/>
      <c r="L1356" s="129"/>
      <c r="M1356" s="129"/>
      <c r="N1356" s="129"/>
      <c r="O1356" s="129"/>
      <c r="P1356" s="148"/>
      <c r="Q1356" s="174"/>
    </row>
    <row r="1357" spans="1:17" s="28" customFormat="1" x14ac:dyDescent="0.25">
      <c r="A1357" s="53"/>
      <c r="B1357" s="58"/>
      <c r="C1357" s="58"/>
      <c r="D1357" s="35"/>
      <c r="E1357" s="129"/>
      <c r="F1357" s="129"/>
      <c r="G1357" s="129"/>
      <c r="H1357" s="129"/>
      <c r="I1357" s="129"/>
      <c r="J1357" s="129"/>
      <c r="K1357" s="129"/>
      <c r="L1357" s="129"/>
      <c r="M1357" s="129"/>
      <c r="N1357" s="129"/>
      <c r="O1357" s="129"/>
      <c r="P1357" s="148"/>
      <c r="Q1357" s="174"/>
    </row>
    <row r="1358" spans="1:17" s="28" customFormat="1" x14ac:dyDescent="0.25">
      <c r="A1358" s="53"/>
      <c r="B1358" s="58"/>
      <c r="C1358" s="58"/>
      <c r="D1358" s="35"/>
      <c r="E1358" s="129"/>
      <c r="F1358" s="129"/>
      <c r="G1358" s="129"/>
      <c r="H1358" s="129"/>
      <c r="I1358" s="129"/>
      <c r="J1358" s="129"/>
      <c r="K1358" s="129"/>
      <c r="L1358" s="129"/>
      <c r="M1358" s="129"/>
      <c r="N1358" s="129"/>
      <c r="O1358" s="129"/>
      <c r="P1358" s="148"/>
      <c r="Q1358" s="174"/>
    </row>
    <row r="1359" spans="1:17" s="28" customFormat="1" x14ac:dyDescent="0.25">
      <c r="A1359" s="53"/>
      <c r="B1359" s="58"/>
      <c r="C1359" s="58"/>
      <c r="D1359" s="35"/>
      <c r="E1359" s="129"/>
      <c r="F1359" s="129"/>
      <c r="G1359" s="129"/>
      <c r="H1359" s="129"/>
      <c r="I1359" s="129"/>
      <c r="J1359" s="129"/>
      <c r="K1359" s="129"/>
      <c r="L1359" s="129"/>
      <c r="M1359" s="129"/>
      <c r="N1359" s="129"/>
      <c r="O1359" s="129"/>
      <c r="P1359" s="148"/>
      <c r="Q1359" s="174"/>
    </row>
    <row r="1360" spans="1:17" s="28" customFormat="1" x14ac:dyDescent="0.25">
      <c r="A1360" s="53"/>
      <c r="B1360" s="58"/>
      <c r="C1360" s="58"/>
      <c r="D1360" s="35"/>
      <c r="E1360" s="129"/>
      <c r="F1360" s="129"/>
      <c r="G1360" s="129"/>
      <c r="H1360" s="129"/>
      <c r="I1360" s="129"/>
      <c r="J1360" s="129"/>
      <c r="K1360" s="129"/>
      <c r="L1360" s="129"/>
      <c r="M1360" s="129"/>
      <c r="N1360" s="129"/>
      <c r="O1360" s="129"/>
      <c r="P1360" s="148"/>
      <c r="Q1360" s="174"/>
    </row>
    <row r="1361" spans="1:17" s="28" customFormat="1" x14ac:dyDescent="0.25">
      <c r="A1361" s="53"/>
      <c r="B1361" s="58"/>
      <c r="C1361" s="58"/>
      <c r="D1361" s="35"/>
      <c r="E1361" s="129"/>
      <c r="F1361" s="129"/>
      <c r="G1361" s="129"/>
      <c r="H1361" s="129"/>
      <c r="I1361" s="129"/>
      <c r="J1361" s="129"/>
      <c r="K1361" s="129"/>
      <c r="L1361" s="129"/>
      <c r="M1361" s="129"/>
      <c r="N1361" s="129"/>
      <c r="O1361" s="129"/>
      <c r="P1361" s="148"/>
      <c r="Q1361" s="174"/>
    </row>
    <row r="1362" spans="1:17" s="28" customFormat="1" x14ac:dyDescent="0.25">
      <c r="A1362" s="53"/>
      <c r="B1362" s="58"/>
      <c r="C1362" s="58"/>
      <c r="D1362" s="35"/>
      <c r="E1362" s="129"/>
      <c r="F1362" s="129"/>
      <c r="G1362" s="129"/>
      <c r="H1362" s="129"/>
      <c r="I1362" s="129"/>
      <c r="J1362" s="129"/>
      <c r="K1362" s="129"/>
      <c r="L1362" s="129"/>
      <c r="M1362" s="129"/>
      <c r="N1362" s="129"/>
      <c r="O1362" s="129"/>
      <c r="P1362" s="148"/>
      <c r="Q1362" s="174"/>
    </row>
    <row r="1363" spans="1:17" s="28" customFormat="1" x14ac:dyDescent="0.25">
      <c r="A1363" s="53"/>
      <c r="B1363" s="58"/>
      <c r="C1363" s="58"/>
      <c r="D1363" s="35"/>
      <c r="E1363" s="129"/>
      <c r="F1363" s="129"/>
      <c r="G1363" s="129"/>
      <c r="H1363" s="129"/>
      <c r="I1363" s="129"/>
      <c r="J1363" s="129"/>
      <c r="K1363" s="129"/>
      <c r="L1363" s="129"/>
      <c r="M1363" s="129"/>
      <c r="N1363" s="129"/>
      <c r="O1363" s="129"/>
      <c r="P1363" s="148"/>
      <c r="Q1363" s="174"/>
    </row>
    <row r="1364" spans="1:17" s="28" customFormat="1" x14ac:dyDescent="0.25">
      <c r="A1364" s="53"/>
      <c r="B1364" s="58"/>
      <c r="C1364" s="58"/>
      <c r="D1364" s="35"/>
      <c r="E1364" s="129"/>
      <c r="F1364" s="129"/>
      <c r="G1364" s="129"/>
      <c r="H1364" s="129"/>
      <c r="I1364" s="129"/>
      <c r="J1364" s="129"/>
      <c r="K1364" s="129"/>
      <c r="L1364" s="129"/>
      <c r="M1364" s="129"/>
      <c r="N1364" s="129"/>
      <c r="O1364" s="129"/>
      <c r="P1364" s="148"/>
      <c r="Q1364" s="174"/>
    </row>
    <row r="1365" spans="1:17" s="28" customFormat="1" x14ac:dyDescent="0.25">
      <c r="A1365" s="53"/>
      <c r="B1365" s="58"/>
      <c r="C1365" s="58"/>
      <c r="D1365" s="35"/>
      <c r="E1365" s="129"/>
      <c r="F1365" s="129"/>
      <c r="G1365" s="129"/>
      <c r="H1365" s="129"/>
      <c r="I1365" s="129"/>
      <c r="J1365" s="129"/>
      <c r="K1365" s="129"/>
      <c r="L1365" s="129"/>
      <c r="M1365" s="129"/>
      <c r="N1365" s="129"/>
      <c r="O1365" s="129"/>
      <c r="P1365" s="148"/>
      <c r="Q1365" s="174"/>
    </row>
    <row r="1366" spans="1:17" s="28" customFormat="1" x14ac:dyDescent="0.25">
      <c r="A1366" s="53"/>
      <c r="B1366" s="58"/>
      <c r="C1366" s="58"/>
      <c r="D1366" s="35"/>
      <c r="E1366" s="129"/>
      <c r="F1366" s="129"/>
      <c r="G1366" s="129"/>
      <c r="H1366" s="129"/>
      <c r="I1366" s="129"/>
      <c r="J1366" s="129"/>
      <c r="K1366" s="129"/>
      <c r="L1366" s="129"/>
      <c r="M1366" s="129"/>
      <c r="N1366" s="129"/>
      <c r="O1366" s="129"/>
      <c r="P1366" s="148"/>
      <c r="Q1366" s="174"/>
    </row>
    <row r="1367" spans="1:17" s="28" customFormat="1" x14ac:dyDescent="0.25">
      <c r="A1367" s="53"/>
      <c r="B1367" s="58"/>
      <c r="C1367" s="58"/>
      <c r="D1367" s="35"/>
      <c r="E1367" s="129"/>
      <c r="F1367" s="129"/>
      <c r="G1367" s="129"/>
      <c r="H1367" s="129"/>
      <c r="I1367" s="129"/>
      <c r="J1367" s="129"/>
      <c r="K1367" s="129"/>
      <c r="L1367" s="129"/>
      <c r="M1367" s="129"/>
      <c r="N1367" s="129"/>
      <c r="O1367" s="129"/>
      <c r="P1367" s="148"/>
      <c r="Q1367" s="174"/>
    </row>
    <row r="1368" spans="1:17" s="28" customFormat="1" x14ac:dyDescent="0.25">
      <c r="A1368" s="53"/>
      <c r="B1368" s="58"/>
      <c r="C1368" s="58"/>
      <c r="D1368" s="35"/>
      <c r="E1368" s="129"/>
      <c r="F1368" s="129"/>
      <c r="G1368" s="129"/>
      <c r="H1368" s="129"/>
      <c r="I1368" s="129"/>
      <c r="J1368" s="129"/>
      <c r="K1368" s="129"/>
      <c r="L1368" s="129"/>
      <c r="M1368" s="129"/>
      <c r="N1368" s="129"/>
      <c r="O1368" s="129"/>
      <c r="P1368" s="148"/>
      <c r="Q1368" s="174"/>
    </row>
    <row r="1369" spans="1:17" s="28" customFormat="1" x14ac:dyDescent="0.25">
      <c r="A1369" s="53"/>
      <c r="B1369" s="58"/>
      <c r="C1369" s="58"/>
      <c r="D1369" s="35"/>
      <c r="E1369" s="129"/>
      <c r="F1369" s="129"/>
      <c r="G1369" s="129"/>
      <c r="H1369" s="129"/>
      <c r="I1369" s="129"/>
      <c r="J1369" s="129"/>
      <c r="K1369" s="129"/>
      <c r="L1369" s="129"/>
      <c r="M1369" s="129"/>
      <c r="N1369" s="129"/>
      <c r="O1369" s="129"/>
      <c r="P1369" s="148"/>
      <c r="Q1369" s="174"/>
    </row>
    <row r="1370" spans="1:17" s="28" customFormat="1" x14ac:dyDescent="0.25">
      <c r="A1370" s="53"/>
      <c r="B1370" s="58"/>
      <c r="C1370" s="58"/>
      <c r="D1370" s="35"/>
      <c r="E1370" s="129"/>
      <c r="F1370" s="129"/>
      <c r="G1370" s="129"/>
      <c r="H1370" s="129"/>
      <c r="I1370" s="129"/>
      <c r="J1370" s="129"/>
      <c r="K1370" s="129"/>
      <c r="L1370" s="129"/>
      <c r="M1370" s="129"/>
      <c r="N1370" s="129"/>
      <c r="O1370" s="129"/>
      <c r="P1370" s="148"/>
      <c r="Q1370" s="174"/>
    </row>
    <row r="1371" spans="1:17" s="28" customFormat="1" x14ac:dyDescent="0.25">
      <c r="A1371" s="53"/>
      <c r="B1371" s="58"/>
      <c r="C1371" s="58"/>
      <c r="D1371" s="35"/>
      <c r="E1371" s="129"/>
      <c r="F1371" s="129"/>
      <c r="G1371" s="129"/>
      <c r="H1371" s="129"/>
      <c r="I1371" s="129"/>
      <c r="J1371" s="129"/>
      <c r="K1371" s="129"/>
      <c r="L1371" s="129"/>
      <c r="M1371" s="129"/>
      <c r="N1371" s="129"/>
      <c r="O1371" s="129"/>
      <c r="P1371" s="148"/>
      <c r="Q1371" s="174"/>
    </row>
    <row r="1372" spans="1:17" s="28" customFormat="1" x14ac:dyDescent="0.25">
      <c r="A1372" s="53"/>
      <c r="B1372" s="58"/>
      <c r="C1372" s="58"/>
      <c r="D1372" s="35"/>
      <c r="E1372" s="129"/>
      <c r="F1372" s="129"/>
      <c r="G1372" s="129"/>
      <c r="H1372" s="129"/>
      <c r="I1372" s="129"/>
      <c r="J1372" s="129"/>
      <c r="K1372" s="129"/>
      <c r="L1372" s="129"/>
      <c r="M1372" s="129"/>
      <c r="N1372" s="129"/>
      <c r="O1372" s="129"/>
      <c r="P1372" s="148"/>
      <c r="Q1372" s="174"/>
    </row>
    <row r="1373" spans="1:17" s="28" customFormat="1" x14ac:dyDescent="0.25">
      <c r="A1373" s="53"/>
      <c r="B1373" s="58"/>
      <c r="C1373" s="58"/>
      <c r="D1373" s="35"/>
      <c r="E1373" s="129"/>
      <c r="F1373" s="129"/>
      <c r="G1373" s="129"/>
      <c r="H1373" s="129"/>
      <c r="I1373" s="129"/>
      <c r="J1373" s="129"/>
      <c r="K1373" s="129"/>
      <c r="L1373" s="129"/>
      <c r="M1373" s="129"/>
      <c r="N1373" s="129"/>
      <c r="O1373" s="129"/>
      <c r="P1373" s="148"/>
      <c r="Q1373" s="174"/>
    </row>
    <row r="1374" spans="1:17" s="28" customFormat="1" x14ac:dyDescent="0.25">
      <c r="A1374" s="53"/>
      <c r="B1374" s="58"/>
      <c r="C1374" s="58"/>
      <c r="D1374" s="35"/>
      <c r="E1374" s="129"/>
      <c r="F1374" s="129"/>
      <c r="G1374" s="129"/>
      <c r="H1374" s="129"/>
      <c r="I1374" s="129"/>
      <c r="J1374" s="129"/>
      <c r="K1374" s="129"/>
      <c r="L1374" s="129"/>
      <c r="M1374" s="129"/>
      <c r="N1374" s="129"/>
      <c r="O1374" s="129"/>
      <c r="P1374" s="148"/>
      <c r="Q1374" s="174"/>
    </row>
    <row r="1375" spans="1:17" s="28" customFormat="1" x14ac:dyDescent="0.25">
      <c r="A1375" s="53"/>
      <c r="B1375" s="58"/>
      <c r="C1375" s="58"/>
      <c r="D1375" s="35"/>
      <c r="E1375" s="129"/>
      <c r="F1375" s="129"/>
      <c r="G1375" s="129"/>
      <c r="H1375" s="129"/>
      <c r="I1375" s="129"/>
      <c r="J1375" s="129"/>
      <c r="K1375" s="129"/>
      <c r="L1375" s="129"/>
      <c r="M1375" s="129"/>
      <c r="N1375" s="129"/>
      <c r="O1375" s="129"/>
      <c r="P1375" s="148"/>
      <c r="Q1375" s="174"/>
    </row>
    <row r="1376" spans="1:17" s="28" customFormat="1" x14ac:dyDescent="0.25">
      <c r="A1376" s="53"/>
      <c r="B1376" s="58"/>
      <c r="C1376" s="58"/>
      <c r="D1376" s="35"/>
      <c r="E1376" s="129"/>
      <c r="F1376" s="129"/>
      <c r="G1376" s="129"/>
      <c r="H1376" s="129"/>
      <c r="I1376" s="129"/>
      <c r="J1376" s="129"/>
      <c r="K1376" s="129"/>
      <c r="L1376" s="129"/>
      <c r="M1376" s="129"/>
      <c r="N1376" s="129"/>
      <c r="O1376" s="129"/>
      <c r="P1376" s="148"/>
      <c r="Q1376" s="174"/>
    </row>
    <row r="1377" spans="1:17" s="28" customFormat="1" x14ac:dyDescent="0.25">
      <c r="A1377" s="53"/>
      <c r="B1377" s="58"/>
      <c r="C1377" s="58"/>
      <c r="D1377" s="35"/>
      <c r="E1377" s="129"/>
      <c r="F1377" s="129"/>
      <c r="G1377" s="129"/>
      <c r="H1377" s="129"/>
      <c r="I1377" s="129"/>
      <c r="J1377" s="129"/>
      <c r="K1377" s="129"/>
      <c r="L1377" s="129"/>
      <c r="M1377" s="129"/>
      <c r="N1377" s="129"/>
      <c r="O1377" s="129"/>
      <c r="P1377" s="148"/>
      <c r="Q1377" s="174"/>
    </row>
    <row r="1378" spans="1:17" s="28" customFormat="1" x14ac:dyDescent="0.25">
      <c r="A1378" s="53"/>
      <c r="B1378" s="58"/>
      <c r="C1378" s="58"/>
      <c r="D1378" s="35"/>
      <c r="E1378" s="129"/>
      <c r="F1378" s="129"/>
      <c r="G1378" s="129"/>
      <c r="H1378" s="129"/>
      <c r="I1378" s="129"/>
      <c r="J1378" s="129"/>
      <c r="K1378" s="129"/>
      <c r="L1378" s="129"/>
      <c r="M1378" s="129"/>
      <c r="N1378" s="129"/>
      <c r="O1378" s="129"/>
      <c r="P1378" s="148"/>
      <c r="Q1378" s="174"/>
    </row>
    <row r="1379" spans="1:17" s="28" customFormat="1" x14ac:dyDescent="0.25">
      <c r="A1379" s="53"/>
      <c r="B1379" s="58"/>
      <c r="C1379" s="58"/>
      <c r="D1379" s="35"/>
      <c r="E1379" s="129"/>
      <c r="F1379" s="129"/>
      <c r="G1379" s="129"/>
      <c r="H1379" s="129"/>
      <c r="I1379" s="129"/>
      <c r="J1379" s="129"/>
      <c r="K1379" s="129"/>
      <c r="L1379" s="129"/>
      <c r="M1379" s="129"/>
      <c r="N1379" s="129"/>
      <c r="O1379" s="129"/>
      <c r="P1379" s="148"/>
      <c r="Q1379" s="174"/>
    </row>
    <row r="1380" spans="1:17" s="28" customFormat="1" x14ac:dyDescent="0.25">
      <c r="A1380" s="53"/>
      <c r="B1380" s="58"/>
      <c r="C1380" s="58"/>
      <c r="D1380" s="35"/>
      <c r="E1380" s="129"/>
      <c r="F1380" s="129"/>
      <c r="G1380" s="129"/>
      <c r="H1380" s="129"/>
      <c r="I1380" s="129"/>
      <c r="J1380" s="129"/>
      <c r="K1380" s="129"/>
      <c r="L1380" s="129"/>
      <c r="M1380" s="129"/>
      <c r="N1380" s="129"/>
      <c r="O1380" s="129"/>
      <c r="P1380" s="148"/>
      <c r="Q1380" s="174"/>
    </row>
    <row r="1381" spans="1:17" s="28" customFormat="1" x14ac:dyDescent="0.25">
      <c r="A1381" s="53"/>
      <c r="B1381" s="58"/>
      <c r="C1381" s="58"/>
      <c r="D1381" s="35"/>
      <c r="E1381" s="129"/>
      <c r="F1381" s="129"/>
      <c r="G1381" s="129"/>
      <c r="H1381" s="129"/>
      <c r="I1381" s="129"/>
      <c r="J1381" s="129"/>
      <c r="K1381" s="129"/>
      <c r="L1381" s="129"/>
      <c r="M1381" s="129"/>
      <c r="N1381" s="129"/>
      <c r="O1381" s="129"/>
      <c r="P1381" s="148"/>
      <c r="Q1381" s="174"/>
    </row>
    <row r="1382" spans="1:17" s="28" customFormat="1" x14ac:dyDescent="0.25">
      <c r="A1382" s="53"/>
      <c r="B1382" s="58"/>
      <c r="C1382" s="58"/>
      <c r="D1382" s="35"/>
      <c r="E1382" s="129"/>
      <c r="F1382" s="129"/>
      <c r="G1382" s="129"/>
      <c r="H1382" s="129"/>
      <c r="I1382" s="129"/>
      <c r="J1382" s="129"/>
      <c r="K1382" s="129"/>
      <c r="L1382" s="129"/>
      <c r="M1382" s="129"/>
      <c r="N1382" s="129"/>
      <c r="O1382" s="129"/>
      <c r="P1382" s="148"/>
      <c r="Q1382" s="174"/>
    </row>
    <row r="1383" spans="1:17" s="28" customFormat="1" x14ac:dyDescent="0.25">
      <c r="A1383" s="53"/>
      <c r="B1383" s="58"/>
      <c r="C1383" s="58"/>
      <c r="D1383" s="35"/>
      <c r="E1383" s="129"/>
      <c r="F1383" s="129"/>
      <c r="G1383" s="129"/>
      <c r="H1383" s="129"/>
      <c r="I1383" s="129"/>
      <c r="J1383" s="129"/>
      <c r="K1383" s="129"/>
      <c r="L1383" s="129"/>
      <c r="M1383" s="129"/>
      <c r="N1383" s="129"/>
      <c r="O1383" s="129"/>
      <c r="P1383" s="148"/>
      <c r="Q1383" s="174"/>
    </row>
    <row r="1384" spans="1:17" s="28" customFormat="1" x14ac:dyDescent="0.25">
      <c r="A1384" s="53"/>
      <c r="B1384" s="58"/>
      <c r="C1384" s="58"/>
      <c r="D1384" s="35"/>
      <c r="E1384" s="129"/>
      <c r="F1384" s="129"/>
      <c r="G1384" s="129"/>
      <c r="H1384" s="129"/>
      <c r="I1384" s="129"/>
      <c r="J1384" s="129"/>
      <c r="K1384" s="129"/>
      <c r="L1384" s="129"/>
      <c r="M1384" s="129"/>
      <c r="N1384" s="129"/>
      <c r="O1384" s="129"/>
      <c r="P1384" s="148"/>
      <c r="Q1384" s="174"/>
    </row>
    <row r="1385" spans="1:17" s="28" customFormat="1" x14ac:dyDescent="0.25">
      <c r="A1385" s="53"/>
      <c r="B1385" s="58"/>
      <c r="C1385" s="58"/>
      <c r="D1385" s="35"/>
      <c r="E1385" s="129"/>
      <c r="F1385" s="129"/>
      <c r="G1385" s="129"/>
      <c r="H1385" s="129"/>
      <c r="I1385" s="129"/>
      <c r="J1385" s="129"/>
      <c r="K1385" s="129"/>
      <c r="L1385" s="129"/>
      <c r="M1385" s="129"/>
      <c r="N1385" s="129"/>
      <c r="O1385" s="129"/>
      <c r="P1385" s="148"/>
      <c r="Q1385" s="174"/>
    </row>
    <row r="1386" spans="1:17" s="28" customFormat="1" x14ac:dyDescent="0.25">
      <c r="A1386" s="53"/>
      <c r="B1386" s="58"/>
      <c r="C1386" s="58"/>
      <c r="D1386" s="35"/>
      <c r="E1386" s="129"/>
      <c r="F1386" s="129"/>
      <c r="G1386" s="129"/>
      <c r="H1386" s="129"/>
      <c r="I1386" s="129"/>
      <c r="J1386" s="129"/>
      <c r="K1386" s="129"/>
      <c r="L1386" s="129"/>
      <c r="M1386" s="129"/>
      <c r="N1386" s="129"/>
      <c r="O1386" s="129"/>
      <c r="P1386" s="148"/>
      <c r="Q1386" s="174"/>
    </row>
    <row r="1387" spans="1:17" s="28" customFormat="1" x14ac:dyDescent="0.25">
      <c r="A1387" s="53"/>
      <c r="B1387" s="58"/>
      <c r="C1387" s="58"/>
      <c r="D1387" s="35"/>
      <c r="E1387" s="129"/>
      <c r="F1387" s="129"/>
      <c r="G1387" s="129"/>
      <c r="H1387" s="129"/>
      <c r="I1387" s="129"/>
      <c r="J1387" s="129"/>
      <c r="K1387" s="129"/>
      <c r="L1387" s="129"/>
      <c r="M1387" s="129"/>
      <c r="N1387" s="129"/>
      <c r="O1387" s="129"/>
      <c r="P1387" s="148"/>
      <c r="Q1387" s="174"/>
    </row>
    <row r="1388" spans="1:17" s="28" customFormat="1" x14ac:dyDescent="0.25">
      <c r="A1388" s="53"/>
      <c r="B1388" s="58"/>
      <c r="C1388" s="58"/>
      <c r="D1388" s="35"/>
      <c r="E1388" s="129"/>
      <c r="F1388" s="129"/>
      <c r="G1388" s="129"/>
      <c r="H1388" s="129"/>
      <c r="I1388" s="129"/>
      <c r="J1388" s="129"/>
      <c r="K1388" s="129"/>
      <c r="L1388" s="129"/>
      <c r="M1388" s="129"/>
      <c r="N1388" s="129"/>
      <c r="O1388" s="129"/>
      <c r="P1388" s="148"/>
      <c r="Q1388" s="174"/>
    </row>
    <row r="1389" spans="1:17" s="28" customFormat="1" x14ac:dyDescent="0.25">
      <c r="A1389" s="53"/>
      <c r="B1389" s="58"/>
      <c r="C1389" s="58"/>
      <c r="D1389" s="35"/>
      <c r="E1389" s="129"/>
      <c r="F1389" s="129"/>
      <c r="G1389" s="129"/>
      <c r="H1389" s="129"/>
      <c r="I1389" s="129"/>
      <c r="J1389" s="129"/>
      <c r="K1389" s="129"/>
      <c r="L1389" s="129"/>
      <c r="M1389" s="129"/>
      <c r="N1389" s="129"/>
      <c r="O1389" s="129"/>
      <c r="P1389" s="148"/>
      <c r="Q1389" s="174"/>
    </row>
    <row r="1390" spans="1:17" s="28" customFormat="1" x14ac:dyDescent="0.25">
      <c r="A1390" s="53"/>
      <c r="B1390" s="58"/>
      <c r="C1390" s="58"/>
      <c r="D1390" s="35"/>
      <c r="E1390" s="129"/>
      <c r="F1390" s="129"/>
      <c r="G1390" s="129"/>
      <c r="H1390" s="129"/>
      <c r="I1390" s="129"/>
      <c r="J1390" s="129"/>
      <c r="K1390" s="129"/>
      <c r="L1390" s="129"/>
      <c r="M1390" s="129"/>
      <c r="N1390" s="129"/>
      <c r="O1390" s="129"/>
      <c r="P1390" s="148"/>
      <c r="Q1390" s="174"/>
    </row>
    <row r="1391" spans="1:17" s="28" customFormat="1" x14ac:dyDescent="0.25">
      <c r="A1391" s="53"/>
      <c r="B1391" s="58"/>
      <c r="C1391" s="58"/>
      <c r="D1391" s="35"/>
      <c r="E1391" s="129"/>
      <c r="F1391" s="129"/>
      <c r="G1391" s="129"/>
      <c r="H1391" s="129"/>
      <c r="I1391" s="129"/>
      <c r="J1391" s="129"/>
      <c r="K1391" s="129"/>
      <c r="L1391" s="129"/>
      <c r="M1391" s="129"/>
      <c r="N1391" s="129"/>
      <c r="O1391" s="129"/>
      <c r="P1391" s="148"/>
      <c r="Q1391" s="174"/>
    </row>
    <row r="1392" spans="1:17" s="28" customFormat="1" x14ac:dyDescent="0.25">
      <c r="A1392" s="53"/>
      <c r="B1392" s="58"/>
      <c r="C1392" s="58"/>
      <c r="D1392" s="35"/>
      <c r="E1392" s="129"/>
      <c r="F1392" s="129"/>
      <c r="G1392" s="129"/>
      <c r="H1392" s="129"/>
      <c r="I1392" s="129"/>
      <c r="J1392" s="129"/>
      <c r="K1392" s="129"/>
      <c r="L1392" s="129"/>
      <c r="M1392" s="129"/>
      <c r="N1392" s="129"/>
      <c r="O1392" s="129"/>
      <c r="P1392" s="148"/>
      <c r="Q1392" s="174"/>
    </row>
    <row r="1393" spans="1:17" s="28" customFormat="1" x14ac:dyDescent="0.25">
      <c r="A1393" s="53"/>
      <c r="B1393" s="58"/>
      <c r="C1393" s="58"/>
      <c r="D1393" s="35"/>
      <c r="E1393" s="129"/>
      <c r="F1393" s="129"/>
      <c r="G1393" s="129"/>
      <c r="H1393" s="129"/>
      <c r="I1393" s="129"/>
      <c r="J1393" s="129"/>
      <c r="K1393" s="129"/>
      <c r="L1393" s="129"/>
      <c r="M1393" s="129"/>
      <c r="N1393" s="129"/>
      <c r="O1393" s="129"/>
      <c r="P1393" s="148"/>
      <c r="Q1393" s="174"/>
    </row>
    <row r="1394" spans="1:17" s="28" customFormat="1" x14ac:dyDescent="0.25">
      <c r="A1394" s="53"/>
      <c r="B1394" s="58"/>
      <c r="C1394" s="58"/>
      <c r="D1394" s="35"/>
      <c r="E1394" s="129"/>
      <c r="F1394" s="129"/>
      <c r="G1394" s="129"/>
      <c r="H1394" s="129"/>
      <c r="I1394" s="129"/>
      <c r="J1394" s="129"/>
      <c r="K1394" s="129"/>
      <c r="L1394" s="129"/>
      <c r="M1394" s="129"/>
      <c r="N1394" s="129"/>
      <c r="O1394" s="129"/>
      <c r="P1394" s="148"/>
      <c r="Q1394" s="174"/>
    </row>
    <row r="1395" spans="1:17" s="28" customFormat="1" x14ac:dyDescent="0.25">
      <c r="A1395" s="53"/>
      <c r="B1395" s="58"/>
      <c r="C1395" s="58"/>
      <c r="D1395" s="35"/>
      <c r="E1395" s="129"/>
      <c r="F1395" s="129"/>
      <c r="G1395" s="129"/>
      <c r="H1395" s="129"/>
      <c r="I1395" s="129"/>
      <c r="J1395" s="129"/>
      <c r="K1395" s="129"/>
      <c r="L1395" s="129"/>
      <c r="M1395" s="129"/>
      <c r="N1395" s="129"/>
      <c r="O1395" s="129"/>
      <c r="P1395" s="148"/>
      <c r="Q1395" s="174"/>
    </row>
    <row r="1396" spans="1:17" s="28" customFormat="1" x14ac:dyDescent="0.25">
      <c r="A1396" s="53"/>
      <c r="B1396" s="58"/>
      <c r="C1396" s="58"/>
      <c r="D1396" s="35"/>
      <c r="E1396" s="129"/>
      <c r="F1396" s="129"/>
      <c r="G1396" s="129"/>
      <c r="H1396" s="129"/>
      <c r="I1396" s="129"/>
      <c r="J1396" s="129"/>
      <c r="K1396" s="129"/>
      <c r="L1396" s="129"/>
      <c r="M1396" s="129"/>
      <c r="N1396" s="129"/>
      <c r="O1396" s="129"/>
      <c r="P1396" s="148"/>
      <c r="Q1396" s="174"/>
    </row>
    <row r="1397" spans="1:17" s="28" customFormat="1" x14ac:dyDescent="0.25">
      <c r="A1397" s="53"/>
      <c r="B1397" s="58"/>
      <c r="C1397" s="58"/>
      <c r="D1397" s="35"/>
      <c r="E1397" s="129"/>
      <c r="F1397" s="129"/>
      <c r="G1397" s="129"/>
      <c r="H1397" s="129"/>
      <c r="I1397" s="129"/>
      <c r="J1397" s="129"/>
      <c r="K1397" s="129"/>
      <c r="L1397" s="129"/>
      <c r="M1397" s="129"/>
      <c r="N1397" s="129"/>
      <c r="O1397" s="129"/>
      <c r="P1397" s="148"/>
      <c r="Q1397" s="174"/>
    </row>
    <row r="1398" spans="1:17" s="28" customFormat="1" x14ac:dyDescent="0.25">
      <c r="A1398" s="53"/>
      <c r="B1398" s="58"/>
      <c r="C1398" s="58"/>
      <c r="D1398" s="35"/>
      <c r="E1398" s="129"/>
      <c r="F1398" s="129"/>
      <c r="G1398" s="129"/>
      <c r="H1398" s="129"/>
      <c r="I1398" s="129"/>
      <c r="J1398" s="129"/>
      <c r="K1398" s="129"/>
      <c r="L1398" s="129"/>
      <c r="M1398" s="129"/>
      <c r="N1398" s="129"/>
      <c r="O1398" s="129"/>
      <c r="P1398" s="148"/>
      <c r="Q1398" s="174"/>
    </row>
    <row r="1399" spans="1:17" s="28" customFormat="1" x14ac:dyDescent="0.25">
      <c r="A1399" s="53"/>
      <c r="B1399" s="58"/>
      <c r="C1399" s="58"/>
      <c r="D1399" s="35"/>
      <c r="E1399" s="129"/>
      <c r="F1399" s="129"/>
      <c r="G1399" s="129"/>
      <c r="H1399" s="129"/>
      <c r="I1399" s="129"/>
      <c r="J1399" s="129"/>
      <c r="K1399" s="129"/>
      <c r="L1399" s="129"/>
      <c r="M1399" s="129"/>
      <c r="N1399" s="129"/>
      <c r="O1399" s="129"/>
      <c r="P1399" s="148"/>
      <c r="Q1399" s="174"/>
    </row>
    <row r="1400" spans="1:17" s="28" customFormat="1" x14ac:dyDescent="0.25">
      <c r="A1400" s="53"/>
      <c r="B1400" s="58"/>
      <c r="C1400" s="58"/>
      <c r="D1400" s="35"/>
      <c r="E1400" s="129"/>
      <c r="F1400" s="129"/>
      <c r="G1400" s="129"/>
      <c r="H1400" s="129"/>
      <c r="I1400" s="129"/>
      <c r="J1400" s="129"/>
      <c r="K1400" s="129"/>
      <c r="L1400" s="129"/>
      <c r="M1400" s="129"/>
      <c r="N1400" s="129"/>
      <c r="O1400" s="129"/>
      <c r="P1400" s="148"/>
      <c r="Q1400" s="174"/>
    </row>
    <row r="1401" spans="1:17" s="28" customFormat="1" x14ac:dyDescent="0.25">
      <c r="A1401" s="53"/>
      <c r="B1401" s="58"/>
      <c r="C1401" s="58"/>
      <c r="D1401" s="35"/>
      <c r="E1401" s="129"/>
      <c r="F1401" s="129"/>
      <c r="G1401" s="129"/>
      <c r="H1401" s="129"/>
      <c r="I1401" s="129"/>
      <c r="J1401" s="129"/>
      <c r="K1401" s="129"/>
      <c r="L1401" s="129"/>
      <c r="M1401" s="129"/>
      <c r="N1401" s="129"/>
      <c r="O1401" s="129"/>
      <c r="P1401" s="148"/>
      <c r="Q1401" s="174"/>
    </row>
    <row r="1402" spans="1:17" s="28" customFormat="1" x14ac:dyDescent="0.25">
      <c r="A1402" s="53"/>
      <c r="B1402" s="58"/>
      <c r="C1402" s="58"/>
      <c r="D1402" s="35"/>
      <c r="E1402" s="129"/>
      <c r="F1402" s="129"/>
      <c r="G1402" s="129"/>
      <c r="H1402" s="129"/>
      <c r="I1402" s="129"/>
      <c r="J1402" s="129"/>
      <c r="K1402" s="129"/>
      <c r="L1402" s="129"/>
      <c r="M1402" s="129"/>
      <c r="N1402" s="129"/>
      <c r="O1402" s="129"/>
      <c r="P1402" s="148"/>
      <c r="Q1402" s="174"/>
    </row>
    <row r="1403" spans="1:17" s="28" customFormat="1" x14ac:dyDescent="0.25">
      <c r="A1403" s="53"/>
      <c r="B1403" s="58"/>
      <c r="C1403" s="58"/>
      <c r="D1403" s="35"/>
      <c r="E1403" s="129"/>
      <c r="F1403" s="129"/>
      <c r="G1403" s="129"/>
      <c r="H1403" s="129"/>
      <c r="I1403" s="129"/>
      <c r="J1403" s="129"/>
      <c r="K1403" s="129"/>
      <c r="L1403" s="129"/>
      <c r="M1403" s="129"/>
      <c r="N1403" s="129"/>
      <c r="O1403" s="129"/>
      <c r="P1403" s="148"/>
      <c r="Q1403" s="174"/>
    </row>
    <row r="1404" spans="1:17" s="28" customFormat="1" x14ac:dyDescent="0.25">
      <c r="A1404" s="53"/>
      <c r="B1404" s="58"/>
      <c r="C1404" s="58"/>
      <c r="D1404" s="35"/>
      <c r="E1404" s="129"/>
      <c r="F1404" s="129"/>
      <c r="G1404" s="129"/>
      <c r="H1404" s="129"/>
      <c r="I1404" s="129"/>
      <c r="J1404" s="129"/>
      <c r="K1404" s="129"/>
      <c r="L1404" s="129"/>
      <c r="M1404" s="129"/>
      <c r="N1404" s="129"/>
      <c r="O1404" s="129"/>
      <c r="P1404" s="148"/>
      <c r="Q1404" s="174"/>
    </row>
    <row r="1405" spans="1:17" s="28" customFormat="1" x14ac:dyDescent="0.25">
      <c r="A1405" s="53"/>
      <c r="B1405" s="58"/>
      <c r="C1405" s="58"/>
      <c r="D1405" s="35"/>
      <c r="E1405" s="129"/>
      <c r="F1405" s="129"/>
      <c r="G1405" s="129"/>
      <c r="H1405" s="129"/>
      <c r="I1405" s="129"/>
      <c r="J1405" s="129"/>
      <c r="K1405" s="129"/>
      <c r="L1405" s="129"/>
      <c r="M1405" s="129"/>
      <c r="N1405" s="129"/>
      <c r="O1405" s="129"/>
      <c r="P1405" s="148"/>
      <c r="Q1405" s="174"/>
    </row>
    <row r="1406" spans="1:17" s="28" customFormat="1" x14ac:dyDescent="0.25">
      <c r="A1406" s="53"/>
      <c r="B1406" s="58"/>
      <c r="C1406" s="58"/>
      <c r="D1406" s="35"/>
      <c r="E1406" s="129"/>
      <c r="F1406" s="129"/>
      <c r="G1406" s="129"/>
      <c r="H1406" s="129"/>
      <c r="I1406" s="129"/>
      <c r="J1406" s="129"/>
      <c r="K1406" s="129"/>
      <c r="L1406" s="129"/>
      <c r="M1406" s="129"/>
      <c r="N1406" s="129"/>
      <c r="O1406" s="129"/>
      <c r="P1406" s="148"/>
      <c r="Q1406" s="174"/>
    </row>
    <row r="1407" spans="1:17" s="28" customFormat="1" x14ac:dyDescent="0.25">
      <c r="A1407" s="53"/>
      <c r="B1407" s="58"/>
      <c r="C1407" s="58"/>
      <c r="D1407" s="35"/>
      <c r="E1407" s="129"/>
      <c r="F1407" s="129"/>
      <c r="G1407" s="129"/>
      <c r="H1407" s="129"/>
      <c r="I1407" s="129"/>
      <c r="J1407" s="129"/>
      <c r="K1407" s="129"/>
      <c r="L1407" s="129"/>
      <c r="M1407" s="129"/>
      <c r="N1407" s="129"/>
      <c r="O1407" s="129"/>
      <c r="P1407" s="148"/>
      <c r="Q1407" s="174"/>
    </row>
    <row r="1408" spans="1:17" s="28" customFormat="1" x14ac:dyDescent="0.25">
      <c r="A1408" s="53"/>
      <c r="B1408" s="58"/>
      <c r="C1408" s="58"/>
      <c r="D1408" s="35"/>
      <c r="E1408" s="129"/>
      <c r="F1408" s="129"/>
      <c r="G1408" s="129"/>
      <c r="H1408" s="129"/>
      <c r="I1408" s="129"/>
      <c r="J1408" s="129"/>
      <c r="K1408" s="129"/>
      <c r="L1408" s="129"/>
      <c r="M1408" s="129"/>
      <c r="N1408" s="129"/>
      <c r="O1408" s="129"/>
      <c r="P1408" s="148"/>
      <c r="Q1408" s="174"/>
    </row>
    <row r="1409" spans="1:17" s="28" customFormat="1" x14ac:dyDescent="0.25">
      <c r="A1409" s="53"/>
      <c r="B1409" s="58"/>
      <c r="C1409" s="58"/>
      <c r="D1409" s="35"/>
      <c r="E1409" s="129"/>
      <c r="F1409" s="129"/>
      <c r="G1409" s="129"/>
      <c r="H1409" s="129"/>
      <c r="I1409" s="129"/>
      <c r="J1409" s="129"/>
      <c r="K1409" s="129"/>
      <c r="L1409" s="129"/>
      <c r="M1409" s="129"/>
      <c r="N1409" s="129"/>
      <c r="O1409" s="129"/>
      <c r="P1409" s="148"/>
      <c r="Q1409" s="174"/>
    </row>
    <row r="1410" spans="1:17" s="28" customFormat="1" x14ac:dyDescent="0.25">
      <c r="A1410" s="53"/>
      <c r="B1410" s="58"/>
      <c r="C1410" s="58"/>
      <c r="D1410" s="35"/>
      <c r="E1410" s="129"/>
      <c r="F1410" s="129"/>
      <c r="G1410" s="129"/>
      <c r="H1410" s="129"/>
      <c r="I1410" s="129"/>
      <c r="J1410" s="129"/>
      <c r="K1410" s="129"/>
      <c r="L1410" s="129"/>
      <c r="M1410" s="129"/>
      <c r="N1410" s="129"/>
      <c r="O1410" s="129"/>
      <c r="P1410" s="148"/>
      <c r="Q1410" s="174"/>
    </row>
    <row r="1411" spans="1:17" s="28" customFormat="1" x14ac:dyDescent="0.25">
      <c r="A1411" s="53"/>
      <c r="B1411" s="58"/>
      <c r="C1411" s="58"/>
      <c r="D1411" s="35"/>
      <c r="E1411" s="129"/>
      <c r="F1411" s="129"/>
      <c r="G1411" s="129"/>
      <c r="H1411" s="129"/>
      <c r="I1411" s="129"/>
      <c r="J1411" s="129"/>
      <c r="K1411" s="129"/>
      <c r="L1411" s="129"/>
      <c r="M1411" s="129"/>
      <c r="N1411" s="129"/>
      <c r="O1411" s="129"/>
      <c r="P1411" s="148"/>
      <c r="Q1411" s="174"/>
    </row>
    <row r="1412" spans="1:17" s="28" customFormat="1" x14ac:dyDescent="0.25">
      <c r="A1412" s="53"/>
      <c r="B1412" s="58"/>
      <c r="C1412" s="58"/>
      <c r="D1412" s="35"/>
      <c r="E1412" s="129"/>
      <c r="F1412" s="129"/>
      <c r="G1412" s="129"/>
      <c r="H1412" s="129"/>
      <c r="I1412" s="129"/>
      <c r="J1412" s="129"/>
      <c r="K1412" s="129"/>
      <c r="L1412" s="129"/>
      <c r="M1412" s="129"/>
      <c r="N1412" s="129"/>
      <c r="O1412" s="129"/>
      <c r="P1412" s="148"/>
      <c r="Q1412" s="174"/>
    </row>
    <row r="1413" spans="1:17" s="28" customFormat="1" x14ac:dyDescent="0.25">
      <c r="A1413" s="53"/>
      <c r="B1413" s="58"/>
      <c r="C1413" s="58"/>
      <c r="D1413" s="35"/>
      <c r="E1413" s="129"/>
      <c r="F1413" s="129"/>
      <c r="G1413" s="129"/>
      <c r="H1413" s="129"/>
      <c r="I1413" s="129"/>
      <c r="J1413" s="129"/>
      <c r="K1413" s="129"/>
      <c r="L1413" s="129"/>
      <c r="M1413" s="129"/>
      <c r="N1413" s="129"/>
      <c r="O1413" s="129"/>
      <c r="P1413" s="148"/>
      <c r="Q1413" s="174"/>
    </row>
    <row r="1414" spans="1:17" s="28" customFormat="1" x14ac:dyDescent="0.25">
      <c r="A1414" s="53"/>
      <c r="B1414" s="58"/>
      <c r="C1414" s="58"/>
      <c r="D1414" s="35"/>
      <c r="E1414" s="129"/>
      <c r="F1414" s="129"/>
      <c r="G1414" s="129"/>
      <c r="H1414" s="129"/>
      <c r="I1414" s="129"/>
      <c r="J1414" s="129"/>
      <c r="K1414" s="129"/>
      <c r="L1414" s="129"/>
      <c r="M1414" s="129"/>
      <c r="N1414" s="129"/>
      <c r="O1414" s="129"/>
      <c r="P1414" s="148"/>
      <c r="Q1414" s="174"/>
    </row>
    <row r="1415" spans="1:17" s="28" customFormat="1" x14ac:dyDescent="0.25">
      <c r="A1415" s="53"/>
      <c r="B1415" s="58"/>
      <c r="C1415" s="58"/>
      <c r="D1415" s="35"/>
      <c r="E1415" s="129"/>
      <c r="F1415" s="129"/>
      <c r="G1415" s="129"/>
      <c r="H1415" s="129"/>
      <c r="I1415" s="129"/>
      <c r="J1415" s="129"/>
      <c r="K1415" s="129"/>
      <c r="L1415" s="129"/>
      <c r="M1415" s="129"/>
      <c r="N1415" s="129"/>
      <c r="O1415" s="129"/>
      <c r="P1415" s="148"/>
      <c r="Q1415" s="174"/>
    </row>
    <row r="1416" spans="1:17" s="28" customFormat="1" x14ac:dyDescent="0.25">
      <c r="A1416" s="53"/>
      <c r="B1416" s="58"/>
      <c r="C1416" s="58"/>
      <c r="D1416" s="35"/>
      <c r="E1416" s="129"/>
      <c r="F1416" s="129"/>
      <c r="G1416" s="129"/>
      <c r="H1416" s="129"/>
      <c r="I1416" s="129"/>
      <c r="J1416" s="129"/>
      <c r="K1416" s="129"/>
      <c r="L1416" s="129"/>
      <c r="M1416" s="129"/>
      <c r="N1416" s="129"/>
      <c r="O1416" s="129"/>
      <c r="P1416" s="148"/>
      <c r="Q1416" s="174"/>
    </row>
    <row r="1417" spans="1:17" s="28" customFormat="1" x14ac:dyDescent="0.25">
      <c r="A1417" s="53"/>
      <c r="B1417" s="58"/>
      <c r="C1417" s="58"/>
      <c r="D1417" s="35"/>
      <c r="E1417" s="129"/>
      <c r="F1417" s="129"/>
      <c r="G1417" s="129"/>
      <c r="H1417" s="129"/>
      <c r="I1417" s="129"/>
      <c r="J1417" s="129"/>
      <c r="K1417" s="129"/>
      <c r="L1417" s="129"/>
      <c r="M1417" s="129"/>
      <c r="N1417" s="129"/>
      <c r="O1417" s="129"/>
      <c r="P1417" s="148"/>
      <c r="Q1417" s="174"/>
    </row>
    <row r="1418" spans="1:17" s="28" customFormat="1" x14ac:dyDescent="0.25">
      <c r="A1418" s="53"/>
      <c r="B1418" s="58"/>
      <c r="C1418" s="58"/>
      <c r="D1418" s="35"/>
      <c r="E1418" s="129"/>
      <c r="F1418" s="129"/>
      <c r="G1418" s="129"/>
      <c r="H1418" s="129"/>
      <c r="I1418" s="129"/>
      <c r="J1418" s="129"/>
      <c r="K1418" s="129"/>
      <c r="L1418" s="129"/>
      <c r="M1418" s="129"/>
      <c r="N1418" s="129"/>
      <c r="O1418" s="129"/>
      <c r="P1418" s="148"/>
      <c r="Q1418" s="174"/>
    </row>
    <row r="1419" spans="1:17" s="28" customFormat="1" x14ac:dyDescent="0.25">
      <c r="A1419" s="53"/>
      <c r="B1419" s="58"/>
      <c r="C1419" s="58"/>
      <c r="D1419" s="35"/>
      <c r="E1419" s="129"/>
      <c r="F1419" s="129"/>
      <c r="G1419" s="129"/>
      <c r="H1419" s="129"/>
      <c r="I1419" s="129"/>
      <c r="J1419" s="129"/>
      <c r="K1419" s="129"/>
      <c r="L1419" s="129"/>
      <c r="M1419" s="129"/>
      <c r="N1419" s="129"/>
      <c r="O1419" s="129"/>
      <c r="P1419" s="148"/>
      <c r="Q1419" s="174"/>
    </row>
    <row r="1420" spans="1:17" s="28" customFormat="1" x14ac:dyDescent="0.25">
      <c r="A1420" s="53"/>
      <c r="B1420" s="58"/>
      <c r="C1420" s="58"/>
      <c r="D1420" s="35"/>
      <c r="E1420" s="129"/>
      <c r="F1420" s="129"/>
      <c r="G1420" s="129"/>
      <c r="H1420" s="129"/>
      <c r="I1420" s="129"/>
      <c r="J1420" s="129"/>
      <c r="K1420" s="129"/>
      <c r="L1420" s="129"/>
      <c r="M1420" s="129"/>
      <c r="N1420" s="129"/>
      <c r="O1420" s="129"/>
      <c r="P1420" s="148"/>
      <c r="Q1420" s="174"/>
    </row>
    <row r="1421" spans="1:17" s="28" customFormat="1" x14ac:dyDescent="0.25">
      <c r="A1421" s="53"/>
      <c r="B1421" s="58"/>
      <c r="C1421" s="58"/>
      <c r="D1421" s="35"/>
      <c r="E1421" s="129"/>
      <c r="F1421" s="129"/>
      <c r="G1421" s="129"/>
      <c r="H1421" s="129"/>
      <c r="I1421" s="129"/>
      <c r="J1421" s="129"/>
      <c r="K1421" s="129"/>
      <c r="L1421" s="129"/>
      <c r="M1421" s="129"/>
      <c r="N1421" s="129"/>
      <c r="O1421" s="129"/>
      <c r="P1421" s="148"/>
      <c r="Q1421" s="174"/>
    </row>
    <row r="1422" spans="1:17" s="28" customFormat="1" x14ac:dyDescent="0.25">
      <c r="A1422" s="53"/>
      <c r="B1422" s="58"/>
      <c r="C1422" s="58"/>
      <c r="D1422" s="35"/>
      <c r="E1422" s="129"/>
      <c r="F1422" s="129"/>
      <c r="G1422" s="129"/>
      <c r="H1422" s="129"/>
      <c r="I1422" s="129"/>
      <c r="J1422" s="129"/>
      <c r="K1422" s="129"/>
      <c r="L1422" s="129"/>
      <c r="M1422" s="129"/>
      <c r="N1422" s="129"/>
      <c r="O1422" s="129"/>
      <c r="P1422" s="148"/>
      <c r="Q1422" s="174"/>
    </row>
    <row r="1423" spans="1:17" s="28" customFormat="1" x14ac:dyDescent="0.25">
      <c r="A1423" s="53"/>
      <c r="B1423" s="58"/>
      <c r="C1423" s="58"/>
      <c r="D1423" s="35"/>
      <c r="E1423" s="129"/>
      <c r="F1423" s="129"/>
      <c r="G1423" s="129"/>
      <c r="H1423" s="129"/>
      <c r="I1423" s="129"/>
      <c r="J1423" s="129"/>
      <c r="K1423" s="129"/>
      <c r="L1423" s="129"/>
      <c r="M1423" s="129"/>
      <c r="N1423" s="129"/>
      <c r="O1423" s="129"/>
      <c r="P1423" s="148"/>
      <c r="Q1423" s="174"/>
    </row>
    <row r="1424" spans="1:17" s="28" customFormat="1" x14ac:dyDescent="0.25">
      <c r="A1424" s="53"/>
      <c r="B1424" s="58"/>
      <c r="C1424" s="58"/>
      <c r="D1424" s="35"/>
      <c r="E1424" s="129"/>
      <c r="F1424" s="129"/>
      <c r="G1424" s="129"/>
      <c r="H1424" s="129"/>
      <c r="I1424" s="129"/>
      <c r="J1424" s="129"/>
      <c r="K1424" s="129"/>
      <c r="L1424" s="129"/>
      <c r="M1424" s="129"/>
      <c r="N1424" s="129"/>
      <c r="O1424" s="129"/>
      <c r="P1424" s="148"/>
      <c r="Q1424" s="174"/>
    </row>
    <row r="1425" spans="1:17" s="28" customFormat="1" x14ac:dyDescent="0.25">
      <c r="A1425" s="53"/>
      <c r="B1425" s="58"/>
      <c r="C1425" s="58"/>
      <c r="D1425" s="35"/>
      <c r="E1425" s="129"/>
      <c r="F1425" s="129"/>
      <c r="G1425" s="129"/>
      <c r="H1425" s="129"/>
      <c r="I1425" s="129"/>
      <c r="J1425" s="129"/>
      <c r="K1425" s="129"/>
      <c r="L1425" s="129"/>
      <c r="M1425" s="129"/>
      <c r="N1425" s="129"/>
      <c r="O1425" s="129"/>
      <c r="P1425" s="148"/>
      <c r="Q1425" s="174"/>
    </row>
    <row r="1426" spans="1:17" s="28" customFormat="1" x14ac:dyDescent="0.25">
      <c r="A1426" s="53"/>
      <c r="B1426" s="58"/>
      <c r="C1426" s="58"/>
      <c r="D1426" s="35"/>
      <c r="E1426" s="129"/>
      <c r="F1426" s="129"/>
      <c r="G1426" s="129"/>
      <c r="H1426" s="129"/>
      <c r="I1426" s="129"/>
      <c r="J1426" s="129"/>
      <c r="K1426" s="129"/>
      <c r="L1426" s="129"/>
      <c r="M1426" s="129"/>
      <c r="N1426" s="129"/>
      <c r="O1426" s="129"/>
      <c r="P1426" s="148"/>
      <c r="Q1426" s="174"/>
    </row>
    <row r="1427" spans="1:17" s="28" customFormat="1" x14ac:dyDescent="0.25">
      <c r="A1427" s="53"/>
      <c r="B1427" s="58"/>
      <c r="C1427" s="58"/>
      <c r="D1427" s="35"/>
      <c r="E1427" s="129"/>
      <c r="F1427" s="129"/>
      <c r="G1427" s="129"/>
      <c r="H1427" s="129"/>
      <c r="I1427" s="129"/>
      <c r="J1427" s="129"/>
      <c r="K1427" s="129"/>
      <c r="L1427" s="129"/>
      <c r="M1427" s="129"/>
      <c r="N1427" s="129"/>
      <c r="O1427" s="129"/>
      <c r="P1427" s="148"/>
      <c r="Q1427" s="174"/>
    </row>
    <row r="1428" spans="1:17" s="28" customFormat="1" x14ac:dyDescent="0.25">
      <c r="A1428" s="53"/>
      <c r="B1428" s="58"/>
      <c r="C1428" s="58"/>
      <c r="D1428" s="35"/>
      <c r="E1428" s="129"/>
      <c r="F1428" s="129"/>
      <c r="G1428" s="129"/>
      <c r="H1428" s="129"/>
      <c r="I1428" s="129"/>
      <c r="J1428" s="129"/>
      <c r="K1428" s="129"/>
      <c r="L1428" s="129"/>
      <c r="M1428" s="129"/>
      <c r="N1428" s="129"/>
      <c r="O1428" s="129"/>
      <c r="P1428" s="148"/>
      <c r="Q1428" s="174"/>
    </row>
    <row r="1429" spans="1:17" s="28" customFormat="1" x14ac:dyDescent="0.25">
      <c r="A1429" s="53"/>
      <c r="B1429" s="58"/>
      <c r="C1429" s="58"/>
      <c r="D1429" s="35"/>
      <c r="E1429" s="129"/>
      <c r="F1429" s="129"/>
      <c r="G1429" s="129"/>
      <c r="H1429" s="129"/>
      <c r="I1429" s="129"/>
      <c r="J1429" s="129"/>
      <c r="K1429" s="129"/>
      <c r="L1429" s="129"/>
      <c r="M1429" s="129"/>
      <c r="N1429" s="129"/>
      <c r="O1429" s="129"/>
      <c r="P1429" s="148"/>
      <c r="Q1429" s="174"/>
    </row>
    <row r="1430" spans="1:17" s="28" customFormat="1" x14ac:dyDescent="0.25">
      <c r="A1430" s="53"/>
      <c r="B1430" s="58"/>
      <c r="C1430" s="58"/>
      <c r="D1430" s="35"/>
      <c r="E1430" s="129"/>
      <c r="F1430" s="129"/>
      <c r="G1430" s="129"/>
      <c r="H1430" s="129"/>
      <c r="I1430" s="129"/>
      <c r="J1430" s="129"/>
      <c r="K1430" s="129"/>
      <c r="L1430" s="129"/>
      <c r="M1430" s="129"/>
      <c r="N1430" s="129"/>
      <c r="O1430" s="129"/>
      <c r="P1430" s="148"/>
      <c r="Q1430" s="174"/>
    </row>
    <row r="1431" spans="1:17" s="28" customFormat="1" x14ac:dyDescent="0.25">
      <c r="A1431" s="53"/>
      <c r="B1431" s="58"/>
      <c r="C1431" s="58"/>
      <c r="D1431" s="35"/>
      <c r="E1431" s="129"/>
      <c r="F1431" s="129"/>
      <c r="G1431" s="129"/>
      <c r="H1431" s="129"/>
      <c r="I1431" s="129"/>
      <c r="J1431" s="129"/>
      <c r="K1431" s="129"/>
      <c r="L1431" s="129"/>
      <c r="M1431" s="129"/>
      <c r="N1431" s="129"/>
      <c r="O1431" s="129"/>
      <c r="P1431" s="148"/>
      <c r="Q1431" s="174"/>
    </row>
    <row r="1432" spans="1:17" s="28" customFormat="1" x14ac:dyDescent="0.25">
      <c r="A1432" s="53"/>
      <c r="B1432" s="58"/>
      <c r="C1432" s="58"/>
      <c r="D1432" s="35"/>
      <c r="E1432" s="129"/>
      <c r="F1432" s="129"/>
      <c r="G1432" s="129"/>
      <c r="H1432" s="129"/>
      <c r="I1432" s="129"/>
      <c r="J1432" s="129"/>
      <c r="K1432" s="129"/>
      <c r="L1432" s="129"/>
      <c r="M1432" s="129"/>
      <c r="N1432" s="129"/>
      <c r="O1432" s="129"/>
      <c r="P1432" s="148"/>
      <c r="Q1432" s="174"/>
    </row>
    <row r="1433" spans="1:17" s="28" customFormat="1" x14ac:dyDescent="0.25">
      <c r="A1433" s="53"/>
      <c r="B1433" s="58"/>
      <c r="C1433" s="58"/>
      <c r="D1433" s="35"/>
      <c r="E1433" s="129"/>
      <c r="F1433" s="129"/>
      <c r="G1433" s="129"/>
      <c r="H1433" s="129"/>
      <c r="I1433" s="129"/>
      <c r="J1433" s="129"/>
      <c r="K1433" s="129"/>
      <c r="L1433" s="129"/>
      <c r="M1433" s="129"/>
      <c r="N1433" s="129"/>
      <c r="O1433" s="129"/>
      <c r="P1433" s="148"/>
      <c r="Q1433" s="174"/>
    </row>
    <row r="1434" spans="1:17" s="28" customFormat="1" x14ac:dyDescent="0.25">
      <c r="A1434" s="53"/>
      <c r="B1434" s="58"/>
      <c r="C1434" s="58"/>
      <c r="D1434" s="35"/>
      <c r="E1434" s="129"/>
      <c r="F1434" s="129"/>
      <c r="G1434" s="129"/>
      <c r="H1434" s="129"/>
      <c r="I1434" s="129"/>
      <c r="J1434" s="129"/>
      <c r="K1434" s="129"/>
      <c r="L1434" s="129"/>
      <c r="M1434" s="129"/>
      <c r="N1434" s="129"/>
      <c r="O1434" s="129"/>
      <c r="P1434" s="148"/>
      <c r="Q1434" s="174"/>
    </row>
    <row r="1435" spans="1:17" s="28" customFormat="1" x14ac:dyDescent="0.25">
      <c r="A1435" s="53"/>
      <c r="B1435" s="58"/>
      <c r="C1435" s="58"/>
      <c r="D1435" s="35"/>
      <c r="E1435" s="129"/>
      <c r="F1435" s="129"/>
      <c r="G1435" s="129"/>
      <c r="H1435" s="129"/>
      <c r="I1435" s="129"/>
      <c r="J1435" s="129"/>
      <c r="K1435" s="129"/>
      <c r="L1435" s="129"/>
      <c r="M1435" s="129"/>
      <c r="N1435" s="129"/>
      <c r="O1435" s="129"/>
      <c r="P1435" s="148"/>
      <c r="Q1435" s="174"/>
    </row>
    <row r="1436" spans="1:17" s="28" customFormat="1" x14ac:dyDescent="0.25">
      <c r="A1436" s="53"/>
      <c r="B1436" s="58"/>
      <c r="C1436" s="58"/>
      <c r="D1436" s="35"/>
      <c r="E1436" s="129"/>
      <c r="F1436" s="129"/>
      <c r="G1436" s="129"/>
      <c r="H1436" s="129"/>
      <c r="I1436" s="129"/>
      <c r="J1436" s="129"/>
      <c r="K1436" s="129"/>
      <c r="L1436" s="129"/>
      <c r="M1436" s="129"/>
      <c r="N1436" s="129"/>
      <c r="O1436" s="129"/>
      <c r="P1436" s="148"/>
      <c r="Q1436" s="174"/>
    </row>
    <row r="1437" spans="1:17" s="28" customFormat="1" x14ac:dyDescent="0.25">
      <c r="A1437" s="53"/>
      <c r="B1437" s="58"/>
      <c r="C1437" s="58"/>
      <c r="D1437" s="35"/>
      <c r="E1437" s="129"/>
      <c r="F1437" s="129"/>
      <c r="G1437" s="129"/>
      <c r="H1437" s="129"/>
      <c r="I1437" s="129"/>
      <c r="J1437" s="129"/>
      <c r="K1437" s="129"/>
      <c r="L1437" s="129"/>
      <c r="M1437" s="129"/>
      <c r="N1437" s="129"/>
      <c r="O1437" s="129"/>
      <c r="P1437" s="148"/>
      <c r="Q1437" s="174"/>
    </row>
    <row r="1438" spans="1:17" s="28" customFormat="1" x14ac:dyDescent="0.25">
      <c r="A1438" s="53"/>
      <c r="B1438" s="58"/>
      <c r="C1438" s="58"/>
      <c r="D1438" s="35"/>
      <c r="E1438" s="129"/>
      <c r="F1438" s="129"/>
      <c r="G1438" s="129"/>
      <c r="H1438" s="129"/>
      <c r="I1438" s="129"/>
      <c r="J1438" s="129"/>
      <c r="K1438" s="129"/>
      <c r="L1438" s="129"/>
      <c r="M1438" s="129"/>
      <c r="N1438" s="129"/>
      <c r="O1438" s="129"/>
      <c r="P1438" s="148"/>
      <c r="Q1438" s="174"/>
    </row>
    <row r="1439" spans="1:17" s="28" customFormat="1" x14ac:dyDescent="0.25">
      <c r="A1439" s="53"/>
      <c r="B1439" s="58"/>
      <c r="C1439" s="58"/>
      <c r="D1439" s="35"/>
      <c r="E1439" s="129"/>
      <c r="F1439" s="129"/>
      <c r="G1439" s="129"/>
      <c r="H1439" s="129"/>
      <c r="I1439" s="129"/>
      <c r="J1439" s="129"/>
      <c r="K1439" s="129"/>
      <c r="L1439" s="129"/>
      <c r="M1439" s="129"/>
      <c r="N1439" s="129"/>
      <c r="O1439" s="129"/>
      <c r="P1439" s="148"/>
      <c r="Q1439" s="174"/>
    </row>
    <row r="1440" spans="1:17" s="28" customFormat="1" x14ac:dyDescent="0.25">
      <c r="A1440" s="53"/>
      <c r="B1440" s="58"/>
      <c r="C1440" s="58"/>
      <c r="D1440" s="35"/>
      <c r="E1440" s="129"/>
      <c r="F1440" s="129"/>
      <c r="G1440" s="129"/>
      <c r="H1440" s="129"/>
      <c r="I1440" s="129"/>
      <c r="J1440" s="129"/>
      <c r="K1440" s="129"/>
      <c r="L1440" s="129"/>
      <c r="M1440" s="129"/>
      <c r="N1440" s="129"/>
      <c r="O1440" s="129"/>
      <c r="P1440" s="148"/>
      <c r="Q1440" s="174"/>
    </row>
    <row r="1441" spans="1:17" s="28" customFormat="1" x14ac:dyDescent="0.25">
      <c r="A1441" s="53"/>
      <c r="B1441" s="58"/>
      <c r="C1441" s="58"/>
      <c r="D1441" s="35"/>
      <c r="E1441" s="129"/>
      <c r="F1441" s="129"/>
      <c r="G1441" s="129"/>
      <c r="H1441" s="129"/>
      <c r="I1441" s="129"/>
      <c r="J1441" s="129"/>
      <c r="K1441" s="129"/>
      <c r="L1441" s="129"/>
      <c r="M1441" s="129"/>
      <c r="N1441" s="129"/>
      <c r="O1441" s="129"/>
      <c r="P1441" s="148"/>
      <c r="Q1441" s="174"/>
    </row>
    <row r="1442" spans="1:17" s="28" customFormat="1" x14ac:dyDescent="0.25">
      <c r="A1442" s="53"/>
      <c r="B1442" s="58"/>
      <c r="C1442" s="58"/>
      <c r="D1442" s="35"/>
      <c r="E1442" s="129"/>
      <c r="F1442" s="129"/>
      <c r="G1442" s="129"/>
      <c r="H1442" s="129"/>
      <c r="I1442" s="129"/>
      <c r="J1442" s="129"/>
      <c r="K1442" s="129"/>
      <c r="L1442" s="129"/>
      <c r="M1442" s="129"/>
      <c r="N1442" s="129"/>
      <c r="O1442" s="129"/>
      <c r="P1442" s="148"/>
      <c r="Q1442" s="174"/>
    </row>
    <row r="1443" spans="1:17" s="28" customFormat="1" x14ac:dyDescent="0.25">
      <c r="A1443" s="53"/>
      <c r="B1443" s="58"/>
      <c r="C1443" s="58"/>
      <c r="D1443" s="35"/>
      <c r="E1443" s="129"/>
      <c r="F1443" s="129"/>
      <c r="G1443" s="129"/>
      <c r="H1443" s="129"/>
      <c r="I1443" s="129"/>
      <c r="J1443" s="129"/>
      <c r="K1443" s="129"/>
      <c r="L1443" s="129"/>
      <c r="M1443" s="129"/>
      <c r="N1443" s="129"/>
      <c r="O1443" s="129"/>
      <c r="P1443" s="148"/>
      <c r="Q1443" s="174"/>
    </row>
    <row r="1444" spans="1:17" s="28" customFormat="1" x14ac:dyDescent="0.25">
      <c r="A1444" s="53"/>
      <c r="B1444" s="58"/>
      <c r="C1444" s="58"/>
      <c r="D1444" s="35"/>
      <c r="E1444" s="129"/>
      <c r="F1444" s="129"/>
      <c r="G1444" s="129"/>
      <c r="H1444" s="129"/>
      <c r="I1444" s="129"/>
      <c r="J1444" s="129"/>
      <c r="K1444" s="129"/>
      <c r="L1444" s="129"/>
      <c r="M1444" s="129"/>
      <c r="N1444" s="129"/>
      <c r="O1444" s="129"/>
      <c r="P1444" s="148"/>
      <c r="Q1444" s="174"/>
    </row>
    <row r="1445" spans="1:17" s="28" customFormat="1" x14ac:dyDescent="0.25">
      <c r="A1445" s="53"/>
      <c r="B1445" s="58"/>
      <c r="C1445" s="58"/>
      <c r="D1445" s="35"/>
      <c r="E1445" s="129"/>
      <c r="F1445" s="129"/>
      <c r="G1445" s="129"/>
      <c r="H1445" s="129"/>
      <c r="I1445" s="129"/>
      <c r="J1445" s="129"/>
      <c r="K1445" s="129"/>
      <c r="L1445" s="129"/>
      <c r="M1445" s="129"/>
      <c r="N1445" s="129"/>
      <c r="O1445" s="129"/>
      <c r="P1445" s="148"/>
      <c r="Q1445" s="174"/>
    </row>
    <row r="1446" spans="1:17" s="28" customFormat="1" x14ac:dyDescent="0.25">
      <c r="A1446" s="53"/>
      <c r="B1446" s="58"/>
      <c r="C1446" s="58"/>
      <c r="D1446" s="35"/>
      <c r="E1446" s="129"/>
      <c r="F1446" s="129"/>
      <c r="G1446" s="129"/>
      <c r="H1446" s="129"/>
      <c r="I1446" s="129"/>
      <c r="J1446" s="129"/>
      <c r="K1446" s="129"/>
      <c r="L1446" s="129"/>
      <c r="M1446" s="129"/>
      <c r="N1446" s="129"/>
      <c r="O1446" s="129"/>
      <c r="P1446" s="148"/>
      <c r="Q1446" s="174"/>
    </row>
    <row r="1447" spans="1:17" s="28" customFormat="1" x14ac:dyDescent="0.25">
      <c r="A1447" s="53"/>
      <c r="B1447" s="58"/>
      <c r="C1447" s="58"/>
      <c r="D1447" s="35"/>
      <c r="E1447" s="129"/>
      <c r="F1447" s="129"/>
      <c r="G1447" s="129"/>
      <c r="H1447" s="129"/>
      <c r="I1447" s="129"/>
      <c r="J1447" s="129"/>
      <c r="K1447" s="129"/>
      <c r="L1447" s="129"/>
      <c r="M1447" s="129"/>
      <c r="N1447" s="129"/>
      <c r="O1447" s="129"/>
      <c r="P1447" s="148"/>
      <c r="Q1447" s="174"/>
    </row>
    <row r="1448" spans="1:17" s="28" customFormat="1" x14ac:dyDescent="0.25">
      <c r="A1448" s="53"/>
      <c r="B1448" s="58"/>
      <c r="C1448" s="58"/>
      <c r="D1448" s="35"/>
      <c r="E1448" s="129"/>
      <c r="F1448" s="129"/>
      <c r="G1448" s="129"/>
      <c r="H1448" s="129"/>
      <c r="I1448" s="129"/>
      <c r="J1448" s="129"/>
      <c r="K1448" s="129"/>
      <c r="L1448" s="129"/>
      <c r="M1448" s="129"/>
      <c r="N1448" s="129"/>
      <c r="O1448" s="129"/>
      <c r="P1448" s="148"/>
      <c r="Q1448" s="174"/>
    </row>
    <row r="1449" spans="1:17" s="28" customFormat="1" x14ac:dyDescent="0.25">
      <c r="A1449" s="53"/>
      <c r="B1449" s="58"/>
      <c r="C1449" s="58"/>
      <c r="D1449" s="35"/>
      <c r="E1449" s="129"/>
      <c r="F1449" s="129"/>
      <c r="G1449" s="129"/>
      <c r="H1449" s="129"/>
      <c r="I1449" s="129"/>
      <c r="J1449" s="129"/>
      <c r="K1449" s="129"/>
      <c r="L1449" s="129"/>
      <c r="M1449" s="129"/>
      <c r="N1449" s="129"/>
      <c r="O1449" s="129"/>
      <c r="P1449" s="148"/>
      <c r="Q1449" s="174"/>
    </row>
    <row r="1450" spans="1:17" s="28" customFormat="1" x14ac:dyDescent="0.25">
      <c r="A1450" s="53"/>
      <c r="B1450" s="58"/>
      <c r="C1450" s="58"/>
      <c r="D1450" s="35"/>
      <c r="E1450" s="129"/>
      <c r="F1450" s="129"/>
      <c r="G1450" s="129"/>
      <c r="H1450" s="129"/>
      <c r="I1450" s="129"/>
      <c r="J1450" s="129"/>
      <c r="K1450" s="129"/>
      <c r="L1450" s="129"/>
      <c r="M1450" s="129"/>
      <c r="N1450" s="129"/>
      <c r="O1450" s="129"/>
      <c r="P1450" s="148"/>
      <c r="Q1450" s="174"/>
    </row>
    <row r="1451" spans="1:17" s="28" customFormat="1" x14ac:dyDescent="0.25">
      <c r="A1451" s="53"/>
      <c r="B1451" s="58"/>
      <c r="C1451" s="58"/>
      <c r="D1451" s="35"/>
      <c r="E1451" s="129"/>
      <c r="F1451" s="129"/>
      <c r="G1451" s="129"/>
      <c r="H1451" s="129"/>
      <c r="I1451" s="129"/>
      <c r="J1451" s="129"/>
      <c r="K1451" s="129"/>
      <c r="L1451" s="129"/>
      <c r="M1451" s="129"/>
      <c r="N1451" s="129"/>
      <c r="O1451" s="129"/>
      <c r="P1451" s="148"/>
      <c r="Q1451" s="174"/>
    </row>
    <row r="1452" spans="1:17" s="28" customFormat="1" x14ac:dyDescent="0.25">
      <c r="A1452" s="53"/>
      <c r="B1452" s="58"/>
      <c r="C1452" s="58"/>
      <c r="D1452" s="35"/>
      <c r="E1452" s="129"/>
      <c r="F1452" s="129"/>
      <c r="G1452" s="129"/>
      <c r="H1452" s="129"/>
      <c r="I1452" s="129"/>
      <c r="J1452" s="129"/>
      <c r="K1452" s="129"/>
      <c r="L1452" s="129"/>
      <c r="M1452" s="129"/>
      <c r="N1452" s="129"/>
      <c r="O1452" s="129"/>
      <c r="P1452" s="148"/>
      <c r="Q1452" s="174"/>
    </row>
    <row r="1453" spans="1:17" s="28" customFormat="1" x14ac:dyDescent="0.25">
      <c r="A1453" s="53"/>
      <c r="B1453" s="58"/>
      <c r="C1453" s="58"/>
      <c r="D1453" s="35"/>
      <c r="E1453" s="129"/>
      <c r="F1453" s="129"/>
      <c r="G1453" s="129"/>
      <c r="H1453" s="129"/>
      <c r="I1453" s="129"/>
      <c r="J1453" s="129"/>
      <c r="K1453" s="129"/>
      <c r="L1453" s="129"/>
      <c r="M1453" s="129"/>
      <c r="N1453" s="129"/>
      <c r="O1453" s="129"/>
      <c r="P1453" s="148"/>
      <c r="Q1453" s="174"/>
    </row>
    <row r="1454" spans="1:17" s="28" customFormat="1" x14ac:dyDescent="0.25">
      <c r="A1454" s="53"/>
      <c r="B1454" s="58"/>
      <c r="C1454" s="58"/>
      <c r="D1454" s="35"/>
      <c r="E1454" s="129"/>
      <c r="F1454" s="129"/>
      <c r="G1454" s="129"/>
      <c r="H1454" s="129"/>
      <c r="I1454" s="129"/>
      <c r="J1454" s="129"/>
      <c r="K1454" s="129"/>
      <c r="L1454" s="129"/>
      <c r="M1454" s="129"/>
      <c r="N1454" s="129"/>
      <c r="O1454" s="129"/>
      <c r="P1454" s="148"/>
      <c r="Q1454" s="174"/>
    </row>
    <row r="1455" spans="1:17" s="28" customFormat="1" x14ac:dyDescent="0.25">
      <c r="A1455" s="53"/>
      <c r="B1455" s="58"/>
      <c r="C1455" s="58"/>
      <c r="D1455" s="35"/>
      <c r="E1455" s="129"/>
      <c r="F1455" s="129"/>
      <c r="G1455" s="129"/>
      <c r="H1455" s="129"/>
      <c r="I1455" s="129"/>
      <c r="J1455" s="129"/>
      <c r="K1455" s="129"/>
      <c r="L1455" s="129"/>
      <c r="M1455" s="129"/>
      <c r="N1455" s="129"/>
      <c r="O1455" s="129"/>
      <c r="P1455" s="148"/>
      <c r="Q1455" s="174"/>
    </row>
    <row r="1456" spans="1:17" s="28" customFormat="1" x14ac:dyDescent="0.25">
      <c r="A1456" s="53"/>
      <c r="B1456" s="58"/>
      <c r="C1456" s="58"/>
      <c r="D1456" s="35"/>
      <c r="E1456" s="129"/>
      <c r="F1456" s="129"/>
      <c r="G1456" s="129"/>
      <c r="H1456" s="129"/>
      <c r="I1456" s="129"/>
      <c r="J1456" s="129"/>
      <c r="K1456" s="129"/>
      <c r="L1456" s="129"/>
      <c r="M1456" s="129"/>
      <c r="N1456" s="129"/>
      <c r="O1456" s="129"/>
      <c r="P1456" s="148"/>
      <c r="Q1456" s="174"/>
    </row>
    <row r="1457" spans="1:17" s="28" customFormat="1" x14ac:dyDescent="0.25">
      <c r="A1457" s="53"/>
      <c r="B1457" s="58"/>
      <c r="C1457" s="58"/>
      <c r="D1457" s="35"/>
      <c r="E1457" s="129"/>
      <c r="F1457" s="129"/>
      <c r="G1457" s="129"/>
      <c r="H1457" s="129"/>
      <c r="I1457" s="129"/>
      <c r="J1457" s="129"/>
      <c r="K1457" s="129"/>
      <c r="L1457" s="129"/>
      <c r="M1457" s="129"/>
      <c r="N1457" s="129"/>
      <c r="O1457" s="129"/>
      <c r="P1457" s="148"/>
      <c r="Q1457" s="174"/>
    </row>
    <row r="1458" spans="1:17" s="28" customFormat="1" x14ac:dyDescent="0.25">
      <c r="A1458" s="53"/>
      <c r="B1458" s="58"/>
      <c r="C1458" s="58"/>
      <c r="D1458" s="35"/>
      <c r="E1458" s="129"/>
      <c r="F1458" s="129"/>
      <c r="G1458" s="129"/>
      <c r="H1458" s="129"/>
      <c r="I1458" s="129"/>
      <c r="J1458" s="129"/>
      <c r="K1458" s="129"/>
      <c r="L1458" s="129"/>
      <c r="M1458" s="129"/>
      <c r="N1458" s="129"/>
      <c r="O1458" s="129"/>
      <c r="P1458" s="148"/>
      <c r="Q1458" s="174"/>
    </row>
    <row r="1459" spans="1:17" s="28" customFormat="1" x14ac:dyDescent="0.25">
      <c r="A1459" s="53"/>
      <c r="B1459" s="58"/>
      <c r="C1459" s="58"/>
      <c r="D1459" s="35"/>
      <c r="E1459" s="129"/>
      <c r="F1459" s="129"/>
      <c r="G1459" s="129"/>
      <c r="H1459" s="129"/>
      <c r="I1459" s="129"/>
      <c r="J1459" s="129"/>
      <c r="K1459" s="129"/>
      <c r="L1459" s="129"/>
      <c r="M1459" s="129"/>
      <c r="N1459" s="129"/>
      <c r="O1459" s="129"/>
      <c r="P1459" s="148"/>
      <c r="Q1459" s="174"/>
    </row>
    <row r="1460" spans="1:17" s="28" customFormat="1" x14ac:dyDescent="0.25">
      <c r="A1460" s="53"/>
      <c r="B1460" s="58"/>
      <c r="C1460" s="58"/>
      <c r="D1460" s="35"/>
      <c r="E1460" s="129"/>
      <c r="F1460" s="129"/>
      <c r="G1460" s="129"/>
      <c r="H1460" s="129"/>
      <c r="I1460" s="129"/>
      <c r="J1460" s="129"/>
      <c r="K1460" s="129"/>
      <c r="L1460" s="129"/>
      <c r="M1460" s="129"/>
      <c r="N1460" s="129"/>
      <c r="O1460" s="129"/>
      <c r="P1460" s="148"/>
      <c r="Q1460" s="174"/>
    </row>
    <row r="1461" spans="1:17" s="28" customFormat="1" x14ac:dyDescent="0.25">
      <c r="A1461" s="53"/>
      <c r="B1461" s="58"/>
      <c r="C1461" s="58"/>
      <c r="D1461" s="35"/>
      <c r="E1461" s="129"/>
      <c r="F1461" s="129"/>
      <c r="G1461" s="129"/>
      <c r="H1461" s="129"/>
      <c r="I1461" s="129"/>
      <c r="J1461" s="129"/>
      <c r="K1461" s="129"/>
      <c r="L1461" s="129"/>
      <c r="M1461" s="129"/>
      <c r="N1461" s="129"/>
      <c r="O1461" s="129"/>
      <c r="P1461" s="148"/>
      <c r="Q1461" s="174"/>
    </row>
    <row r="1462" spans="1:17" s="28" customFormat="1" x14ac:dyDescent="0.25">
      <c r="A1462" s="53"/>
      <c r="B1462" s="58"/>
      <c r="C1462" s="58"/>
      <c r="D1462" s="35"/>
      <c r="E1462" s="129"/>
      <c r="F1462" s="129"/>
      <c r="G1462" s="129"/>
      <c r="H1462" s="129"/>
      <c r="I1462" s="129"/>
      <c r="J1462" s="129"/>
      <c r="K1462" s="129"/>
      <c r="L1462" s="129"/>
      <c r="M1462" s="129"/>
      <c r="N1462" s="129"/>
      <c r="O1462" s="129"/>
      <c r="P1462" s="148"/>
      <c r="Q1462" s="174"/>
    </row>
    <row r="1463" spans="1:17" s="28" customFormat="1" x14ac:dyDescent="0.25">
      <c r="A1463" s="53"/>
      <c r="B1463" s="58"/>
      <c r="C1463" s="58"/>
      <c r="D1463" s="35"/>
      <c r="E1463" s="129"/>
      <c r="F1463" s="129"/>
      <c r="G1463" s="129"/>
      <c r="H1463" s="129"/>
      <c r="I1463" s="129"/>
      <c r="J1463" s="129"/>
      <c r="K1463" s="129"/>
      <c r="L1463" s="129"/>
      <c r="M1463" s="129"/>
      <c r="N1463" s="129"/>
      <c r="O1463" s="129"/>
      <c r="P1463" s="148"/>
      <c r="Q1463" s="174"/>
    </row>
    <row r="1464" spans="1:17" s="28" customFormat="1" x14ac:dyDescent="0.25">
      <c r="A1464" s="53"/>
      <c r="B1464" s="58"/>
      <c r="C1464" s="58"/>
      <c r="D1464" s="35"/>
      <c r="E1464" s="129"/>
      <c r="F1464" s="129"/>
      <c r="G1464" s="129"/>
      <c r="H1464" s="129"/>
      <c r="I1464" s="129"/>
      <c r="J1464" s="129"/>
      <c r="K1464" s="129"/>
      <c r="L1464" s="129"/>
      <c r="M1464" s="129"/>
      <c r="N1464" s="129"/>
      <c r="O1464" s="129"/>
      <c r="P1464" s="148"/>
      <c r="Q1464" s="174"/>
    </row>
    <row r="1465" spans="1:17" s="28" customFormat="1" x14ac:dyDescent="0.25">
      <c r="A1465" s="53"/>
      <c r="B1465" s="58"/>
      <c r="C1465" s="58"/>
      <c r="D1465" s="35"/>
      <c r="E1465" s="129"/>
      <c r="F1465" s="129"/>
      <c r="G1465" s="129"/>
      <c r="H1465" s="129"/>
      <c r="I1465" s="129"/>
      <c r="J1465" s="129"/>
      <c r="K1465" s="129"/>
      <c r="L1465" s="129"/>
      <c r="M1465" s="129"/>
      <c r="N1465" s="129"/>
      <c r="O1465" s="129"/>
      <c r="P1465" s="148"/>
      <c r="Q1465" s="174"/>
    </row>
    <row r="1466" spans="1:17" s="28" customFormat="1" x14ac:dyDescent="0.25">
      <c r="A1466" s="53"/>
      <c r="B1466" s="58"/>
      <c r="C1466" s="58"/>
      <c r="D1466" s="35"/>
      <c r="E1466" s="129"/>
      <c r="F1466" s="129"/>
      <c r="G1466" s="129"/>
      <c r="H1466" s="129"/>
      <c r="I1466" s="129"/>
      <c r="J1466" s="129"/>
      <c r="K1466" s="129"/>
      <c r="L1466" s="129"/>
      <c r="M1466" s="129"/>
      <c r="N1466" s="129"/>
      <c r="O1466" s="129"/>
      <c r="P1466" s="148"/>
      <c r="Q1466" s="174"/>
    </row>
    <row r="1467" spans="1:17" s="28" customFormat="1" x14ac:dyDescent="0.25">
      <c r="A1467" s="53"/>
      <c r="B1467" s="58"/>
      <c r="C1467" s="58"/>
      <c r="D1467" s="35"/>
      <c r="E1467" s="129"/>
      <c r="F1467" s="129"/>
      <c r="G1467" s="129"/>
      <c r="H1467" s="129"/>
      <c r="I1467" s="129"/>
      <c r="J1467" s="129"/>
      <c r="K1467" s="129"/>
      <c r="L1467" s="129"/>
      <c r="M1467" s="129"/>
      <c r="N1467" s="129"/>
      <c r="O1467" s="129"/>
      <c r="P1467" s="148"/>
      <c r="Q1467" s="174"/>
    </row>
    <row r="1468" spans="1:17" s="28" customFormat="1" x14ac:dyDescent="0.25">
      <c r="A1468" s="53"/>
      <c r="B1468" s="58"/>
      <c r="C1468" s="58"/>
      <c r="D1468" s="35"/>
      <c r="E1468" s="129"/>
      <c r="F1468" s="129"/>
      <c r="G1468" s="129"/>
      <c r="H1468" s="129"/>
      <c r="I1468" s="129"/>
      <c r="J1468" s="129"/>
      <c r="K1468" s="129"/>
      <c r="L1468" s="129"/>
      <c r="M1468" s="129"/>
      <c r="N1468" s="129"/>
      <c r="O1468" s="129"/>
      <c r="P1468" s="148"/>
      <c r="Q1468" s="174"/>
    </row>
    <row r="1469" spans="1:17" s="28" customFormat="1" x14ac:dyDescent="0.25">
      <c r="A1469" s="53"/>
      <c r="B1469" s="58"/>
      <c r="C1469" s="58"/>
      <c r="D1469" s="35"/>
      <c r="E1469" s="129"/>
      <c r="F1469" s="129"/>
      <c r="G1469" s="129"/>
      <c r="H1469" s="129"/>
      <c r="I1469" s="129"/>
      <c r="J1469" s="129"/>
      <c r="K1469" s="129"/>
      <c r="L1469" s="129"/>
      <c r="M1469" s="129"/>
      <c r="N1469" s="129"/>
      <c r="O1469" s="129"/>
      <c r="P1469" s="148"/>
      <c r="Q1469" s="174"/>
    </row>
    <row r="1470" spans="1:17" s="28" customFormat="1" x14ac:dyDescent="0.25">
      <c r="A1470" s="53"/>
      <c r="B1470" s="58"/>
      <c r="C1470" s="58"/>
      <c r="D1470" s="35"/>
      <c r="E1470" s="129"/>
      <c r="F1470" s="129"/>
      <c r="G1470" s="129"/>
      <c r="H1470" s="129"/>
      <c r="I1470" s="129"/>
      <c r="J1470" s="129"/>
      <c r="K1470" s="129"/>
      <c r="L1470" s="129"/>
      <c r="M1470" s="129"/>
      <c r="N1470" s="129"/>
      <c r="O1470" s="129"/>
      <c r="P1470" s="148"/>
      <c r="Q1470" s="174"/>
    </row>
    <row r="1471" spans="1:17" s="28" customFormat="1" x14ac:dyDescent="0.25">
      <c r="A1471" s="53"/>
      <c r="B1471" s="58"/>
      <c r="C1471" s="58"/>
      <c r="D1471" s="35"/>
      <c r="E1471" s="129"/>
      <c r="F1471" s="129"/>
      <c r="G1471" s="129"/>
      <c r="H1471" s="129"/>
      <c r="I1471" s="129"/>
      <c r="J1471" s="129"/>
      <c r="K1471" s="129"/>
      <c r="L1471" s="129"/>
      <c r="M1471" s="129"/>
      <c r="N1471" s="129"/>
      <c r="O1471" s="129"/>
      <c r="P1471" s="148"/>
      <c r="Q1471" s="174"/>
    </row>
    <row r="1472" spans="1:17" s="28" customFormat="1" x14ac:dyDescent="0.25">
      <c r="A1472" s="53"/>
      <c r="B1472" s="58"/>
      <c r="C1472" s="58"/>
      <c r="D1472" s="35"/>
      <c r="E1472" s="129"/>
      <c r="F1472" s="129"/>
      <c r="G1472" s="129"/>
      <c r="H1472" s="129"/>
      <c r="I1472" s="129"/>
      <c r="J1472" s="129"/>
      <c r="K1472" s="129"/>
      <c r="L1472" s="129"/>
      <c r="M1472" s="129"/>
      <c r="N1472" s="129"/>
      <c r="O1472" s="129"/>
      <c r="P1472" s="148"/>
      <c r="Q1472" s="174"/>
    </row>
    <row r="1473" spans="1:17" s="28" customFormat="1" x14ac:dyDescent="0.25">
      <c r="A1473" s="53"/>
      <c r="B1473" s="58"/>
      <c r="C1473" s="58"/>
      <c r="D1473" s="35"/>
      <c r="E1473" s="129"/>
      <c r="F1473" s="129"/>
      <c r="G1473" s="129"/>
      <c r="H1473" s="129"/>
      <c r="I1473" s="129"/>
      <c r="J1473" s="129"/>
      <c r="K1473" s="129"/>
      <c r="L1473" s="129"/>
      <c r="M1473" s="129"/>
      <c r="N1473" s="129"/>
      <c r="O1473" s="129"/>
      <c r="P1473" s="148"/>
      <c r="Q1473" s="174"/>
    </row>
    <row r="1474" spans="1:17" s="28" customFormat="1" x14ac:dyDescent="0.25">
      <c r="A1474" s="53"/>
      <c r="B1474" s="58"/>
      <c r="C1474" s="58"/>
      <c r="D1474" s="35"/>
      <c r="E1474" s="129"/>
      <c r="F1474" s="129"/>
      <c r="G1474" s="129"/>
      <c r="H1474" s="129"/>
      <c r="I1474" s="129"/>
      <c r="J1474" s="129"/>
      <c r="K1474" s="129"/>
      <c r="L1474" s="129"/>
      <c r="M1474" s="129"/>
      <c r="N1474" s="129"/>
      <c r="O1474" s="129"/>
      <c r="P1474" s="148"/>
      <c r="Q1474" s="174"/>
    </row>
    <row r="1475" spans="1:17" s="28" customFormat="1" x14ac:dyDescent="0.25">
      <c r="A1475" s="53"/>
      <c r="B1475" s="58"/>
      <c r="C1475" s="58"/>
      <c r="D1475" s="35"/>
      <c r="E1475" s="129"/>
      <c r="F1475" s="129"/>
      <c r="G1475" s="129"/>
      <c r="H1475" s="129"/>
      <c r="I1475" s="129"/>
      <c r="J1475" s="129"/>
      <c r="K1475" s="129"/>
      <c r="L1475" s="129"/>
      <c r="M1475" s="129"/>
      <c r="N1475" s="129"/>
      <c r="O1475" s="129"/>
      <c r="P1475" s="148"/>
      <c r="Q1475" s="174"/>
    </row>
    <row r="1476" spans="1:17" s="28" customFormat="1" x14ac:dyDescent="0.25">
      <c r="A1476" s="53"/>
      <c r="B1476" s="58"/>
      <c r="C1476" s="58"/>
      <c r="D1476" s="35"/>
      <c r="E1476" s="129"/>
      <c r="F1476" s="129"/>
      <c r="G1476" s="129"/>
      <c r="H1476" s="129"/>
      <c r="I1476" s="129"/>
      <c r="J1476" s="129"/>
      <c r="K1476" s="129"/>
      <c r="L1476" s="129"/>
      <c r="M1476" s="129"/>
      <c r="N1476" s="129"/>
      <c r="O1476" s="129"/>
      <c r="P1476" s="148"/>
      <c r="Q1476" s="174"/>
    </row>
    <row r="1477" spans="1:17" s="28" customFormat="1" x14ac:dyDescent="0.25">
      <c r="A1477" s="53"/>
      <c r="B1477" s="58"/>
      <c r="C1477" s="58"/>
      <c r="D1477" s="35"/>
      <c r="E1477" s="129"/>
      <c r="F1477" s="129"/>
      <c r="G1477" s="129"/>
      <c r="H1477" s="129"/>
      <c r="I1477" s="129"/>
      <c r="J1477" s="129"/>
      <c r="K1477" s="129"/>
      <c r="L1477" s="129"/>
      <c r="M1477" s="129"/>
      <c r="N1477" s="129"/>
      <c r="O1477" s="129"/>
      <c r="P1477" s="148"/>
      <c r="Q1477" s="174"/>
    </row>
    <row r="1478" spans="1:17" s="28" customFormat="1" x14ac:dyDescent="0.25">
      <c r="A1478" s="53"/>
      <c r="B1478" s="58"/>
      <c r="C1478" s="58"/>
      <c r="D1478" s="35"/>
      <c r="E1478" s="129"/>
      <c r="F1478" s="129"/>
      <c r="G1478" s="129"/>
      <c r="H1478" s="129"/>
      <c r="I1478" s="129"/>
      <c r="J1478" s="129"/>
      <c r="K1478" s="129"/>
      <c r="L1478" s="129"/>
      <c r="M1478" s="129"/>
      <c r="N1478" s="129"/>
      <c r="O1478" s="129"/>
      <c r="P1478" s="148"/>
      <c r="Q1478" s="174"/>
    </row>
    <row r="1479" spans="1:17" s="28" customFormat="1" x14ac:dyDescent="0.25">
      <c r="A1479" s="53"/>
      <c r="B1479" s="58"/>
      <c r="C1479" s="58"/>
      <c r="D1479" s="35"/>
      <c r="E1479" s="129"/>
      <c r="F1479" s="129"/>
      <c r="G1479" s="129"/>
      <c r="H1479" s="129"/>
      <c r="I1479" s="129"/>
      <c r="J1479" s="129"/>
      <c r="K1479" s="129"/>
      <c r="L1479" s="129"/>
      <c r="M1479" s="129"/>
      <c r="N1479" s="129"/>
      <c r="O1479" s="129"/>
      <c r="P1479" s="148"/>
      <c r="Q1479" s="174"/>
    </row>
    <row r="1480" spans="1:17" s="28" customFormat="1" x14ac:dyDescent="0.25">
      <c r="A1480" s="53"/>
      <c r="B1480" s="58"/>
      <c r="C1480" s="58"/>
      <c r="D1480" s="35"/>
      <c r="E1480" s="129"/>
      <c r="F1480" s="129"/>
      <c r="G1480" s="129"/>
      <c r="H1480" s="129"/>
      <c r="I1480" s="129"/>
      <c r="J1480" s="129"/>
      <c r="K1480" s="129"/>
      <c r="L1480" s="129"/>
      <c r="M1480" s="129"/>
      <c r="N1480" s="129"/>
      <c r="O1480" s="129"/>
      <c r="P1480" s="148"/>
      <c r="Q1480" s="174"/>
    </row>
    <row r="1481" spans="1:17" s="28" customFormat="1" x14ac:dyDescent="0.25">
      <c r="A1481" s="53"/>
      <c r="B1481" s="58"/>
      <c r="C1481" s="58"/>
      <c r="D1481" s="35"/>
      <c r="E1481" s="129"/>
      <c r="F1481" s="129"/>
      <c r="G1481" s="129"/>
      <c r="H1481" s="129"/>
      <c r="I1481" s="129"/>
      <c r="J1481" s="129"/>
      <c r="K1481" s="129"/>
      <c r="L1481" s="129"/>
      <c r="M1481" s="129"/>
      <c r="N1481" s="129"/>
      <c r="O1481" s="129"/>
      <c r="P1481" s="148"/>
      <c r="Q1481" s="174"/>
    </row>
    <row r="1482" spans="1:17" s="28" customFormat="1" x14ac:dyDescent="0.25">
      <c r="A1482" s="53"/>
      <c r="B1482" s="58"/>
      <c r="C1482" s="58"/>
      <c r="D1482" s="35"/>
      <c r="E1482" s="129"/>
      <c r="F1482" s="129"/>
      <c r="G1482" s="129"/>
      <c r="H1482" s="129"/>
      <c r="I1482" s="129"/>
      <c r="J1482" s="129"/>
      <c r="K1482" s="129"/>
      <c r="L1482" s="129"/>
      <c r="M1482" s="129"/>
      <c r="N1482" s="129"/>
      <c r="O1482" s="129"/>
      <c r="P1482" s="148"/>
      <c r="Q1482" s="174"/>
    </row>
    <row r="1483" spans="1:17" s="28" customFormat="1" x14ac:dyDescent="0.25">
      <c r="A1483" s="53"/>
      <c r="B1483" s="58"/>
      <c r="C1483" s="58"/>
      <c r="D1483" s="35"/>
      <c r="E1483" s="129"/>
      <c r="F1483" s="129"/>
      <c r="G1483" s="129"/>
      <c r="H1483" s="129"/>
      <c r="I1483" s="129"/>
      <c r="J1483" s="129"/>
      <c r="K1483" s="129"/>
      <c r="L1483" s="129"/>
      <c r="M1483" s="129"/>
      <c r="N1483" s="129"/>
      <c r="O1483" s="129"/>
      <c r="P1483" s="148"/>
      <c r="Q1483" s="174"/>
    </row>
    <row r="1484" spans="1:17" s="28" customFormat="1" x14ac:dyDescent="0.25">
      <c r="A1484" s="53"/>
      <c r="B1484" s="58"/>
      <c r="C1484" s="58"/>
      <c r="D1484" s="35"/>
      <c r="E1484" s="129"/>
      <c r="F1484" s="129"/>
      <c r="G1484" s="129"/>
      <c r="H1484" s="129"/>
      <c r="I1484" s="129"/>
      <c r="J1484" s="129"/>
      <c r="K1484" s="129"/>
      <c r="L1484" s="129"/>
      <c r="M1484" s="129"/>
      <c r="N1484" s="129"/>
      <c r="O1484" s="129"/>
      <c r="P1484" s="148"/>
      <c r="Q1484" s="174"/>
    </row>
    <row r="1485" spans="1:17" s="28" customFormat="1" x14ac:dyDescent="0.25">
      <c r="A1485" s="53"/>
      <c r="B1485" s="58"/>
      <c r="C1485" s="58"/>
      <c r="D1485" s="35"/>
      <c r="E1485" s="129"/>
      <c r="F1485" s="129"/>
      <c r="G1485" s="129"/>
      <c r="H1485" s="129"/>
      <c r="I1485" s="129"/>
      <c r="J1485" s="129"/>
      <c r="K1485" s="129"/>
      <c r="L1485" s="129"/>
      <c r="M1485" s="129"/>
      <c r="N1485" s="129"/>
      <c r="O1485" s="129"/>
      <c r="P1485" s="148"/>
      <c r="Q1485" s="174"/>
    </row>
    <row r="1486" spans="1:17" s="28" customFormat="1" x14ac:dyDescent="0.25">
      <c r="A1486" s="53"/>
      <c r="B1486" s="58"/>
      <c r="C1486" s="58"/>
      <c r="D1486" s="35"/>
      <c r="E1486" s="129"/>
      <c r="F1486" s="129"/>
      <c r="G1486" s="129"/>
      <c r="H1486" s="129"/>
      <c r="I1486" s="129"/>
      <c r="J1486" s="129"/>
      <c r="K1486" s="129"/>
      <c r="L1486" s="129"/>
      <c r="M1486" s="129"/>
      <c r="N1486" s="129"/>
      <c r="O1486" s="129"/>
      <c r="P1486" s="148"/>
      <c r="Q1486" s="174"/>
    </row>
    <row r="1487" spans="1:17" s="28" customFormat="1" x14ac:dyDescent="0.25">
      <c r="A1487" s="53"/>
      <c r="B1487" s="58"/>
      <c r="C1487" s="58"/>
      <c r="D1487" s="35"/>
      <c r="E1487" s="129"/>
      <c r="F1487" s="129"/>
      <c r="G1487" s="129"/>
      <c r="H1487" s="129"/>
      <c r="I1487" s="129"/>
      <c r="J1487" s="129"/>
      <c r="K1487" s="129"/>
      <c r="L1487" s="129"/>
      <c r="M1487" s="129"/>
      <c r="N1487" s="129"/>
      <c r="O1487" s="129"/>
      <c r="P1487" s="148"/>
      <c r="Q1487" s="174"/>
    </row>
    <row r="1488" spans="1:17" s="28" customFormat="1" x14ac:dyDescent="0.25">
      <c r="A1488" s="53"/>
      <c r="B1488" s="58"/>
      <c r="C1488" s="58"/>
      <c r="D1488" s="35"/>
      <c r="E1488" s="129"/>
      <c r="F1488" s="129"/>
      <c r="G1488" s="129"/>
      <c r="H1488" s="129"/>
      <c r="I1488" s="129"/>
      <c r="J1488" s="129"/>
      <c r="K1488" s="129"/>
      <c r="L1488" s="129"/>
      <c r="M1488" s="129"/>
      <c r="N1488" s="129"/>
      <c r="O1488" s="129"/>
      <c r="P1488" s="148"/>
      <c r="Q1488" s="174"/>
    </row>
    <row r="1489" spans="1:17" s="28" customFormat="1" x14ac:dyDescent="0.25">
      <c r="A1489" s="53"/>
      <c r="B1489" s="58"/>
      <c r="C1489" s="58"/>
      <c r="D1489" s="35"/>
      <c r="E1489" s="129"/>
      <c r="F1489" s="129"/>
      <c r="G1489" s="129"/>
      <c r="H1489" s="129"/>
      <c r="I1489" s="129"/>
      <c r="J1489" s="129"/>
      <c r="K1489" s="129"/>
      <c r="L1489" s="129"/>
      <c r="M1489" s="129"/>
      <c r="N1489" s="129"/>
      <c r="O1489" s="129"/>
      <c r="P1489" s="148"/>
      <c r="Q1489" s="174"/>
    </row>
    <row r="1490" spans="1:17" s="28" customFormat="1" x14ac:dyDescent="0.25">
      <c r="A1490" s="53"/>
      <c r="B1490" s="58"/>
      <c r="C1490" s="58"/>
      <c r="D1490" s="35"/>
      <c r="E1490" s="129"/>
      <c r="F1490" s="129"/>
      <c r="G1490" s="129"/>
      <c r="H1490" s="129"/>
      <c r="I1490" s="129"/>
      <c r="J1490" s="129"/>
      <c r="K1490" s="129"/>
      <c r="L1490" s="129"/>
      <c r="M1490" s="129"/>
      <c r="N1490" s="129"/>
      <c r="O1490" s="129"/>
      <c r="P1490" s="148"/>
      <c r="Q1490" s="174"/>
    </row>
    <row r="1491" spans="1:17" s="28" customFormat="1" x14ac:dyDescent="0.25">
      <c r="A1491" s="53"/>
      <c r="B1491" s="58"/>
      <c r="C1491" s="58"/>
      <c r="D1491" s="35"/>
      <c r="E1491" s="129"/>
      <c r="F1491" s="129"/>
      <c r="G1491" s="129"/>
      <c r="H1491" s="129"/>
      <c r="I1491" s="129"/>
      <c r="J1491" s="129"/>
      <c r="K1491" s="129"/>
      <c r="L1491" s="129"/>
      <c r="M1491" s="129"/>
      <c r="N1491" s="129"/>
      <c r="O1491" s="129"/>
      <c r="P1491" s="148"/>
      <c r="Q1491" s="174"/>
    </row>
    <row r="1492" spans="1:17" s="28" customFormat="1" x14ac:dyDescent="0.25">
      <c r="A1492" s="53"/>
      <c r="B1492" s="58"/>
      <c r="C1492" s="58"/>
      <c r="D1492" s="35"/>
      <c r="E1492" s="129"/>
      <c r="F1492" s="129"/>
      <c r="G1492" s="129"/>
      <c r="H1492" s="129"/>
      <c r="I1492" s="129"/>
      <c r="J1492" s="129"/>
      <c r="K1492" s="129"/>
      <c r="L1492" s="129"/>
      <c r="M1492" s="129"/>
      <c r="N1492" s="129"/>
      <c r="O1492" s="129"/>
      <c r="P1492" s="148"/>
      <c r="Q1492" s="174"/>
    </row>
    <row r="1493" spans="1:17" s="28" customFormat="1" x14ac:dyDescent="0.25">
      <c r="A1493" s="53"/>
      <c r="B1493" s="58"/>
      <c r="C1493" s="58"/>
      <c r="D1493" s="35"/>
      <c r="E1493" s="129"/>
      <c r="F1493" s="129"/>
      <c r="G1493" s="129"/>
      <c r="H1493" s="129"/>
      <c r="I1493" s="129"/>
      <c r="J1493" s="129"/>
      <c r="K1493" s="129"/>
      <c r="L1493" s="129"/>
      <c r="M1493" s="129"/>
      <c r="N1493" s="129"/>
      <c r="O1493" s="129"/>
      <c r="P1493" s="148"/>
      <c r="Q1493" s="174"/>
    </row>
    <row r="1494" spans="1:17" s="28" customFormat="1" x14ac:dyDescent="0.25">
      <c r="A1494" s="53"/>
      <c r="B1494" s="58"/>
      <c r="C1494" s="58"/>
      <c r="D1494" s="35"/>
      <c r="E1494" s="129"/>
      <c r="F1494" s="129"/>
      <c r="G1494" s="129"/>
      <c r="H1494" s="129"/>
      <c r="I1494" s="129"/>
      <c r="J1494" s="129"/>
      <c r="K1494" s="129"/>
      <c r="L1494" s="129"/>
      <c r="M1494" s="129"/>
      <c r="N1494" s="129"/>
      <c r="O1494" s="129"/>
      <c r="P1494" s="148"/>
      <c r="Q1494" s="174"/>
    </row>
    <row r="1495" spans="1:17" s="28" customFormat="1" x14ac:dyDescent="0.25">
      <c r="A1495" s="53"/>
      <c r="B1495" s="58"/>
      <c r="C1495" s="58"/>
      <c r="D1495" s="35"/>
      <c r="E1495" s="129"/>
      <c r="F1495" s="129"/>
      <c r="G1495" s="129"/>
      <c r="H1495" s="129"/>
      <c r="I1495" s="129"/>
      <c r="J1495" s="129"/>
      <c r="K1495" s="129"/>
      <c r="L1495" s="129"/>
      <c r="M1495" s="129"/>
      <c r="N1495" s="129"/>
      <c r="O1495" s="129"/>
      <c r="P1495" s="148"/>
      <c r="Q1495" s="174"/>
    </row>
    <row r="1496" spans="1:17" s="28" customFormat="1" x14ac:dyDescent="0.25">
      <c r="A1496" s="53"/>
      <c r="B1496" s="58"/>
      <c r="C1496" s="58"/>
      <c r="D1496" s="35"/>
      <c r="E1496" s="129"/>
      <c r="F1496" s="129"/>
      <c r="G1496" s="129"/>
      <c r="H1496" s="129"/>
      <c r="I1496" s="129"/>
      <c r="J1496" s="129"/>
      <c r="K1496" s="129"/>
      <c r="L1496" s="129"/>
      <c r="M1496" s="129"/>
      <c r="N1496" s="129"/>
      <c r="O1496" s="129"/>
      <c r="P1496" s="148"/>
      <c r="Q1496" s="174"/>
    </row>
    <row r="1497" spans="1:17" s="28" customFormat="1" x14ac:dyDescent="0.25">
      <c r="A1497" s="53"/>
      <c r="B1497" s="58"/>
      <c r="C1497" s="58"/>
      <c r="D1497" s="35"/>
      <c r="E1497" s="129"/>
      <c r="F1497" s="129"/>
      <c r="G1497" s="129"/>
      <c r="H1497" s="129"/>
      <c r="I1497" s="129"/>
      <c r="J1497" s="129"/>
      <c r="K1497" s="129"/>
      <c r="L1497" s="129"/>
      <c r="M1497" s="129"/>
      <c r="N1497" s="129"/>
      <c r="O1497" s="129"/>
      <c r="P1497" s="148"/>
      <c r="Q1497" s="174"/>
    </row>
    <row r="1498" spans="1:17" s="28" customFormat="1" x14ac:dyDescent="0.25">
      <c r="A1498" s="53"/>
      <c r="B1498" s="58"/>
      <c r="C1498" s="58"/>
      <c r="D1498" s="35"/>
      <c r="E1498" s="129"/>
      <c r="F1498" s="129"/>
      <c r="G1498" s="129"/>
      <c r="H1498" s="129"/>
      <c r="I1498" s="129"/>
      <c r="J1498" s="129"/>
      <c r="K1498" s="129"/>
      <c r="L1498" s="129"/>
      <c r="M1498" s="129"/>
      <c r="N1498" s="129"/>
      <c r="O1498" s="129"/>
      <c r="P1498" s="148"/>
      <c r="Q1498" s="174"/>
    </row>
    <row r="1499" spans="1:17" s="28" customFormat="1" x14ac:dyDescent="0.25">
      <c r="A1499" s="53"/>
      <c r="B1499" s="58"/>
      <c r="C1499" s="58"/>
      <c r="D1499" s="35"/>
      <c r="E1499" s="129"/>
      <c r="F1499" s="129"/>
      <c r="G1499" s="129"/>
      <c r="H1499" s="129"/>
      <c r="I1499" s="129"/>
      <c r="J1499" s="129"/>
      <c r="K1499" s="129"/>
      <c r="L1499" s="129"/>
      <c r="M1499" s="129"/>
      <c r="N1499" s="129"/>
      <c r="O1499" s="129"/>
      <c r="P1499" s="148"/>
      <c r="Q1499" s="174"/>
    </row>
    <row r="1500" spans="1:17" s="28" customFormat="1" x14ac:dyDescent="0.25">
      <c r="A1500" s="53"/>
      <c r="B1500" s="58"/>
      <c r="C1500" s="58"/>
      <c r="D1500" s="35"/>
      <c r="E1500" s="129"/>
      <c r="F1500" s="129"/>
      <c r="G1500" s="129"/>
      <c r="H1500" s="129"/>
      <c r="I1500" s="129"/>
      <c r="J1500" s="129"/>
      <c r="K1500" s="129"/>
      <c r="L1500" s="129"/>
      <c r="M1500" s="129"/>
      <c r="N1500" s="129"/>
      <c r="O1500" s="129"/>
      <c r="P1500" s="148"/>
      <c r="Q1500" s="174"/>
    </row>
    <row r="1501" spans="1:17" s="28" customFormat="1" x14ac:dyDescent="0.25">
      <c r="A1501" s="53"/>
      <c r="B1501" s="58"/>
      <c r="C1501" s="58"/>
      <c r="D1501" s="35"/>
      <c r="E1501" s="129"/>
      <c r="F1501" s="129"/>
      <c r="G1501" s="129"/>
      <c r="H1501" s="129"/>
      <c r="I1501" s="129"/>
      <c r="J1501" s="129"/>
      <c r="K1501" s="129"/>
      <c r="L1501" s="129"/>
      <c r="M1501" s="129"/>
      <c r="N1501" s="129"/>
      <c r="O1501" s="129"/>
      <c r="P1501" s="148"/>
      <c r="Q1501" s="174"/>
    </row>
    <row r="1502" spans="1:17" s="28" customFormat="1" x14ac:dyDescent="0.25">
      <c r="A1502" s="53"/>
      <c r="B1502" s="58"/>
      <c r="C1502" s="58"/>
      <c r="D1502" s="35"/>
      <c r="E1502" s="129"/>
      <c r="F1502" s="129"/>
      <c r="G1502" s="129"/>
      <c r="H1502" s="129"/>
      <c r="I1502" s="129"/>
      <c r="J1502" s="129"/>
      <c r="K1502" s="129"/>
      <c r="L1502" s="129"/>
      <c r="M1502" s="129"/>
      <c r="N1502" s="129"/>
      <c r="O1502" s="129"/>
      <c r="P1502" s="148"/>
      <c r="Q1502" s="174"/>
    </row>
    <row r="1503" spans="1:17" s="28" customFormat="1" x14ac:dyDescent="0.25">
      <c r="A1503" s="53"/>
      <c r="B1503" s="58"/>
      <c r="C1503" s="58"/>
      <c r="D1503" s="35"/>
      <c r="E1503" s="129"/>
      <c r="F1503" s="129"/>
      <c r="G1503" s="129"/>
      <c r="H1503" s="129"/>
      <c r="I1503" s="129"/>
      <c r="J1503" s="129"/>
      <c r="K1503" s="129"/>
      <c r="L1503" s="129"/>
      <c r="M1503" s="129"/>
      <c r="N1503" s="129"/>
      <c r="O1503" s="129"/>
      <c r="P1503" s="148"/>
      <c r="Q1503" s="174"/>
    </row>
    <row r="1504" spans="1:17" s="28" customFormat="1" x14ac:dyDescent="0.25">
      <c r="A1504" s="53"/>
      <c r="B1504" s="58"/>
      <c r="C1504" s="58"/>
      <c r="D1504" s="35"/>
      <c r="E1504" s="129"/>
      <c r="F1504" s="129"/>
      <c r="G1504" s="129"/>
      <c r="H1504" s="129"/>
      <c r="I1504" s="129"/>
      <c r="J1504" s="129"/>
      <c r="K1504" s="129"/>
      <c r="L1504" s="129"/>
      <c r="M1504" s="129"/>
      <c r="N1504" s="129"/>
      <c r="O1504" s="129"/>
      <c r="P1504" s="148"/>
      <c r="Q1504" s="174"/>
    </row>
    <row r="1505" spans="1:17" s="28" customFormat="1" x14ac:dyDescent="0.25">
      <c r="A1505" s="53"/>
      <c r="B1505" s="58"/>
      <c r="C1505" s="58"/>
      <c r="D1505" s="35"/>
      <c r="E1505" s="129"/>
      <c r="F1505" s="129"/>
      <c r="G1505" s="129"/>
      <c r="H1505" s="129"/>
      <c r="I1505" s="129"/>
      <c r="J1505" s="129"/>
      <c r="K1505" s="129"/>
      <c r="L1505" s="129"/>
      <c r="M1505" s="129"/>
      <c r="N1505" s="129"/>
      <c r="O1505" s="129"/>
      <c r="P1505" s="148"/>
      <c r="Q1505" s="174"/>
    </row>
    <row r="1506" spans="1:17" s="28" customFormat="1" x14ac:dyDescent="0.25">
      <c r="A1506" s="53"/>
      <c r="B1506" s="58"/>
      <c r="C1506" s="58"/>
      <c r="D1506" s="35"/>
      <c r="E1506" s="129"/>
      <c r="F1506" s="129"/>
      <c r="G1506" s="129"/>
      <c r="H1506" s="129"/>
      <c r="I1506" s="129"/>
      <c r="J1506" s="129"/>
      <c r="K1506" s="129"/>
      <c r="L1506" s="129"/>
      <c r="M1506" s="129"/>
      <c r="N1506" s="129"/>
      <c r="O1506" s="129"/>
      <c r="P1506" s="148"/>
      <c r="Q1506" s="174"/>
    </row>
    <row r="1507" spans="1:17" s="28" customFormat="1" x14ac:dyDescent="0.25">
      <c r="A1507" s="53"/>
      <c r="B1507" s="58"/>
      <c r="C1507" s="58"/>
      <c r="D1507" s="35"/>
      <c r="E1507" s="129"/>
      <c r="F1507" s="129"/>
      <c r="G1507" s="129"/>
      <c r="H1507" s="129"/>
      <c r="I1507" s="129"/>
      <c r="J1507" s="129"/>
      <c r="K1507" s="129"/>
      <c r="L1507" s="129"/>
      <c r="M1507" s="129"/>
      <c r="N1507" s="129"/>
      <c r="O1507" s="129"/>
      <c r="P1507" s="148"/>
      <c r="Q1507" s="174"/>
    </row>
    <row r="1508" spans="1:17" s="28" customFormat="1" x14ac:dyDescent="0.25">
      <c r="A1508" s="53"/>
      <c r="B1508" s="58"/>
      <c r="C1508" s="58"/>
      <c r="D1508" s="35"/>
      <c r="E1508" s="129"/>
      <c r="F1508" s="129"/>
      <c r="G1508" s="129"/>
      <c r="H1508" s="129"/>
      <c r="I1508" s="129"/>
      <c r="J1508" s="129"/>
      <c r="K1508" s="129"/>
      <c r="L1508" s="129"/>
      <c r="M1508" s="129"/>
      <c r="N1508" s="129"/>
      <c r="O1508" s="129"/>
      <c r="P1508" s="148"/>
      <c r="Q1508" s="174"/>
    </row>
    <row r="1509" spans="1:17" s="28" customFormat="1" x14ac:dyDescent="0.25">
      <c r="A1509" s="53"/>
      <c r="B1509" s="58"/>
      <c r="C1509" s="58"/>
      <c r="D1509" s="35"/>
      <c r="E1509" s="129"/>
      <c r="F1509" s="129"/>
      <c r="G1509" s="129"/>
      <c r="H1509" s="129"/>
      <c r="I1509" s="129"/>
      <c r="J1509" s="129"/>
      <c r="K1509" s="129"/>
      <c r="L1509" s="129"/>
      <c r="M1509" s="129"/>
      <c r="N1509" s="129"/>
      <c r="O1509" s="129"/>
      <c r="P1509" s="148"/>
      <c r="Q1509" s="174"/>
    </row>
    <row r="1510" spans="1:17" s="28" customFormat="1" x14ac:dyDescent="0.25">
      <c r="A1510" s="53"/>
      <c r="B1510" s="58"/>
      <c r="C1510" s="58"/>
      <c r="D1510" s="35"/>
      <c r="E1510" s="129"/>
      <c r="F1510" s="129"/>
      <c r="G1510" s="129"/>
      <c r="H1510" s="129"/>
      <c r="I1510" s="129"/>
      <c r="J1510" s="129"/>
      <c r="K1510" s="129"/>
      <c r="L1510" s="129"/>
      <c r="M1510" s="129"/>
      <c r="N1510" s="129"/>
      <c r="O1510" s="129"/>
      <c r="P1510" s="148"/>
      <c r="Q1510" s="174"/>
    </row>
    <row r="1511" spans="1:17" s="28" customFormat="1" x14ac:dyDescent="0.25">
      <c r="A1511" s="53"/>
      <c r="B1511" s="58"/>
      <c r="C1511" s="58"/>
      <c r="D1511" s="35"/>
      <c r="E1511" s="129"/>
      <c r="F1511" s="129"/>
      <c r="G1511" s="129"/>
      <c r="H1511" s="129"/>
      <c r="I1511" s="129"/>
      <c r="J1511" s="129"/>
      <c r="K1511" s="129"/>
      <c r="L1511" s="129"/>
      <c r="M1511" s="129"/>
      <c r="N1511" s="129"/>
      <c r="O1511" s="129"/>
      <c r="P1511" s="148"/>
      <c r="Q1511" s="174"/>
    </row>
    <row r="1512" spans="1:17" s="28" customFormat="1" x14ac:dyDescent="0.25">
      <c r="A1512" s="53"/>
      <c r="B1512" s="58"/>
      <c r="C1512" s="58"/>
      <c r="D1512" s="35"/>
      <c r="E1512" s="129"/>
      <c r="F1512" s="129"/>
      <c r="G1512" s="129"/>
      <c r="H1512" s="129"/>
      <c r="I1512" s="129"/>
      <c r="J1512" s="129"/>
      <c r="K1512" s="129"/>
      <c r="L1512" s="129"/>
      <c r="M1512" s="129"/>
      <c r="N1512" s="129"/>
      <c r="O1512" s="129"/>
      <c r="P1512" s="148"/>
      <c r="Q1512" s="174"/>
    </row>
    <row r="1513" spans="1:17" s="28" customFormat="1" x14ac:dyDescent="0.25">
      <c r="A1513" s="53"/>
      <c r="B1513" s="58"/>
      <c r="C1513" s="58"/>
      <c r="D1513" s="35"/>
      <c r="E1513" s="129"/>
      <c r="F1513" s="129"/>
      <c r="G1513" s="129"/>
      <c r="H1513" s="129"/>
      <c r="I1513" s="129"/>
      <c r="J1513" s="129"/>
      <c r="K1513" s="129"/>
      <c r="L1513" s="129"/>
      <c r="M1513" s="129"/>
      <c r="N1513" s="129"/>
      <c r="O1513" s="129"/>
      <c r="P1513" s="148"/>
      <c r="Q1513" s="174"/>
    </row>
    <row r="1514" spans="1:17" s="28" customFormat="1" x14ac:dyDescent="0.25">
      <c r="A1514" s="53"/>
      <c r="B1514" s="58"/>
      <c r="C1514" s="58"/>
      <c r="D1514" s="35"/>
      <c r="E1514" s="129"/>
      <c r="F1514" s="129"/>
      <c r="G1514" s="129"/>
      <c r="H1514" s="129"/>
      <c r="I1514" s="129"/>
      <c r="J1514" s="129"/>
      <c r="K1514" s="129"/>
      <c r="L1514" s="129"/>
      <c r="M1514" s="129"/>
      <c r="N1514" s="129"/>
      <c r="O1514" s="129"/>
      <c r="P1514" s="148"/>
      <c r="Q1514" s="174"/>
    </row>
    <row r="1515" spans="1:17" s="28" customFormat="1" x14ac:dyDescent="0.25">
      <c r="A1515" s="53"/>
      <c r="B1515" s="58"/>
      <c r="C1515" s="58"/>
      <c r="D1515" s="35"/>
      <c r="E1515" s="129"/>
      <c r="F1515" s="129"/>
      <c r="G1515" s="129"/>
      <c r="H1515" s="129"/>
      <c r="I1515" s="129"/>
      <c r="J1515" s="129"/>
      <c r="K1515" s="129"/>
      <c r="L1515" s="129"/>
      <c r="M1515" s="129"/>
      <c r="N1515" s="129"/>
      <c r="O1515" s="129"/>
      <c r="P1515" s="148"/>
      <c r="Q1515" s="174"/>
    </row>
    <row r="1516" spans="1:17" s="28" customFormat="1" x14ac:dyDescent="0.25">
      <c r="A1516" s="53"/>
      <c r="B1516" s="58"/>
      <c r="C1516" s="58"/>
      <c r="D1516" s="35"/>
      <c r="E1516" s="129"/>
      <c r="F1516" s="129"/>
      <c r="G1516" s="129"/>
      <c r="H1516" s="129"/>
      <c r="I1516" s="129"/>
      <c r="J1516" s="129"/>
      <c r="K1516" s="129"/>
      <c r="L1516" s="129"/>
      <c r="M1516" s="129"/>
      <c r="N1516" s="129"/>
      <c r="O1516" s="129"/>
      <c r="P1516" s="148"/>
      <c r="Q1516" s="174"/>
    </row>
    <row r="1517" spans="1:17" s="28" customFormat="1" x14ac:dyDescent="0.25">
      <c r="A1517" s="53"/>
      <c r="B1517" s="58"/>
      <c r="C1517" s="58"/>
      <c r="D1517" s="35"/>
      <c r="E1517" s="129"/>
      <c r="F1517" s="129"/>
      <c r="G1517" s="129"/>
      <c r="H1517" s="129"/>
      <c r="I1517" s="129"/>
      <c r="J1517" s="129"/>
      <c r="K1517" s="129"/>
      <c r="L1517" s="129"/>
      <c r="M1517" s="129"/>
      <c r="N1517" s="129"/>
      <c r="O1517" s="129"/>
      <c r="P1517" s="148"/>
      <c r="Q1517" s="174"/>
    </row>
    <row r="1518" spans="1:17" s="28" customFormat="1" x14ac:dyDescent="0.25">
      <c r="A1518" s="53"/>
      <c r="B1518" s="58"/>
      <c r="C1518" s="58"/>
      <c r="D1518" s="35"/>
      <c r="E1518" s="129"/>
      <c r="F1518" s="129"/>
      <c r="G1518" s="129"/>
      <c r="H1518" s="129"/>
      <c r="I1518" s="129"/>
      <c r="J1518" s="129"/>
      <c r="K1518" s="129"/>
      <c r="L1518" s="129"/>
      <c r="M1518" s="129"/>
      <c r="N1518" s="129"/>
      <c r="O1518" s="129"/>
      <c r="P1518" s="148"/>
      <c r="Q1518" s="174"/>
    </row>
    <row r="1519" spans="1:17" s="28" customFormat="1" x14ac:dyDescent="0.25">
      <c r="A1519" s="53"/>
      <c r="B1519" s="58"/>
      <c r="C1519" s="58"/>
      <c r="D1519" s="35"/>
      <c r="E1519" s="129"/>
      <c r="F1519" s="129"/>
      <c r="G1519" s="129"/>
      <c r="H1519" s="129"/>
      <c r="I1519" s="129"/>
      <c r="J1519" s="129"/>
      <c r="K1519" s="129"/>
      <c r="L1519" s="129"/>
      <c r="M1519" s="129"/>
      <c r="N1519" s="129"/>
      <c r="O1519" s="129"/>
      <c r="P1519" s="148"/>
      <c r="Q1519" s="174"/>
    </row>
    <row r="1520" spans="1:17" s="28" customFormat="1" x14ac:dyDescent="0.25">
      <c r="A1520" s="53"/>
      <c r="B1520" s="58"/>
      <c r="C1520" s="58"/>
      <c r="D1520" s="35"/>
      <c r="E1520" s="129"/>
      <c r="F1520" s="129"/>
      <c r="G1520" s="129"/>
      <c r="H1520" s="129"/>
      <c r="I1520" s="129"/>
      <c r="J1520" s="129"/>
      <c r="K1520" s="129"/>
      <c r="L1520" s="129"/>
      <c r="M1520" s="129"/>
      <c r="N1520" s="129"/>
      <c r="O1520" s="129"/>
      <c r="P1520" s="148"/>
      <c r="Q1520" s="174"/>
    </row>
    <row r="1521" spans="1:17" s="28" customFormat="1" x14ac:dyDescent="0.25">
      <c r="A1521" s="53"/>
      <c r="B1521" s="58"/>
      <c r="C1521" s="58"/>
      <c r="D1521" s="35"/>
      <c r="E1521" s="129"/>
      <c r="F1521" s="129"/>
      <c r="G1521" s="129"/>
      <c r="H1521" s="129"/>
      <c r="I1521" s="129"/>
      <c r="J1521" s="129"/>
      <c r="K1521" s="129"/>
      <c r="L1521" s="129"/>
      <c r="M1521" s="129"/>
      <c r="N1521" s="129"/>
      <c r="O1521" s="129"/>
      <c r="P1521" s="148"/>
      <c r="Q1521" s="174"/>
    </row>
    <row r="1522" spans="1:17" s="28" customFormat="1" x14ac:dyDescent="0.25">
      <c r="A1522" s="53"/>
      <c r="B1522" s="58"/>
      <c r="C1522" s="58"/>
      <c r="D1522" s="35"/>
      <c r="E1522" s="129"/>
      <c r="F1522" s="129"/>
      <c r="G1522" s="129"/>
      <c r="H1522" s="129"/>
      <c r="I1522" s="129"/>
      <c r="J1522" s="129"/>
      <c r="K1522" s="129"/>
      <c r="L1522" s="129"/>
      <c r="M1522" s="129"/>
      <c r="N1522" s="129"/>
      <c r="O1522" s="129"/>
      <c r="P1522" s="148"/>
      <c r="Q1522" s="174"/>
    </row>
    <row r="1523" spans="1:17" s="28" customFormat="1" x14ac:dyDescent="0.25">
      <c r="A1523" s="53"/>
      <c r="B1523" s="58"/>
      <c r="C1523" s="58"/>
      <c r="D1523" s="35"/>
      <c r="E1523" s="129"/>
      <c r="F1523" s="129"/>
      <c r="G1523" s="129"/>
      <c r="H1523" s="129"/>
      <c r="I1523" s="129"/>
      <c r="J1523" s="129"/>
      <c r="K1523" s="129"/>
      <c r="L1523" s="129"/>
      <c r="M1523" s="129"/>
      <c r="N1523" s="129"/>
      <c r="O1523" s="129"/>
      <c r="P1523" s="148"/>
      <c r="Q1523" s="174"/>
    </row>
    <row r="1524" spans="1:17" s="28" customFormat="1" x14ac:dyDescent="0.25">
      <c r="A1524" s="53"/>
      <c r="B1524" s="58"/>
      <c r="C1524" s="58"/>
      <c r="D1524" s="35"/>
      <c r="E1524" s="129"/>
      <c r="F1524" s="129"/>
      <c r="G1524" s="129"/>
      <c r="H1524" s="129"/>
      <c r="I1524" s="129"/>
      <c r="J1524" s="129"/>
      <c r="K1524" s="129"/>
      <c r="L1524" s="129"/>
      <c r="M1524" s="129"/>
      <c r="N1524" s="129"/>
      <c r="O1524" s="129"/>
      <c r="P1524" s="148"/>
      <c r="Q1524" s="174"/>
    </row>
    <row r="1525" spans="1:17" s="28" customFormat="1" x14ac:dyDescent="0.25">
      <c r="A1525" s="53"/>
      <c r="B1525" s="58"/>
      <c r="C1525" s="58"/>
      <c r="D1525" s="35"/>
      <c r="E1525" s="129"/>
      <c r="F1525" s="129"/>
      <c r="G1525" s="129"/>
      <c r="H1525" s="129"/>
      <c r="I1525" s="129"/>
      <c r="J1525" s="129"/>
      <c r="K1525" s="129"/>
      <c r="L1525" s="129"/>
      <c r="M1525" s="129"/>
      <c r="N1525" s="129"/>
      <c r="O1525" s="129"/>
      <c r="P1525" s="148"/>
      <c r="Q1525" s="174"/>
    </row>
    <row r="1526" spans="1:17" s="28" customFormat="1" x14ac:dyDescent="0.25">
      <c r="A1526" s="53"/>
      <c r="B1526" s="58"/>
      <c r="C1526" s="58"/>
      <c r="D1526" s="35"/>
      <c r="E1526" s="129"/>
      <c r="F1526" s="129"/>
      <c r="G1526" s="129"/>
      <c r="H1526" s="129"/>
      <c r="I1526" s="129"/>
      <c r="J1526" s="129"/>
      <c r="K1526" s="129"/>
      <c r="L1526" s="129"/>
      <c r="M1526" s="129"/>
      <c r="N1526" s="129"/>
      <c r="O1526" s="129"/>
      <c r="P1526" s="148"/>
      <c r="Q1526" s="174"/>
    </row>
    <row r="1527" spans="1:17" s="28" customFormat="1" x14ac:dyDescent="0.25">
      <c r="A1527" s="53"/>
      <c r="B1527" s="58"/>
      <c r="C1527" s="58"/>
      <c r="D1527" s="35"/>
      <c r="E1527" s="129"/>
      <c r="F1527" s="129"/>
      <c r="G1527" s="129"/>
      <c r="H1527" s="129"/>
      <c r="I1527" s="129"/>
      <c r="J1527" s="129"/>
      <c r="K1527" s="129"/>
      <c r="L1527" s="129"/>
      <c r="M1527" s="129"/>
      <c r="N1527" s="129"/>
      <c r="O1527" s="129"/>
      <c r="P1527" s="148"/>
      <c r="Q1527" s="174"/>
    </row>
    <row r="1528" spans="1:17" s="28" customFormat="1" x14ac:dyDescent="0.25">
      <c r="A1528" s="53"/>
      <c r="B1528" s="58"/>
      <c r="C1528" s="58"/>
      <c r="D1528" s="35"/>
      <c r="E1528" s="129"/>
      <c r="F1528" s="129"/>
      <c r="G1528" s="129"/>
      <c r="H1528" s="129"/>
      <c r="I1528" s="129"/>
      <c r="J1528" s="129"/>
      <c r="K1528" s="129"/>
      <c r="L1528" s="129"/>
      <c r="M1528" s="129"/>
      <c r="N1528" s="129"/>
      <c r="O1528" s="129"/>
      <c r="P1528" s="148"/>
      <c r="Q1528" s="174"/>
    </row>
    <row r="1529" spans="1:17" s="28" customFormat="1" x14ac:dyDescent="0.25">
      <c r="A1529" s="53"/>
      <c r="B1529" s="58"/>
      <c r="C1529" s="58"/>
      <c r="D1529" s="35"/>
      <c r="E1529" s="129"/>
      <c r="F1529" s="129"/>
      <c r="G1529" s="129"/>
      <c r="H1529" s="129"/>
      <c r="I1529" s="129"/>
      <c r="J1529" s="129"/>
      <c r="K1529" s="129"/>
      <c r="L1529" s="129"/>
      <c r="M1529" s="129"/>
      <c r="N1529" s="129"/>
      <c r="O1529" s="129"/>
      <c r="P1529" s="148"/>
      <c r="Q1529" s="174"/>
    </row>
    <row r="1530" spans="1:17" s="28" customFormat="1" x14ac:dyDescent="0.25">
      <c r="A1530" s="53"/>
      <c r="B1530" s="58"/>
      <c r="C1530" s="58"/>
      <c r="D1530" s="35"/>
      <c r="E1530" s="129"/>
      <c r="F1530" s="129"/>
      <c r="G1530" s="129"/>
      <c r="H1530" s="129"/>
      <c r="I1530" s="129"/>
      <c r="J1530" s="129"/>
      <c r="K1530" s="129"/>
      <c r="L1530" s="129"/>
      <c r="M1530" s="129"/>
      <c r="N1530" s="129"/>
      <c r="O1530" s="129"/>
      <c r="P1530" s="148"/>
      <c r="Q1530" s="174"/>
    </row>
    <row r="1531" spans="1:17" s="28" customFormat="1" x14ac:dyDescent="0.25">
      <c r="A1531" s="53"/>
      <c r="B1531" s="58"/>
      <c r="C1531" s="58"/>
      <c r="D1531" s="35"/>
      <c r="E1531" s="129"/>
      <c r="F1531" s="129"/>
      <c r="G1531" s="129"/>
      <c r="H1531" s="129"/>
      <c r="I1531" s="129"/>
      <c r="J1531" s="129"/>
      <c r="K1531" s="129"/>
      <c r="L1531" s="129"/>
      <c r="M1531" s="129"/>
      <c r="N1531" s="129"/>
      <c r="O1531" s="129"/>
      <c r="P1531" s="148"/>
      <c r="Q1531" s="174"/>
    </row>
    <row r="1532" spans="1:17" s="28" customFormat="1" x14ac:dyDescent="0.25">
      <c r="A1532" s="53"/>
      <c r="B1532" s="58"/>
      <c r="C1532" s="58"/>
      <c r="D1532" s="35"/>
      <c r="E1532" s="129"/>
      <c r="F1532" s="129"/>
      <c r="G1532" s="129"/>
      <c r="H1532" s="129"/>
      <c r="I1532" s="129"/>
      <c r="J1532" s="129"/>
      <c r="K1532" s="129"/>
      <c r="L1532" s="129"/>
      <c r="M1532" s="129"/>
      <c r="N1532" s="129"/>
      <c r="O1532" s="129"/>
      <c r="P1532" s="148"/>
      <c r="Q1532" s="174"/>
    </row>
    <row r="1533" spans="1:17" s="28" customFormat="1" x14ac:dyDescent="0.25">
      <c r="A1533" s="53"/>
      <c r="B1533" s="58"/>
      <c r="C1533" s="58"/>
      <c r="D1533" s="35"/>
      <c r="E1533" s="129"/>
      <c r="F1533" s="129"/>
      <c r="G1533" s="129"/>
      <c r="H1533" s="129"/>
      <c r="I1533" s="129"/>
      <c r="J1533" s="129"/>
      <c r="K1533" s="129"/>
      <c r="L1533" s="129"/>
      <c r="M1533" s="129"/>
      <c r="N1533" s="129"/>
      <c r="O1533" s="129"/>
      <c r="P1533" s="148"/>
      <c r="Q1533" s="174"/>
    </row>
    <row r="1534" spans="1:17" s="28" customFormat="1" x14ac:dyDescent="0.25">
      <c r="A1534" s="53"/>
      <c r="B1534" s="58"/>
      <c r="C1534" s="58"/>
      <c r="D1534" s="35"/>
      <c r="E1534" s="129"/>
      <c r="F1534" s="129"/>
      <c r="G1534" s="129"/>
      <c r="H1534" s="129"/>
      <c r="I1534" s="129"/>
      <c r="J1534" s="129"/>
      <c r="K1534" s="129"/>
      <c r="L1534" s="129"/>
      <c r="M1534" s="129"/>
      <c r="N1534" s="129"/>
      <c r="O1534" s="129"/>
      <c r="P1534" s="148"/>
      <c r="Q1534" s="174"/>
    </row>
    <row r="1535" spans="1:17" s="28" customFormat="1" x14ac:dyDescent="0.25">
      <c r="A1535" s="53"/>
      <c r="B1535" s="58"/>
      <c r="C1535" s="58"/>
      <c r="D1535" s="35"/>
      <c r="E1535" s="129"/>
      <c r="F1535" s="129"/>
      <c r="G1535" s="129"/>
      <c r="H1535" s="129"/>
      <c r="I1535" s="129"/>
      <c r="J1535" s="129"/>
      <c r="K1535" s="129"/>
      <c r="L1535" s="129"/>
      <c r="M1535" s="129"/>
      <c r="N1535" s="129"/>
      <c r="O1535" s="129"/>
      <c r="P1535" s="148"/>
      <c r="Q1535" s="174"/>
    </row>
    <row r="1536" spans="1:17" s="28" customFormat="1" x14ac:dyDescent="0.25">
      <c r="A1536" s="53"/>
      <c r="B1536" s="58"/>
      <c r="C1536" s="58"/>
      <c r="D1536" s="35"/>
      <c r="E1536" s="129"/>
      <c r="F1536" s="129"/>
      <c r="G1536" s="129"/>
      <c r="H1536" s="129"/>
      <c r="I1536" s="129"/>
      <c r="J1536" s="129"/>
      <c r="K1536" s="129"/>
      <c r="L1536" s="129"/>
      <c r="M1536" s="129"/>
      <c r="N1536" s="129"/>
      <c r="O1536" s="129"/>
      <c r="P1536" s="148"/>
      <c r="Q1536" s="174"/>
    </row>
    <row r="1537" spans="1:17" s="28" customFormat="1" x14ac:dyDescent="0.25">
      <c r="A1537" s="53"/>
      <c r="B1537" s="58"/>
      <c r="C1537" s="58"/>
      <c r="D1537" s="35"/>
      <c r="E1537" s="129"/>
      <c r="F1537" s="129"/>
      <c r="G1537" s="129"/>
      <c r="H1537" s="129"/>
      <c r="I1537" s="129"/>
      <c r="J1537" s="129"/>
      <c r="K1537" s="129"/>
      <c r="L1537" s="129"/>
      <c r="M1537" s="129"/>
      <c r="N1537" s="129"/>
      <c r="O1537" s="129"/>
      <c r="P1537" s="148"/>
      <c r="Q1537" s="174"/>
    </row>
    <row r="1538" spans="1:17" s="28" customFormat="1" x14ac:dyDescent="0.25">
      <c r="A1538" s="53"/>
      <c r="B1538" s="58"/>
      <c r="C1538" s="58"/>
      <c r="D1538" s="35"/>
      <c r="E1538" s="129"/>
      <c r="F1538" s="129"/>
      <c r="G1538" s="129"/>
      <c r="H1538" s="129"/>
      <c r="I1538" s="129"/>
      <c r="J1538" s="129"/>
      <c r="K1538" s="129"/>
      <c r="L1538" s="129"/>
      <c r="M1538" s="129"/>
      <c r="N1538" s="129"/>
      <c r="O1538" s="129"/>
      <c r="P1538" s="148"/>
      <c r="Q1538" s="174"/>
    </row>
    <row r="1539" spans="1:17" s="28" customFormat="1" x14ac:dyDescent="0.25">
      <c r="A1539" s="53"/>
      <c r="B1539" s="58"/>
      <c r="C1539" s="58"/>
      <c r="D1539" s="35"/>
      <c r="E1539" s="129"/>
      <c r="F1539" s="129"/>
      <c r="G1539" s="129"/>
      <c r="H1539" s="129"/>
      <c r="I1539" s="129"/>
      <c r="J1539" s="129"/>
      <c r="K1539" s="129"/>
      <c r="L1539" s="129"/>
      <c r="M1539" s="129"/>
      <c r="N1539" s="129"/>
      <c r="O1539" s="129"/>
      <c r="P1539" s="148"/>
      <c r="Q1539" s="174"/>
    </row>
    <row r="1540" spans="1:17" s="28" customFormat="1" x14ac:dyDescent="0.25">
      <c r="A1540" s="53"/>
      <c r="B1540" s="58"/>
      <c r="C1540" s="58"/>
      <c r="D1540" s="35"/>
      <c r="E1540" s="129"/>
      <c r="F1540" s="129"/>
      <c r="G1540" s="129"/>
      <c r="H1540" s="129"/>
      <c r="I1540" s="129"/>
      <c r="J1540" s="129"/>
      <c r="K1540" s="129"/>
      <c r="L1540" s="129"/>
      <c r="M1540" s="129"/>
      <c r="N1540" s="129"/>
      <c r="O1540" s="129"/>
      <c r="P1540" s="148"/>
      <c r="Q1540" s="174"/>
    </row>
    <row r="1541" spans="1:17" s="28" customFormat="1" x14ac:dyDescent="0.25">
      <c r="A1541" s="53"/>
      <c r="B1541" s="58"/>
      <c r="C1541" s="58"/>
      <c r="D1541" s="35"/>
      <c r="E1541" s="129"/>
      <c r="F1541" s="129"/>
      <c r="G1541" s="129"/>
      <c r="H1541" s="129"/>
      <c r="I1541" s="129"/>
      <c r="J1541" s="129"/>
      <c r="K1541" s="129"/>
      <c r="L1541" s="129"/>
      <c r="M1541" s="129"/>
      <c r="N1541" s="129"/>
      <c r="O1541" s="129"/>
      <c r="P1541" s="148"/>
      <c r="Q1541" s="174"/>
    </row>
    <row r="1542" spans="1:17" s="28" customFormat="1" x14ac:dyDescent="0.25">
      <c r="A1542" s="53"/>
      <c r="B1542" s="58"/>
      <c r="C1542" s="58"/>
      <c r="D1542" s="35"/>
      <c r="E1542" s="129"/>
      <c r="F1542" s="129"/>
      <c r="G1542" s="129"/>
      <c r="H1542" s="129"/>
      <c r="I1542" s="129"/>
      <c r="J1542" s="129"/>
      <c r="K1542" s="129"/>
      <c r="L1542" s="129"/>
      <c r="M1542" s="129"/>
      <c r="N1542" s="129"/>
      <c r="O1542" s="129"/>
      <c r="P1542" s="148"/>
      <c r="Q1542" s="174"/>
    </row>
    <row r="1543" spans="1:17" s="28" customFormat="1" x14ac:dyDescent="0.25">
      <c r="A1543" s="53"/>
      <c r="B1543" s="58"/>
      <c r="C1543" s="58"/>
      <c r="D1543" s="35"/>
      <c r="E1543" s="129"/>
      <c r="F1543" s="129"/>
      <c r="G1543" s="129"/>
      <c r="H1543" s="129"/>
      <c r="I1543" s="129"/>
      <c r="J1543" s="129"/>
      <c r="K1543" s="129"/>
      <c r="L1543" s="129"/>
      <c r="M1543" s="129"/>
      <c r="N1543" s="129"/>
      <c r="O1543" s="129"/>
      <c r="P1543" s="148"/>
      <c r="Q1543" s="174"/>
    </row>
    <row r="1544" spans="1:17" s="28" customFormat="1" x14ac:dyDescent="0.25">
      <c r="A1544" s="53"/>
      <c r="B1544" s="58"/>
      <c r="C1544" s="58"/>
      <c r="D1544" s="35"/>
      <c r="E1544" s="129"/>
      <c r="F1544" s="129"/>
      <c r="G1544" s="129"/>
      <c r="H1544" s="129"/>
      <c r="I1544" s="129"/>
      <c r="J1544" s="129"/>
      <c r="K1544" s="129"/>
      <c r="L1544" s="129"/>
      <c r="M1544" s="129"/>
      <c r="N1544" s="129"/>
      <c r="O1544" s="129"/>
      <c r="P1544" s="148"/>
      <c r="Q1544" s="174"/>
    </row>
    <row r="1545" spans="1:17" s="28" customFormat="1" x14ac:dyDescent="0.25">
      <c r="A1545" s="53"/>
      <c r="B1545" s="58"/>
      <c r="C1545" s="58"/>
      <c r="D1545" s="35"/>
      <c r="E1545" s="129"/>
      <c r="F1545" s="129"/>
      <c r="G1545" s="129"/>
      <c r="H1545" s="129"/>
      <c r="I1545" s="129"/>
      <c r="J1545" s="129"/>
      <c r="K1545" s="129"/>
      <c r="L1545" s="129"/>
      <c r="M1545" s="129"/>
      <c r="N1545" s="129"/>
      <c r="O1545" s="129"/>
      <c r="P1545" s="148"/>
      <c r="Q1545" s="174"/>
    </row>
    <row r="1546" spans="1:17" s="28" customFormat="1" x14ac:dyDescent="0.25">
      <c r="A1546" s="53"/>
      <c r="B1546" s="58"/>
      <c r="C1546" s="58"/>
      <c r="D1546" s="35"/>
      <c r="E1546" s="129"/>
      <c r="F1546" s="129"/>
      <c r="G1546" s="129"/>
      <c r="H1546" s="129"/>
      <c r="I1546" s="129"/>
      <c r="J1546" s="129"/>
      <c r="K1546" s="129"/>
      <c r="L1546" s="129"/>
      <c r="M1546" s="129"/>
      <c r="N1546" s="129"/>
      <c r="O1546" s="129"/>
      <c r="P1546" s="148"/>
      <c r="Q1546" s="174"/>
    </row>
    <row r="1547" spans="1:17" s="28" customFormat="1" x14ac:dyDescent="0.25">
      <c r="A1547" s="53"/>
      <c r="B1547" s="58"/>
      <c r="C1547" s="58"/>
      <c r="D1547" s="35"/>
      <c r="E1547" s="129"/>
      <c r="F1547" s="129"/>
      <c r="G1547" s="129"/>
      <c r="H1547" s="129"/>
      <c r="I1547" s="129"/>
      <c r="J1547" s="129"/>
      <c r="K1547" s="129"/>
      <c r="L1547" s="129"/>
      <c r="M1547" s="129"/>
      <c r="N1547" s="129"/>
      <c r="O1547" s="129"/>
      <c r="P1547" s="148"/>
      <c r="Q1547" s="174"/>
    </row>
    <row r="1548" spans="1:17" s="28" customFormat="1" x14ac:dyDescent="0.25">
      <c r="A1548" s="53"/>
      <c r="B1548" s="58"/>
      <c r="C1548" s="58"/>
      <c r="D1548" s="35"/>
      <c r="E1548" s="129"/>
      <c r="F1548" s="129"/>
      <c r="G1548" s="129"/>
      <c r="H1548" s="129"/>
      <c r="I1548" s="129"/>
      <c r="J1548" s="129"/>
      <c r="K1548" s="129"/>
      <c r="L1548" s="129"/>
      <c r="M1548" s="129"/>
      <c r="N1548" s="129"/>
      <c r="O1548" s="129"/>
      <c r="P1548" s="148"/>
      <c r="Q1548" s="174"/>
    </row>
    <row r="1549" spans="1:17" s="28" customFormat="1" x14ac:dyDescent="0.25">
      <c r="A1549" s="53"/>
      <c r="B1549" s="58"/>
      <c r="C1549" s="58"/>
      <c r="D1549" s="35"/>
      <c r="E1549" s="129"/>
      <c r="F1549" s="129"/>
      <c r="G1549" s="129"/>
      <c r="H1549" s="129"/>
      <c r="I1549" s="129"/>
      <c r="J1549" s="129"/>
      <c r="K1549" s="129"/>
      <c r="L1549" s="129"/>
      <c r="M1549" s="129"/>
      <c r="N1549" s="129"/>
      <c r="O1549" s="129"/>
      <c r="P1549" s="148"/>
      <c r="Q1549" s="174"/>
    </row>
    <row r="1550" spans="1:17" s="28" customFormat="1" x14ac:dyDescent="0.25">
      <c r="A1550" s="53"/>
      <c r="B1550" s="58"/>
      <c r="C1550" s="58"/>
      <c r="D1550" s="35"/>
      <c r="E1550" s="129"/>
      <c r="F1550" s="129"/>
      <c r="G1550" s="129"/>
      <c r="H1550" s="129"/>
      <c r="I1550" s="129"/>
      <c r="J1550" s="129"/>
      <c r="K1550" s="129"/>
      <c r="L1550" s="129"/>
      <c r="M1550" s="129"/>
      <c r="N1550" s="129"/>
      <c r="O1550" s="129"/>
      <c r="P1550" s="148"/>
      <c r="Q1550" s="174"/>
    </row>
    <row r="1551" spans="1:17" s="28" customFormat="1" x14ac:dyDescent="0.25">
      <c r="A1551" s="53"/>
      <c r="B1551" s="58"/>
      <c r="C1551" s="58"/>
      <c r="D1551" s="35"/>
      <c r="E1551" s="129"/>
      <c r="F1551" s="129"/>
      <c r="G1551" s="129"/>
      <c r="H1551" s="129"/>
      <c r="I1551" s="129"/>
      <c r="J1551" s="129"/>
      <c r="K1551" s="129"/>
      <c r="L1551" s="129"/>
      <c r="M1551" s="129"/>
      <c r="N1551" s="129"/>
      <c r="O1551" s="129"/>
      <c r="P1551" s="148"/>
      <c r="Q1551" s="174"/>
    </row>
    <row r="1552" spans="1:17" s="28" customFormat="1" x14ac:dyDescent="0.25">
      <c r="A1552" s="53"/>
      <c r="B1552" s="58"/>
      <c r="C1552" s="58"/>
      <c r="D1552" s="35"/>
      <c r="E1552" s="129"/>
      <c r="F1552" s="129"/>
      <c r="G1552" s="129"/>
      <c r="H1552" s="129"/>
      <c r="I1552" s="129"/>
      <c r="J1552" s="129"/>
      <c r="K1552" s="129"/>
      <c r="L1552" s="129"/>
      <c r="M1552" s="129"/>
      <c r="N1552" s="129"/>
      <c r="O1552" s="129"/>
      <c r="P1552" s="148"/>
      <c r="Q1552" s="174"/>
    </row>
    <row r="1553" spans="1:17" s="28" customFormat="1" x14ac:dyDescent="0.25">
      <c r="A1553" s="53"/>
      <c r="B1553" s="58"/>
      <c r="C1553" s="58"/>
      <c r="D1553" s="35"/>
      <c r="E1553" s="129"/>
      <c r="F1553" s="129"/>
      <c r="G1553" s="129"/>
      <c r="H1553" s="129"/>
      <c r="I1553" s="129"/>
      <c r="J1553" s="129"/>
      <c r="K1553" s="129"/>
      <c r="L1553" s="129"/>
      <c r="M1553" s="129"/>
      <c r="N1553" s="129"/>
      <c r="O1553" s="129"/>
      <c r="P1553" s="148"/>
      <c r="Q1553" s="174"/>
    </row>
    <row r="1554" spans="1:17" s="28" customFormat="1" x14ac:dyDescent="0.25">
      <c r="A1554" s="53"/>
      <c r="B1554" s="58"/>
      <c r="C1554" s="58"/>
      <c r="D1554" s="35"/>
      <c r="E1554" s="129"/>
      <c r="F1554" s="129"/>
      <c r="G1554" s="129"/>
      <c r="H1554" s="129"/>
      <c r="I1554" s="129"/>
      <c r="J1554" s="129"/>
      <c r="K1554" s="129"/>
      <c r="L1554" s="129"/>
      <c r="M1554" s="129"/>
      <c r="N1554" s="129"/>
      <c r="O1554" s="129"/>
      <c r="P1554" s="148"/>
      <c r="Q1554" s="174"/>
    </row>
    <row r="1555" spans="1:17" s="28" customFormat="1" x14ac:dyDescent="0.25">
      <c r="A1555" s="53"/>
      <c r="B1555" s="58"/>
      <c r="C1555" s="58"/>
      <c r="D1555" s="35"/>
      <c r="E1555" s="129"/>
      <c r="F1555" s="129"/>
      <c r="G1555" s="129"/>
      <c r="H1555" s="129"/>
      <c r="I1555" s="129"/>
      <c r="J1555" s="129"/>
      <c r="K1555" s="129"/>
      <c r="L1555" s="129"/>
      <c r="M1555" s="129"/>
      <c r="N1555" s="129"/>
      <c r="O1555" s="129"/>
      <c r="P1555" s="148"/>
      <c r="Q1555" s="174"/>
    </row>
    <row r="1556" spans="1:17" s="28" customFormat="1" x14ac:dyDescent="0.25">
      <c r="A1556" s="53"/>
      <c r="B1556" s="58"/>
      <c r="C1556" s="58"/>
      <c r="D1556" s="35"/>
      <c r="E1556" s="129"/>
      <c r="F1556" s="129"/>
      <c r="G1556" s="129"/>
      <c r="H1556" s="129"/>
      <c r="I1556" s="129"/>
      <c r="J1556" s="129"/>
      <c r="K1556" s="129"/>
      <c r="L1556" s="129"/>
      <c r="M1556" s="129"/>
      <c r="N1556" s="129"/>
      <c r="O1556" s="129"/>
      <c r="P1556" s="148"/>
      <c r="Q1556" s="174"/>
    </row>
    <row r="1557" spans="1:17" s="28" customFormat="1" x14ac:dyDescent="0.25">
      <c r="A1557" s="53"/>
      <c r="B1557" s="58"/>
      <c r="C1557" s="58"/>
      <c r="D1557" s="35"/>
      <c r="E1557" s="129"/>
      <c r="F1557" s="129"/>
      <c r="G1557" s="129"/>
      <c r="H1557" s="129"/>
      <c r="I1557" s="129"/>
      <c r="J1557" s="129"/>
      <c r="K1557" s="129"/>
      <c r="L1557" s="129"/>
      <c r="M1557" s="129"/>
      <c r="N1557" s="129"/>
      <c r="O1557" s="129"/>
      <c r="P1557" s="148"/>
      <c r="Q1557" s="174"/>
    </row>
    <row r="1558" spans="1:17" s="28" customFormat="1" x14ac:dyDescent="0.25">
      <c r="A1558" s="53"/>
      <c r="B1558" s="58"/>
      <c r="C1558" s="58"/>
      <c r="D1558" s="35"/>
      <c r="E1558" s="129"/>
      <c r="F1558" s="129"/>
      <c r="G1558" s="129"/>
      <c r="H1558" s="129"/>
      <c r="I1558" s="129"/>
      <c r="J1558" s="129"/>
      <c r="K1558" s="129"/>
      <c r="L1558" s="129"/>
      <c r="M1558" s="129"/>
      <c r="N1558" s="129"/>
      <c r="O1558" s="129"/>
      <c r="P1558" s="148"/>
      <c r="Q1558" s="174"/>
    </row>
    <row r="1559" spans="1:17" s="28" customFormat="1" x14ac:dyDescent="0.25">
      <c r="A1559" s="53"/>
      <c r="B1559" s="58"/>
      <c r="C1559" s="58"/>
      <c r="D1559" s="35"/>
      <c r="E1559" s="129"/>
      <c r="F1559" s="129"/>
      <c r="G1559" s="129"/>
      <c r="H1559" s="129"/>
      <c r="I1559" s="129"/>
      <c r="J1559" s="129"/>
      <c r="K1559" s="129"/>
      <c r="L1559" s="129"/>
      <c r="M1559" s="129"/>
      <c r="N1559" s="129"/>
      <c r="O1559" s="129"/>
      <c r="P1559" s="148"/>
      <c r="Q1559" s="174"/>
    </row>
    <row r="1560" spans="1:17" s="28" customFormat="1" x14ac:dyDescent="0.25">
      <c r="A1560" s="53"/>
      <c r="B1560" s="58"/>
      <c r="C1560" s="58"/>
      <c r="D1560" s="35"/>
      <c r="E1560" s="129"/>
      <c r="F1560" s="129"/>
      <c r="G1560" s="129"/>
      <c r="H1560" s="129"/>
      <c r="I1560" s="129"/>
      <c r="J1560" s="129"/>
      <c r="K1560" s="129"/>
      <c r="L1560" s="129"/>
      <c r="M1560" s="129"/>
      <c r="N1560" s="129"/>
      <c r="O1560" s="129"/>
      <c r="P1560" s="148"/>
      <c r="Q1560" s="174"/>
    </row>
    <row r="1561" spans="1:17" s="28" customFormat="1" x14ac:dyDescent="0.25">
      <c r="A1561" s="53"/>
      <c r="B1561" s="58"/>
      <c r="C1561" s="58"/>
      <c r="D1561" s="35"/>
      <c r="E1561" s="129"/>
      <c r="F1561" s="129"/>
      <c r="G1561" s="129"/>
      <c r="H1561" s="129"/>
      <c r="I1561" s="129"/>
      <c r="J1561" s="129"/>
      <c r="K1561" s="129"/>
      <c r="L1561" s="129"/>
      <c r="M1561" s="129"/>
      <c r="N1561" s="129"/>
      <c r="O1561" s="129"/>
      <c r="P1561" s="148"/>
      <c r="Q1561" s="174"/>
    </row>
    <row r="1562" spans="1:17" s="28" customFormat="1" x14ac:dyDescent="0.25">
      <c r="A1562" s="53"/>
      <c r="B1562" s="58"/>
      <c r="C1562" s="58"/>
      <c r="D1562" s="35"/>
      <c r="E1562" s="129"/>
      <c r="F1562" s="129"/>
      <c r="G1562" s="129"/>
      <c r="H1562" s="129"/>
      <c r="I1562" s="129"/>
      <c r="J1562" s="129"/>
      <c r="K1562" s="129"/>
      <c r="L1562" s="129"/>
      <c r="M1562" s="129"/>
      <c r="N1562" s="129"/>
      <c r="O1562" s="129"/>
      <c r="P1562" s="148"/>
      <c r="Q1562" s="174"/>
    </row>
    <row r="1563" spans="1:17" s="28" customFormat="1" x14ac:dyDescent="0.25">
      <c r="A1563" s="53"/>
      <c r="B1563" s="58"/>
      <c r="C1563" s="58"/>
      <c r="D1563" s="35"/>
      <c r="E1563" s="129"/>
      <c r="F1563" s="129"/>
      <c r="G1563" s="129"/>
      <c r="H1563" s="129"/>
      <c r="I1563" s="129"/>
      <c r="J1563" s="129"/>
      <c r="K1563" s="129"/>
      <c r="L1563" s="129"/>
      <c r="M1563" s="129"/>
      <c r="N1563" s="129"/>
      <c r="O1563" s="129"/>
      <c r="P1563" s="148"/>
      <c r="Q1563" s="174"/>
    </row>
    <row r="1564" spans="1:17" s="28" customFormat="1" x14ac:dyDescent="0.25">
      <c r="A1564" s="53"/>
      <c r="B1564" s="58"/>
      <c r="C1564" s="58"/>
      <c r="D1564" s="35"/>
      <c r="E1564" s="129"/>
      <c r="F1564" s="129"/>
      <c r="G1564" s="129"/>
      <c r="H1564" s="129"/>
      <c r="I1564" s="129"/>
      <c r="J1564" s="129"/>
      <c r="K1564" s="129"/>
      <c r="L1564" s="129"/>
      <c r="M1564" s="129"/>
      <c r="N1564" s="129"/>
      <c r="O1564" s="129"/>
      <c r="P1564" s="148"/>
      <c r="Q1564" s="174"/>
    </row>
    <row r="1565" spans="1:17" s="28" customFormat="1" x14ac:dyDescent="0.25">
      <c r="A1565" s="53"/>
      <c r="B1565" s="58"/>
      <c r="C1565" s="58"/>
      <c r="D1565" s="35"/>
      <c r="E1565" s="129"/>
      <c r="F1565" s="129"/>
      <c r="G1565" s="129"/>
      <c r="H1565" s="129"/>
      <c r="I1565" s="129"/>
      <c r="J1565" s="129"/>
      <c r="K1565" s="129"/>
      <c r="L1565" s="129"/>
      <c r="M1565" s="129"/>
      <c r="N1565" s="129"/>
      <c r="O1565" s="129"/>
      <c r="P1565" s="148"/>
      <c r="Q1565" s="174"/>
    </row>
    <row r="1566" spans="1:17" s="28" customFormat="1" x14ac:dyDescent="0.25">
      <c r="A1566" s="53"/>
      <c r="B1566" s="58"/>
      <c r="C1566" s="58"/>
      <c r="D1566" s="35"/>
      <c r="E1566" s="129"/>
      <c r="F1566" s="129"/>
      <c r="G1566" s="129"/>
      <c r="H1566" s="129"/>
      <c r="I1566" s="129"/>
      <c r="J1566" s="129"/>
      <c r="K1566" s="129"/>
      <c r="L1566" s="129"/>
      <c r="M1566" s="129"/>
      <c r="N1566" s="129"/>
      <c r="O1566" s="129"/>
      <c r="P1566" s="148"/>
      <c r="Q1566" s="174"/>
    </row>
    <row r="1567" spans="1:17" s="28" customFormat="1" x14ac:dyDescent="0.25">
      <c r="A1567" s="53"/>
      <c r="B1567" s="58"/>
      <c r="C1567" s="58"/>
      <c r="D1567" s="35"/>
      <c r="E1567" s="129"/>
      <c r="F1567" s="129"/>
      <c r="G1567" s="129"/>
      <c r="H1567" s="129"/>
      <c r="I1567" s="129"/>
      <c r="J1567" s="129"/>
      <c r="K1567" s="129"/>
      <c r="L1567" s="129"/>
      <c r="M1567" s="129"/>
      <c r="N1567" s="129"/>
      <c r="O1567" s="129"/>
      <c r="P1567" s="148"/>
      <c r="Q1567" s="174"/>
    </row>
    <row r="1568" spans="1:17" s="28" customFormat="1" x14ac:dyDescent="0.25">
      <c r="A1568" s="53"/>
      <c r="B1568" s="58"/>
      <c r="C1568" s="58"/>
      <c r="D1568" s="35"/>
      <c r="E1568" s="129"/>
      <c r="F1568" s="129"/>
      <c r="G1568" s="129"/>
      <c r="H1568" s="129"/>
      <c r="I1568" s="129"/>
      <c r="J1568" s="129"/>
      <c r="K1568" s="129"/>
      <c r="L1568" s="129"/>
      <c r="M1568" s="129"/>
      <c r="N1568" s="129"/>
      <c r="O1568" s="129"/>
      <c r="P1568" s="148"/>
      <c r="Q1568" s="174"/>
    </row>
    <row r="1569" spans="1:17" s="28" customFormat="1" x14ac:dyDescent="0.25">
      <c r="A1569" s="53"/>
      <c r="B1569" s="58"/>
      <c r="C1569" s="58"/>
      <c r="D1569" s="35"/>
      <c r="E1569" s="129"/>
      <c r="F1569" s="129"/>
      <c r="G1569" s="129"/>
      <c r="H1569" s="129"/>
      <c r="I1569" s="129"/>
      <c r="J1569" s="129"/>
      <c r="K1569" s="129"/>
      <c r="L1569" s="129"/>
      <c r="M1569" s="129"/>
      <c r="N1569" s="129"/>
      <c r="O1569" s="129"/>
      <c r="P1569" s="148"/>
      <c r="Q1569" s="174"/>
    </row>
    <row r="1570" spans="1:17" s="28" customFormat="1" x14ac:dyDescent="0.25">
      <c r="A1570" s="53"/>
      <c r="B1570" s="58"/>
      <c r="C1570" s="58"/>
      <c r="D1570" s="35"/>
      <c r="E1570" s="129"/>
      <c r="F1570" s="129"/>
      <c r="G1570" s="129"/>
      <c r="H1570" s="129"/>
      <c r="I1570" s="129"/>
      <c r="J1570" s="129"/>
      <c r="K1570" s="129"/>
      <c r="L1570" s="129"/>
      <c r="M1570" s="129"/>
      <c r="N1570" s="129"/>
      <c r="O1570" s="129"/>
      <c r="P1570" s="148"/>
      <c r="Q1570" s="174"/>
    </row>
    <row r="1571" spans="1:17" s="28" customFormat="1" x14ac:dyDescent="0.25">
      <c r="A1571" s="53"/>
      <c r="B1571" s="58"/>
      <c r="C1571" s="58"/>
      <c r="D1571" s="35"/>
      <c r="E1571" s="129"/>
      <c r="F1571" s="129"/>
      <c r="G1571" s="129"/>
      <c r="H1571" s="129"/>
      <c r="I1571" s="129"/>
      <c r="J1571" s="129"/>
      <c r="K1571" s="129"/>
      <c r="L1571" s="129"/>
      <c r="M1571" s="129"/>
      <c r="N1571" s="129"/>
      <c r="O1571" s="129"/>
      <c r="P1571" s="148"/>
      <c r="Q1571" s="174"/>
    </row>
    <row r="1572" spans="1:17" s="28" customFormat="1" x14ac:dyDescent="0.25">
      <c r="A1572" s="53"/>
      <c r="B1572" s="58"/>
      <c r="C1572" s="58"/>
      <c r="D1572" s="35"/>
      <c r="E1572" s="129"/>
      <c r="F1572" s="129"/>
      <c r="G1572" s="129"/>
      <c r="H1572" s="129"/>
      <c r="I1572" s="129"/>
      <c r="J1572" s="129"/>
      <c r="K1572" s="129"/>
      <c r="L1572" s="129"/>
      <c r="M1572" s="129"/>
      <c r="N1572" s="129"/>
      <c r="O1572" s="129"/>
      <c r="P1572" s="148"/>
      <c r="Q1572" s="174"/>
    </row>
    <row r="1573" spans="1:17" s="28" customFormat="1" x14ac:dyDescent="0.25">
      <c r="A1573" s="53"/>
      <c r="B1573" s="58"/>
      <c r="C1573" s="58"/>
      <c r="D1573" s="35"/>
      <c r="E1573" s="129"/>
      <c r="F1573" s="129"/>
      <c r="G1573" s="129"/>
      <c r="H1573" s="129"/>
      <c r="I1573" s="129"/>
      <c r="J1573" s="129"/>
      <c r="K1573" s="129"/>
      <c r="L1573" s="129"/>
      <c r="M1573" s="129"/>
      <c r="N1573" s="129"/>
      <c r="O1573" s="129"/>
      <c r="P1573" s="148"/>
      <c r="Q1573" s="174"/>
    </row>
    <row r="1574" spans="1:17" s="28" customFormat="1" x14ac:dyDescent="0.25">
      <c r="A1574" s="53"/>
      <c r="B1574" s="58"/>
      <c r="C1574" s="58"/>
      <c r="D1574" s="35"/>
      <c r="E1574" s="129"/>
      <c r="F1574" s="129"/>
      <c r="G1574" s="129"/>
      <c r="H1574" s="129"/>
      <c r="I1574" s="129"/>
      <c r="J1574" s="129"/>
      <c r="K1574" s="129"/>
      <c r="L1574" s="129"/>
      <c r="M1574" s="129"/>
      <c r="N1574" s="129"/>
      <c r="O1574" s="129"/>
      <c r="P1574" s="148"/>
      <c r="Q1574" s="174"/>
    </row>
    <row r="1575" spans="1:17" s="28" customFormat="1" x14ac:dyDescent="0.25">
      <c r="A1575" s="53"/>
      <c r="B1575" s="58"/>
      <c r="C1575" s="58"/>
      <c r="D1575" s="35"/>
      <c r="E1575" s="129"/>
      <c r="F1575" s="129"/>
      <c r="G1575" s="129"/>
      <c r="H1575" s="129"/>
      <c r="I1575" s="129"/>
      <c r="J1575" s="129"/>
      <c r="K1575" s="129"/>
      <c r="L1575" s="129"/>
      <c r="M1575" s="129"/>
      <c r="N1575" s="129"/>
      <c r="O1575" s="129"/>
      <c r="P1575" s="148"/>
      <c r="Q1575" s="174"/>
    </row>
    <row r="1576" spans="1:17" s="28" customFormat="1" x14ac:dyDescent="0.25">
      <c r="A1576" s="53"/>
      <c r="B1576" s="58"/>
      <c r="C1576" s="58"/>
      <c r="D1576" s="35"/>
      <c r="E1576" s="129"/>
      <c r="F1576" s="129"/>
      <c r="G1576" s="129"/>
      <c r="H1576" s="129"/>
      <c r="I1576" s="129"/>
      <c r="J1576" s="129"/>
      <c r="K1576" s="129"/>
      <c r="L1576" s="129"/>
      <c r="M1576" s="129"/>
      <c r="N1576" s="129"/>
      <c r="O1576" s="129"/>
      <c r="P1576" s="148"/>
      <c r="Q1576" s="174"/>
    </row>
    <row r="1577" spans="1:17" s="28" customFormat="1" x14ac:dyDescent="0.25">
      <c r="A1577" s="53"/>
      <c r="B1577" s="58"/>
      <c r="C1577" s="58"/>
      <c r="D1577" s="35"/>
      <c r="E1577" s="129"/>
      <c r="F1577" s="129"/>
      <c r="G1577" s="129"/>
      <c r="H1577" s="129"/>
      <c r="I1577" s="129"/>
      <c r="J1577" s="129"/>
      <c r="K1577" s="129"/>
      <c r="L1577" s="129"/>
      <c r="M1577" s="129"/>
      <c r="N1577" s="129"/>
      <c r="O1577" s="129"/>
      <c r="P1577" s="148"/>
      <c r="Q1577" s="174"/>
    </row>
    <row r="1578" spans="1:17" s="28" customFormat="1" x14ac:dyDescent="0.25">
      <c r="A1578" s="53"/>
      <c r="B1578" s="58"/>
      <c r="C1578" s="58"/>
      <c r="D1578" s="35"/>
      <c r="E1578" s="129"/>
      <c r="F1578" s="129"/>
      <c r="G1578" s="129"/>
      <c r="H1578" s="129"/>
      <c r="I1578" s="129"/>
      <c r="J1578" s="129"/>
      <c r="K1578" s="129"/>
      <c r="L1578" s="129"/>
      <c r="M1578" s="129"/>
      <c r="N1578" s="129"/>
      <c r="O1578" s="129"/>
      <c r="P1578" s="148"/>
      <c r="Q1578" s="174"/>
    </row>
    <row r="1579" spans="1:17" s="28" customFormat="1" x14ac:dyDescent="0.25">
      <c r="A1579" s="53"/>
      <c r="B1579" s="58"/>
      <c r="C1579" s="58"/>
      <c r="D1579" s="35"/>
      <c r="E1579" s="129"/>
      <c r="F1579" s="129"/>
      <c r="G1579" s="129"/>
      <c r="H1579" s="129"/>
      <c r="I1579" s="129"/>
      <c r="J1579" s="129"/>
      <c r="K1579" s="129"/>
      <c r="L1579" s="129"/>
      <c r="M1579" s="129"/>
      <c r="N1579" s="129"/>
      <c r="O1579" s="129"/>
      <c r="P1579" s="148"/>
      <c r="Q1579" s="174"/>
    </row>
    <row r="1580" spans="1:17" s="28" customFormat="1" x14ac:dyDescent="0.25">
      <c r="A1580" s="53"/>
      <c r="B1580" s="58"/>
      <c r="C1580" s="58"/>
      <c r="D1580" s="35"/>
      <c r="E1580" s="129"/>
      <c r="F1580" s="129"/>
      <c r="G1580" s="129"/>
      <c r="H1580" s="129"/>
      <c r="I1580" s="129"/>
      <c r="J1580" s="129"/>
      <c r="K1580" s="129"/>
      <c r="L1580" s="129"/>
      <c r="M1580" s="129"/>
      <c r="N1580" s="129"/>
      <c r="O1580" s="129"/>
      <c r="P1580" s="148"/>
      <c r="Q1580" s="174"/>
    </row>
    <row r="1581" spans="1:17" s="28" customFormat="1" x14ac:dyDescent="0.25">
      <c r="A1581" s="53"/>
      <c r="B1581" s="58"/>
      <c r="C1581" s="58"/>
      <c r="D1581" s="35"/>
      <c r="E1581" s="129"/>
      <c r="F1581" s="129"/>
      <c r="G1581" s="129"/>
      <c r="H1581" s="129"/>
      <c r="I1581" s="129"/>
      <c r="J1581" s="129"/>
      <c r="K1581" s="129"/>
      <c r="L1581" s="129"/>
      <c r="M1581" s="129"/>
      <c r="N1581" s="129"/>
      <c r="O1581" s="129"/>
      <c r="P1581" s="148"/>
      <c r="Q1581" s="174"/>
    </row>
    <row r="1582" spans="1:17" s="28" customFormat="1" x14ac:dyDescent="0.25">
      <c r="A1582" s="53"/>
      <c r="B1582" s="58"/>
      <c r="C1582" s="58"/>
      <c r="D1582" s="35"/>
      <c r="E1582" s="129"/>
      <c r="F1582" s="129"/>
      <c r="G1582" s="129"/>
      <c r="H1582" s="129"/>
      <c r="I1582" s="129"/>
      <c r="J1582" s="129"/>
      <c r="K1582" s="129"/>
      <c r="L1582" s="129"/>
      <c r="M1582" s="129"/>
      <c r="N1582" s="129"/>
      <c r="O1582" s="129"/>
      <c r="P1582" s="148"/>
      <c r="Q1582" s="174"/>
    </row>
    <row r="1583" spans="1:17" s="28" customFormat="1" x14ac:dyDescent="0.25">
      <c r="A1583" s="53"/>
      <c r="B1583" s="58"/>
      <c r="C1583" s="58"/>
      <c r="D1583" s="35"/>
      <c r="E1583" s="129"/>
      <c r="F1583" s="129"/>
      <c r="G1583" s="129"/>
      <c r="H1583" s="129"/>
      <c r="I1583" s="129"/>
      <c r="J1583" s="129"/>
      <c r="K1583" s="129"/>
      <c r="L1583" s="129"/>
      <c r="M1583" s="129"/>
      <c r="N1583" s="129"/>
      <c r="O1583" s="129"/>
      <c r="P1583" s="148"/>
      <c r="Q1583" s="174"/>
    </row>
    <row r="1584" spans="1:17" s="28" customFormat="1" x14ac:dyDescent="0.25">
      <c r="A1584" s="53"/>
      <c r="B1584" s="58"/>
      <c r="C1584" s="58"/>
      <c r="D1584" s="35"/>
      <c r="E1584" s="129"/>
      <c r="F1584" s="129"/>
      <c r="G1584" s="129"/>
      <c r="H1584" s="129"/>
      <c r="I1584" s="129"/>
      <c r="J1584" s="129"/>
      <c r="K1584" s="129"/>
      <c r="L1584" s="129"/>
      <c r="M1584" s="129"/>
      <c r="N1584" s="129"/>
      <c r="O1584" s="129"/>
      <c r="P1584" s="148"/>
      <c r="Q1584" s="174"/>
    </row>
    <row r="1585" spans="1:17" s="28" customFormat="1" x14ac:dyDescent="0.25">
      <c r="A1585" s="53"/>
      <c r="B1585" s="58"/>
      <c r="C1585" s="58"/>
      <c r="D1585" s="35"/>
      <c r="E1585" s="129"/>
      <c r="F1585" s="129"/>
      <c r="G1585" s="129"/>
      <c r="H1585" s="129"/>
      <c r="I1585" s="129"/>
      <c r="J1585" s="129"/>
      <c r="K1585" s="129"/>
      <c r="L1585" s="129"/>
      <c r="M1585" s="129"/>
      <c r="N1585" s="129"/>
      <c r="O1585" s="129"/>
      <c r="P1585" s="148"/>
      <c r="Q1585" s="174"/>
    </row>
    <row r="1586" spans="1:17" s="28" customFormat="1" x14ac:dyDescent="0.25">
      <c r="A1586" s="53"/>
      <c r="B1586" s="58"/>
      <c r="C1586" s="58"/>
      <c r="D1586" s="35"/>
      <c r="E1586" s="129"/>
      <c r="F1586" s="129"/>
      <c r="G1586" s="129"/>
      <c r="H1586" s="129"/>
      <c r="I1586" s="129"/>
      <c r="J1586" s="129"/>
      <c r="K1586" s="129"/>
      <c r="L1586" s="129"/>
      <c r="M1586" s="129"/>
      <c r="N1586" s="129"/>
      <c r="O1586" s="129"/>
      <c r="P1586" s="148"/>
      <c r="Q1586" s="174"/>
    </row>
    <row r="1587" spans="1:17" s="28" customFormat="1" x14ac:dyDescent="0.25">
      <c r="A1587" s="53"/>
      <c r="B1587" s="58"/>
      <c r="C1587" s="58"/>
      <c r="D1587" s="35"/>
      <c r="E1587" s="129"/>
      <c r="F1587" s="129"/>
      <c r="G1587" s="129"/>
      <c r="H1587" s="129"/>
      <c r="I1587" s="129"/>
      <c r="J1587" s="129"/>
      <c r="K1587" s="129"/>
      <c r="L1587" s="129"/>
      <c r="M1587" s="129"/>
      <c r="N1587" s="129"/>
      <c r="O1587" s="129"/>
      <c r="P1587" s="148"/>
      <c r="Q1587" s="174"/>
    </row>
    <row r="1588" spans="1:17" s="28" customFormat="1" x14ac:dyDescent="0.25">
      <c r="A1588" s="53"/>
      <c r="B1588" s="58"/>
      <c r="C1588" s="58"/>
      <c r="D1588" s="35"/>
      <c r="E1588" s="129"/>
      <c r="F1588" s="129"/>
      <c r="G1588" s="129"/>
      <c r="H1588" s="129"/>
      <c r="I1588" s="129"/>
      <c r="J1588" s="129"/>
      <c r="K1588" s="129"/>
      <c r="L1588" s="129"/>
      <c r="M1588" s="129"/>
      <c r="N1588" s="129"/>
      <c r="O1588" s="129"/>
      <c r="P1588" s="148"/>
      <c r="Q1588" s="174"/>
    </row>
    <row r="1589" spans="1:17" s="28" customFormat="1" x14ac:dyDescent="0.25">
      <c r="A1589" s="53"/>
      <c r="B1589" s="58"/>
      <c r="C1589" s="58"/>
      <c r="D1589" s="35"/>
      <c r="E1589" s="129"/>
      <c r="F1589" s="129"/>
      <c r="G1589" s="129"/>
      <c r="H1589" s="129"/>
      <c r="I1589" s="129"/>
      <c r="J1589" s="129"/>
      <c r="K1589" s="129"/>
      <c r="L1589" s="129"/>
      <c r="M1589" s="129"/>
      <c r="N1589" s="129"/>
      <c r="O1589" s="129"/>
      <c r="P1589" s="148"/>
      <c r="Q1589" s="174"/>
    </row>
    <row r="1590" spans="1:17" s="28" customFormat="1" x14ac:dyDescent="0.25">
      <c r="A1590" s="53"/>
      <c r="B1590" s="58"/>
      <c r="C1590" s="58"/>
      <c r="D1590" s="35"/>
      <c r="E1590" s="129"/>
      <c r="F1590" s="129"/>
      <c r="G1590" s="129"/>
      <c r="H1590" s="129"/>
      <c r="I1590" s="129"/>
      <c r="J1590" s="129"/>
      <c r="K1590" s="129"/>
      <c r="L1590" s="129"/>
      <c r="M1590" s="129"/>
      <c r="N1590" s="129"/>
      <c r="O1590" s="129"/>
      <c r="P1590" s="148"/>
      <c r="Q1590" s="174"/>
    </row>
    <row r="1591" spans="1:17" s="28" customFormat="1" x14ac:dyDescent="0.25">
      <c r="A1591" s="53"/>
      <c r="B1591" s="58"/>
      <c r="C1591" s="58"/>
      <c r="D1591" s="35"/>
      <c r="E1591" s="129"/>
      <c r="F1591" s="129"/>
      <c r="G1591" s="129"/>
      <c r="H1591" s="129"/>
      <c r="I1591" s="129"/>
      <c r="J1591" s="129"/>
      <c r="K1591" s="129"/>
      <c r="L1591" s="129"/>
      <c r="M1591" s="129"/>
      <c r="N1591" s="129"/>
      <c r="O1591" s="129"/>
      <c r="P1591" s="148"/>
      <c r="Q1591" s="174"/>
    </row>
    <row r="1592" spans="1:17" s="28" customFormat="1" x14ac:dyDescent="0.25">
      <c r="A1592" s="53"/>
      <c r="B1592" s="58"/>
      <c r="C1592" s="58"/>
      <c r="D1592" s="35"/>
      <c r="E1592" s="129"/>
      <c r="F1592" s="129"/>
      <c r="G1592" s="129"/>
      <c r="H1592" s="129"/>
      <c r="I1592" s="129"/>
      <c r="J1592" s="129"/>
      <c r="K1592" s="129"/>
      <c r="L1592" s="129"/>
      <c r="M1592" s="129"/>
      <c r="N1592" s="129"/>
      <c r="O1592" s="129"/>
      <c r="P1592" s="148"/>
      <c r="Q1592" s="174"/>
    </row>
    <row r="1593" spans="1:17" s="28" customFormat="1" x14ac:dyDescent="0.25">
      <c r="A1593" s="53"/>
      <c r="B1593" s="58"/>
      <c r="C1593" s="58"/>
      <c r="D1593" s="35"/>
      <c r="E1593" s="129"/>
      <c r="F1593" s="129"/>
      <c r="G1593" s="129"/>
      <c r="H1593" s="129"/>
      <c r="I1593" s="129"/>
      <c r="J1593" s="129"/>
      <c r="K1593" s="129"/>
      <c r="L1593" s="129"/>
      <c r="M1593" s="129"/>
      <c r="N1593" s="129"/>
      <c r="O1593" s="129"/>
      <c r="P1593" s="148"/>
      <c r="Q1593" s="174"/>
    </row>
    <row r="1594" spans="1:17" s="28" customFormat="1" x14ac:dyDescent="0.25">
      <c r="A1594" s="53"/>
      <c r="B1594" s="58"/>
      <c r="C1594" s="58"/>
      <c r="D1594" s="35"/>
      <c r="E1594" s="129"/>
      <c r="F1594" s="129"/>
      <c r="G1594" s="129"/>
      <c r="H1594" s="129"/>
      <c r="I1594" s="129"/>
      <c r="J1594" s="129"/>
      <c r="K1594" s="129"/>
      <c r="L1594" s="129"/>
      <c r="M1594" s="129"/>
      <c r="N1594" s="129"/>
      <c r="O1594" s="129"/>
      <c r="P1594" s="148"/>
      <c r="Q1594" s="174"/>
    </row>
    <row r="1595" spans="1:17" s="28" customFormat="1" x14ac:dyDescent="0.25">
      <c r="A1595" s="53"/>
      <c r="B1595" s="58"/>
      <c r="C1595" s="58"/>
      <c r="D1595" s="35"/>
      <c r="E1595" s="129"/>
      <c r="F1595" s="129"/>
      <c r="G1595" s="129"/>
      <c r="H1595" s="129"/>
      <c r="I1595" s="129"/>
      <c r="J1595" s="129"/>
      <c r="K1595" s="129"/>
      <c r="L1595" s="129"/>
      <c r="M1595" s="129"/>
      <c r="N1595" s="129"/>
      <c r="O1595" s="129"/>
      <c r="P1595" s="148"/>
      <c r="Q1595" s="174"/>
    </row>
    <row r="1596" spans="1:17" s="28" customFormat="1" x14ac:dyDescent="0.25">
      <c r="A1596" s="53"/>
      <c r="B1596" s="58"/>
      <c r="C1596" s="58"/>
      <c r="D1596" s="35"/>
      <c r="E1596" s="129"/>
      <c r="F1596" s="129"/>
      <c r="G1596" s="129"/>
      <c r="H1596" s="129"/>
      <c r="I1596" s="129"/>
      <c r="J1596" s="129"/>
      <c r="K1596" s="129"/>
      <c r="L1596" s="129"/>
      <c r="M1596" s="129"/>
      <c r="N1596" s="129"/>
      <c r="O1596" s="129"/>
      <c r="P1596" s="148"/>
      <c r="Q1596" s="174"/>
    </row>
    <row r="1597" spans="1:17" s="28" customFormat="1" x14ac:dyDescent="0.25">
      <c r="A1597" s="53"/>
      <c r="B1597" s="58"/>
      <c r="C1597" s="58"/>
      <c r="D1597" s="35"/>
      <c r="E1597" s="129"/>
      <c r="F1597" s="129"/>
      <c r="G1597" s="129"/>
      <c r="H1597" s="129"/>
      <c r="I1597" s="129"/>
      <c r="J1597" s="129"/>
      <c r="K1597" s="129"/>
      <c r="L1597" s="129"/>
      <c r="M1597" s="129"/>
      <c r="N1597" s="129"/>
      <c r="O1597" s="129"/>
      <c r="P1597" s="148"/>
      <c r="Q1597" s="174"/>
    </row>
    <row r="1598" spans="1:17" s="28" customFormat="1" x14ac:dyDescent="0.25">
      <c r="A1598" s="53"/>
      <c r="B1598" s="58"/>
      <c r="C1598" s="58"/>
      <c r="D1598" s="35"/>
      <c r="E1598" s="129"/>
      <c r="F1598" s="129"/>
      <c r="G1598" s="129"/>
      <c r="H1598" s="129"/>
      <c r="I1598" s="129"/>
      <c r="J1598" s="129"/>
      <c r="K1598" s="129"/>
      <c r="L1598" s="129"/>
      <c r="M1598" s="129"/>
      <c r="N1598" s="129"/>
      <c r="O1598" s="129"/>
      <c r="P1598" s="148"/>
      <c r="Q1598" s="174"/>
    </row>
    <row r="1599" spans="1:17" s="28" customFormat="1" x14ac:dyDescent="0.25">
      <c r="A1599" s="53"/>
      <c r="B1599" s="58"/>
      <c r="C1599" s="58"/>
      <c r="D1599" s="35"/>
      <c r="E1599" s="129"/>
      <c r="F1599" s="129"/>
      <c r="G1599" s="129"/>
      <c r="H1599" s="129"/>
      <c r="I1599" s="129"/>
      <c r="J1599" s="129"/>
      <c r="K1599" s="129"/>
      <c r="L1599" s="129"/>
      <c r="M1599" s="129"/>
      <c r="N1599" s="129"/>
      <c r="O1599" s="129"/>
      <c r="P1599" s="148"/>
      <c r="Q1599" s="174"/>
    </row>
    <row r="1600" spans="1:17" s="28" customFormat="1" x14ac:dyDescent="0.25">
      <c r="A1600" s="53"/>
      <c r="B1600" s="58"/>
      <c r="C1600" s="58"/>
      <c r="D1600" s="35"/>
      <c r="E1600" s="129"/>
      <c r="F1600" s="129"/>
      <c r="G1600" s="129"/>
      <c r="H1600" s="129"/>
      <c r="I1600" s="129"/>
      <c r="J1600" s="129"/>
      <c r="K1600" s="129"/>
      <c r="L1600" s="129"/>
      <c r="M1600" s="129"/>
      <c r="N1600" s="129"/>
      <c r="O1600" s="129"/>
      <c r="P1600" s="148"/>
      <c r="Q1600" s="174"/>
    </row>
    <row r="1601" spans="1:17" s="28" customFormat="1" x14ac:dyDescent="0.25">
      <c r="A1601" s="53"/>
      <c r="B1601" s="58"/>
      <c r="C1601" s="58"/>
      <c r="D1601" s="35"/>
      <c r="E1601" s="129"/>
      <c r="F1601" s="129"/>
      <c r="G1601" s="129"/>
      <c r="H1601" s="129"/>
      <c r="I1601" s="129"/>
      <c r="J1601" s="129"/>
      <c r="K1601" s="129"/>
      <c r="L1601" s="129"/>
      <c r="M1601" s="129"/>
      <c r="N1601" s="129"/>
      <c r="O1601" s="129"/>
      <c r="P1601" s="148"/>
      <c r="Q1601" s="174"/>
    </row>
    <row r="1602" spans="1:17" s="28" customFormat="1" x14ac:dyDescent="0.25">
      <c r="A1602" s="53"/>
      <c r="B1602" s="58"/>
      <c r="C1602" s="58"/>
      <c r="D1602" s="35"/>
      <c r="E1602" s="129"/>
      <c r="F1602" s="129"/>
      <c r="G1602" s="129"/>
      <c r="H1602" s="129"/>
      <c r="I1602" s="129"/>
      <c r="J1602" s="129"/>
      <c r="K1602" s="129"/>
      <c r="L1602" s="129"/>
      <c r="M1602" s="129"/>
      <c r="N1602" s="129"/>
      <c r="O1602" s="129"/>
      <c r="P1602" s="148"/>
      <c r="Q1602" s="174"/>
    </row>
    <row r="1603" spans="1:17" s="28" customFormat="1" x14ac:dyDescent="0.25">
      <c r="A1603" s="53"/>
      <c r="B1603" s="58"/>
      <c r="C1603" s="58"/>
      <c r="D1603" s="35"/>
      <c r="E1603" s="129"/>
      <c r="F1603" s="129"/>
      <c r="G1603" s="129"/>
      <c r="H1603" s="129"/>
      <c r="I1603" s="129"/>
      <c r="J1603" s="129"/>
      <c r="K1603" s="129"/>
      <c r="L1603" s="129"/>
      <c r="M1603" s="129"/>
      <c r="N1603" s="129"/>
      <c r="O1603" s="129"/>
      <c r="P1603" s="148"/>
      <c r="Q1603" s="174"/>
    </row>
    <row r="1604" spans="1:17" s="28" customFormat="1" x14ac:dyDescent="0.25">
      <c r="A1604" s="53"/>
      <c r="B1604" s="58"/>
      <c r="C1604" s="58"/>
      <c r="D1604" s="35"/>
      <c r="E1604" s="129"/>
      <c r="F1604" s="129"/>
      <c r="G1604" s="129"/>
      <c r="H1604" s="129"/>
      <c r="I1604" s="129"/>
      <c r="J1604" s="129"/>
      <c r="K1604" s="129"/>
      <c r="L1604" s="129"/>
      <c r="M1604" s="129"/>
      <c r="N1604" s="129"/>
      <c r="O1604" s="129"/>
      <c r="P1604" s="148"/>
      <c r="Q1604" s="174"/>
    </row>
    <row r="1605" spans="1:17" s="28" customFormat="1" x14ac:dyDescent="0.25">
      <c r="A1605" s="53"/>
      <c r="B1605" s="58"/>
      <c r="C1605" s="58"/>
      <c r="D1605" s="35"/>
      <c r="E1605" s="129"/>
      <c r="F1605" s="129"/>
      <c r="G1605" s="129"/>
      <c r="H1605" s="129"/>
      <c r="I1605" s="129"/>
      <c r="J1605" s="129"/>
      <c r="K1605" s="129"/>
      <c r="L1605" s="129"/>
      <c r="M1605" s="129"/>
      <c r="N1605" s="129"/>
      <c r="O1605" s="129"/>
      <c r="P1605" s="148"/>
      <c r="Q1605" s="174"/>
    </row>
    <row r="1606" spans="1:17" s="28" customFormat="1" x14ac:dyDescent="0.25">
      <c r="A1606" s="53"/>
      <c r="B1606" s="58"/>
      <c r="C1606" s="58"/>
      <c r="D1606" s="35"/>
      <c r="E1606" s="129"/>
      <c r="F1606" s="129"/>
      <c r="G1606" s="129"/>
      <c r="H1606" s="129"/>
      <c r="I1606" s="129"/>
      <c r="J1606" s="129"/>
      <c r="K1606" s="129"/>
      <c r="L1606" s="129"/>
      <c r="M1606" s="129"/>
      <c r="N1606" s="129"/>
      <c r="O1606" s="129"/>
      <c r="P1606" s="148"/>
      <c r="Q1606" s="174"/>
    </row>
    <row r="1607" spans="1:17" s="28" customFormat="1" x14ac:dyDescent="0.25">
      <c r="A1607" s="53"/>
      <c r="B1607" s="58"/>
      <c r="C1607" s="58"/>
      <c r="D1607" s="35"/>
      <c r="E1607" s="129"/>
      <c r="F1607" s="129"/>
      <c r="G1607" s="129"/>
      <c r="H1607" s="129"/>
      <c r="I1607" s="129"/>
      <c r="J1607" s="129"/>
      <c r="K1607" s="129"/>
      <c r="L1607" s="129"/>
      <c r="M1607" s="129"/>
      <c r="N1607" s="129"/>
      <c r="O1607" s="129"/>
      <c r="P1607" s="148"/>
      <c r="Q1607" s="174"/>
    </row>
    <row r="1608" spans="1:17" s="28" customFormat="1" x14ac:dyDescent="0.25">
      <c r="A1608" s="53"/>
      <c r="B1608" s="58"/>
      <c r="C1608" s="58"/>
      <c r="D1608" s="35"/>
      <c r="E1608" s="129"/>
      <c r="F1608" s="129"/>
      <c r="G1608" s="129"/>
      <c r="H1608" s="129"/>
      <c r="I1608" s="129"/>
      <c r="J1608" s="129"/>
      <c r="K1608" s="129"/>
      <c r="L1608" s="129"/>
      <c r="M1608" s="129"/>
      <c r="N1608" s="129"/>
      <c r="O1608" s="129"/>
      <c r="P1608" s="148"/>
      <c r="Q1608" s="174"/>
    </row>
    <row r="1609" spans="1:17" s="28" customFormat="1" x14ac:dyDescent="0.25">
      <c r="A1609" s="53"/>
      <c r="B1609" s="58"/>
      <c r="C1609" s="58"/>
      <c r="D1609" s="35"/>
      <c r="E1609" s="129"/>
      <c r="F1609" s="129"/>
      <c r="G1609" s="129"/>
      <c r="H1609" s="129"/>
      <c r="I1609" s="129"/>
      <c r="J1609" s="129"/>
      <c r="K1609" s="129"/>
      <c r="L1609" s="129"/>
      <c r="M1609" s="129"/>
      <c r="N1609" s="129"/>
      <c r="O1609" s="129"/>
      <c r="P1609" s="148"/>
      <c r="Q1609" s="174"/>
    </row>
    <row r="1610" spans="1:17" s="28" customFormat="1" x14ac:dyDescent="0.25">
      <c r="A1610" s="53"/>
      <c r="B1610" s="58"/>
      <c r="C1610" s="58"/>
      <c r="D1610" s="35"/>
      <c r="E1610" s="129"/>
      <c r="F1610" s="129"/>
      <c r="G1610" s="129"/>
      <c r="H1610" s="129"/>
      <c r="I1610" s="129"/>
      <c r="J1610" s="129"/>
      <c r="K1610" s="129"/>
      <c r="L1610" s="129"/>
      <c r="M1610" s="129"/>
      <c r="N1610" s="129"/>
      <c r="O1610" s="129"/>
      <c r="P1610" s="148"/>
      <c r="Q1610" s="174"/>
    </row>
    <row r="1611" spans="1:17" s="28" customFormat="1" x14ac:dyDescent="0.25">
      <c r="A1611" s="53"/>
      <c r="B1611" s="58"/>
      <c r="C1611" s="58"/>
      <c r="D1611" s="35"/>
      <c r="E1611" s="129"/>
      <c r="F1611" s="129"/>
      <c r="G1611" s="129"/>
      <c r="H1611" s="129"/>
      <c r="I1611" s="129"/>
      <c r="J1611" s="129"/>
      <c r="K1611" s="129"/>
      <c r="L1611" s="129"/>
      <c r="M1611" s="129"/>
      <c r="N1611" s="129"/>
      <c r="O1611" s="129"/>
      <c r="P1611" s="148"/>
      <c r="Q1611" s="174"/>
    </row>
    <row r="1612" spans="1:17" s="28" customFormat="1" x14ac:dyDescent="0.25">
      <c r="A1612" s="53"/>
      <c r="B1612" s="58"/>
      <c r="C1612" s="58"/>
      <c r="D1612" s="35"/>
      <c r="E1612" s="129"/>
      <c r="F1612" s="129"/>
      <c r="G1612" s="129"/>
      <c r="H1612" s="129"/>
      <c r="I1612" s="129"/>
      <c r="J1612" s="129"/>
      <c r="K1612" s="129"/>
      <c r="L1612" s="129"/>
      <c r="M1612" s="129"/>
      <c r="N1612" s="129"/>
      <c r="O1612" s="129"/>
      <c r="P1612" s="148"/>
      <c r="Q1612" s="174"/>
    </row>
    <row r="1613" spans="1:17" s="28" customFormat="1" x14ac:dyDescent="0.25">
      <c r="A1613" s="53"/>
      <c r="B1613" s="58"/>
      <c r="C1613" s="58"/>
      <c r="D1613" s="35"/>
      <c r="E1613" s="129"/>
      <c r="F1613" s="129"/>
      <c r="G1613" s="129"/>
      <c r="H1613" s="129"/>
      <c r="I1613" s="129"/>
      <c r="J1613" s="129"/>
      <c r="K1613" s="129"/>
      <c r="L1613" s="129"/>
      <c r="M1613" s="129"/>
      <c r="N1613" s="129"/>
      <c r="O1613" s="129"/>
      <c r="P1613" s="148"/>
      <c r="Q1613" s="174"/>
    </row>
    <row r="1614" spans="1:17" s="28" customFormat="1" x14ac:dyDescent="0.25">
      <c r="A1614" s="53"/>
      <c r="B1614" s="58"/>
      <c r="C1614" s="58"/>
      <c r="D1614" s="35"/>
      <c r="E1614" s="129"/>
      <c r="F1614" s="129"/>
      <c r="G1614" s="129"/>
      <c r="H1614" s="129"/>
      <c r="I1614" s="129"/>
      <c r="J1614" s="129"/>
      <c r="K1614" s="129"/>
      <c r="L1614" s="129"/>
      <c r="M1614" s="129"/>
      <c r="N1614" s="129"/>
      <c r="O1614" s="129"/>
      <c r="P1614" s="148"/>
      <c r="Q1614" s="174"/>
    </row>
    <row r="1615" spans="1:17" s="28" customFormat="1" x14ac:dyDescent="0.25">
      <c r="A1615" s="53"/>
      <c r="B1615" s="58"/>
      <c r="C1615" s="58"/>
      <c r="D1615" s="35"/>
      <c r="E1615" s="129"/>
      <c r="F1615" s="129"/>
      <c r="G1615" s="129"/>
      <c r="H1615" s="129"/>
      <c r="I1615" s="129"/>
      <c r="J1615" s="129"/>
      <c r="K1615" s="129"/>
      <c r="L1615" s="129"/>
      <c r="M1615" s="129"/>
      <c r="N1615" s="129"/>
      <c r="O1615" s="129"/>
      <c r="P1615" s="148"/>
      <c r="Q1615" s="174"/>
    </row>
    <row r="1616" spans="1:17" s="28" customFormat="1" x14ac:dyDescent="0.25">
      <c r="A1616" s="53"/>
      <c r="B1616" s="58"/>
      <c r="C1616" s="58"/>
      <c r="D1616" s="35"/>
      <c r="E1616" s="129"/>
      <c r="F1616" s="129"/>
      <c r="G1616" s="129"/>
      <c r="H1616" s="129"/>
      <c r="I1616" s="129"/>
      <c r="J1616" s="129"/>
      <c r="K1616" s="129"/>
      <c r="L1616" s="129"/>
      <c r="M1616" s="129"/>
      <c r="N1616" s="129"/>
      <c r="O1616" s="129"/>
      <c r="P1616" s="148"/>
      <c r="Q1616" s="174"/>
    </row>
    <row r="1617" spans="1:17" s="28" customFormat="1" x14ac:dyDescent="0.25">
      <c r="A1617" s="53"/>
      <c r="B1617" s="58"/>
      <c r="C1617" s="58"/>
      <c r="D1617" s="35"/>
      <c r="E1617" s="129"/>
      <c r="F1617" s="129"/>
      <c r="G1617" s="129"/>
      <c r="H1617" s="129"/>
      <c r="I1617" s="129"/>
      <c r="J1617" s="129"/>
      <c r="K1617" s="129"/>
      <c r="L1617" s="129"/>
      <c r="M1617" s="129"/>
      <c r="N1617" s="129"/>
      <c r="O1617" s="129"/>
      <c r="P1617" s="148"/>
      <c r="Q1617" s="174"/>
    </row>
    <row r="1618" spans="1:17" s="28" customFormat="1" x14ac:dyDescent="0.25">
      <c r="A1618" s="53"/>
      <c r="B1618" s="58"/>
      <c r="C1618" s="58"/>
      <c r="D1618" s="35"/>
      <c r="E1618" s="129"/>
      <c r="F1618" s="129"/>
      <c r="G1618" s="129"/>
      <c r="H1618" s="129"/>
      <c r="I1618" s="129"/>
      <c r="J1618" s="129"/>
      <c r="K1618" s="129"/>
      <c r="L1618" s="129"/>
      <c r="M1618" s="129"/>
      <c r="N1618" s="129"/>
      <c r="O1618" s="129"/>
      <c r="P1618" s="148"/>
      <c r="Q1618" s="174"/>
    </row>
    <row r="1619" spans="1:17" s="28" customFormat="1" x14ac:dyDescent="0.25">
      <c r="A1619" s="53"/>
      <c r="B1619" s="58"/>
      <c r="C1619" s="58"/>
      <c r="D1619" s="35"/>
      <c r="E1619" s="129"/>
      <c r="F1619" s="129"/>
      <c r="G1619" s="129"/>
      <c r="H1619" s="129"/>
      <c r="I1619" s="129"/>
      <c r="J1619" s="129"/>
      <c r="K1619" s="129"/>
      <c r="L1619" s="129"/>
      <c r="M1619" s="129"/>
      <c r="N1619" s="129"/>
      <c r="O1619" s="129"/>
      <c r="P1619" s="148"/>
      <c r="Q1619" s="174"/>
    </row>
    <row r="1620" spans="1:17" s="28" customFormat="1" x14ac:dyDescent="0.25">
      <c r="A1620" s="53"/>
      <c r="B1620" s="58"/>
      <c r="C1620" s="58"/>
      <c r="D1620" s="35"/>
      <c r="E1620" s="129"/>
      <c r="F1620" s="129"/>
      <c r="G1620" s="129"/>
      <c r="H1620" s="129"/>
      <c r="I1620" s="129"/>
      <c r="J1620" s="129"/>
      <c r="K1620" s="129"/>
      <c r="L1620" s="129"/>
      <c r="M1620" s="129"/>
      <c r="N1620" s="129"/>
      <c r="O1620" s="129"/>
      <c r="P1620" s="148"/>
      <c r="Q1620" s="174"/>
    </row>
    <row r="1621" spans="1:17" s="28" customFormat="1" x14ac:dyDescent="0.25">
      <c r="A1621" s="53"/>
      <c r="B1621" s="58"/>
      <c r="C1621" s="58"/>
      <c r="D1621" s="35"/>
      <c r="E1621" s="129"/>
      <c r="F1621" s="129"/>
      <c r="G1621" s="129"/>
      <c r="H1621" s="129"/>
      <c r="I1621" s="129"/>
      <c r="J1621" s="129"/>
      <c r="K1621" s="129"/>
      <c r="L1621" s="129"/>
      <c r="M1621" s="129"/>
      <c r="N1621" s="129"/>
      <c r="O1621" s="129"/>
      <c r="P1621" s="148"/>
      <c r="Q1621" s="174"/>
    </row>
    <row r="1622" spans="1:17" s="28" customFormat="1" x14ac:dyDescent="0.25">
      <c r="A1622" s="53"/>
      <c r="B1622" s="58"/>
      <c r="C1622" s="58"/>
      <c r="D1622" s="35"/>
      <c r="E1622" s="129"/>
      <c r="F1622" s="129"/>
      <c r="G1622" s="129"/>
      <c r="H1622" s="129"/>
      <c r="I1622" s="129"/>
      <c r="J1622" s="129"/>
      <c r="K1622" s="129"/>
      <c r="L1622" s="129"/>
      <c r="M1622" s="129"/>
      <c r="N1622" s="129"/>
      <c r="O1622" s="129"/>
      <c r="P1622" s="148"/>
      <c r="Q1622" s="174"/>
    </row>
    <row r="1623" spans="1:17" s="28" customFormat="1" x14ac:dyDescent="0.25">
      <c r="A1623" s="53"/>
      <c r="B1623" s="58"/>
      <c r="C1623" s="58"/>
      <c r="D1623" s="35"/>
      <c r="E1623" s="129"/>
      <c r="F1623" s="129"/>
      <c r="G1623" s="129"/>
      <c r="H1623" s="129"/>
      <c r="I1623" s="129"/>
      <c r="J1623" s="129"/>
      <c r="K1623" s="129"/>
      <c r="L1623" s="129"/>
      <c r="M1623" s="129"/>
      <c r="N1623" s="129"/>
      <c r="O1623" s="129"/>
      <c r="P1623" s="148"/>
      <c r="Q1623" s="174"/>
    </row>
    <row r="1624" spans="1:17" s="28" customFormat="1" x14ac:dyDescent="0.25">
      <c r="A1624" s="53"/>
      <c r="B1624" s="58"/>
      <c r="C1624" s="58"/>
      <c r="D1624" s="35"/>
      <c r="E1624" s="129"/>
      <c r="F1624" s="129"/>
      <c r="G1624" s="129"/>
      <c r="H1624" s="129"/>
      <c r="I1624" s="129"/>
      <c r="J1624" s="129"/>
      <c r="K1624" s="129"/>
      <c r="L1624" s="129"/>
      <c r="M1624" s="129"/>
      <c r="N1624" s="129"/>
      <c r="O1624" s="129"/>
      <c r="P1624" s="148"/>
      <c r="Q1624" s="174"/>
    </row>
    <row r="1625" spans="1:17" s="28" customFormat="1" x14ac:dyDescent="0.25">
      <c r="A1625" s="53"/>
      <c r="B1625" s="58"/>
      <c r="C1625" s="58"/>
      <c r="D1625" s="35"/>
      <c r="E1625" s="129"/>
      <c r="F1625" s="129"/>
      <c r="G1625" s="129"/>
      <c r="H1625" s="129"/>
      <c r="I1625" s="129"/>
      <c r="J1625" s="129"/>
      <c r="K1625" s="129"/>
      <c r="L1625" s="129"/>
      <c r="M1625" s="129"/>
      <c r="N1625" s="129"/>
      <c r="O1625" s="129"/>
      <c r="P1625" s="148"/>
      <c r="Q1625" s="174"/>
    </row>
    <row r="1626" spans="1:17" s="28" customFormat="1" x14ac:dyDescent="0.25">
      <c r="A1626" s="53"/>
      <c r="B1626" s="58"/>
      <c r="C1626" s="58"/>
      <c r="D1626" s="35"/>
      <c r="E1626" s="129"/>
      <c r="F1626" s="129"/>
      <c r="G1626" s="129"/>
      <c r="H1626" s="129"/>
      <c r="I1626" s="129"/>
      <c r="J1626" s="129"/>
      <c r="K1626" s="129"/>
      <c r="L1626" s="129"/>
      <c r="M1626" s="129"/>
      <c r="N1626" s="129"/>
      <c r="O1626" s="129"/>
      <c r="P1626" s="148"/>
      <c r="Q1626" s="174"/>
    </row>
    <row r="1627" spans="1:17" s="28" customFormat="1" x14ac:dyDescent="0.25">
      <c r="A1627" s="53"/>
      <c r="B1627" s="58"/>
      <c r="C1627" s="58"/>
      <c r="D1627" s="35"/>
      <c r="E1627" s="129"/>
      <c r="F1627" s="129"/>
      <c r="G1627" s="129"/>
      <c r="H1627" s="129"/>
      <c r="I1627" s="129"/>
      <c r="J1627" s="129"/>
      <c r="K1627" s="129"/>
      <c r="L1627" s="129"/>
      <c r="M1627" s="129"/>
      <c r="N1627" s="129"/>
      <c r="O1627" s="129"/>
      <c r="P1627" s="148"/>
      <c r="Q1627" s="174"/>
    </row>
    <row r="1628" spans="1:17" s="28" customFormat="1" x14ac:dyDescent="0.25">
      <c r="A1628" s="53"/>
      <c r="B1628" s="58"/>
      <c r="C1628" s="58"/>
      <c r="D1628" s="35"/>
      <c r="E1628" s="129"/>
      <c r="F1628" s="129"/>
      <c r="G1628" s="129"/>
      <c r="H1628" s="129"/>
      <c r="I1628" s="129"/>
      <c r="J1628" s="129"/>
      <c r="K1628" s="129"/>
      <c r="L1628" s="129"/>
      <c r="M1628" s="129"/>
      <c r="N1628" s="129"/>
      <c r="O1628" s="129"/>
      <c r="P1628" s="148"/>
      <c r="Q1628" s="174"/>
    </row>
    <row r="1629" spans="1:17" s="28" customFormat="1" x14ac:dyDescent="0.25">
      <c r="A1629" s="53"/>
      <c r="B1629" s="58"/>
      <c r="C1629" s="58"/>
      <c r="D1629" s="35"/>
      <c r="E1629" s="129"/>
      <c r="F1629" s="129"/>
      <c r="G1629" s="129"/>
      <c r="H1629" s="129"/>
      <c r="I1629" s="129"/>
      <c r="J1629" s="129"/>
      <c r="K1629" s="129"/>
      <c r="L1629" s="129"/>
      <c r="M1629" s="129"/>
      <c r="N1629" s="129"/>
      <c r="O1629" s="129"/>
      <c r="P1629" s="148"/>
      <c r="Q1629" s="174"/>
    </row>
    <row r="1630" spans="1:17" s="28" customFormat="1" x14ac:dyDescent="0.25">
      <c r="A1630" s="53"/>
      <c r="B1630" s="58"/>
      <c r="C1630" s="58"/>
      <c r="D1630" s="35"/>
      <c r="E1630" s="129"/>
      <c r="F1630" s="129"/>
      <c r="G1630" s="129"/>
      <c r="H1630" s="129"/>
      <c r="I1630" s="129"/>
      <c r="J1630" s="129"/>
      <c r="K1630" s="129"/>
      <c r="L1630" s="129"/>
      <c r="M1630" s="129"/>
      <c r="N1630" s="129"/>
      <c r="O1630" s="129"/>
      <c r="P1630" s="148"/>
      <c r="Q1630" s="174"/>
    </row>
    <row r="1631" spans="1:17" s="28" customFormat="1" x14ac:dyDescent="0.25">
      <c r="A1631" s="53"/>
      <c r="B1631" s="58"/>
      <c r="C1631" s="58"/>
      <c r="D1631" s="35"/>
      <c r="E1631" s="129"/>
      <c r="F1631" s="129"/>
      <c r="G1631" s="129"/>
      <c r="H1631" s="129"/>
      <c r="I1631" s="129"/>
      <c r="J1631" s="129"/>
      <c r="K1631" s="129"/>
      <c r="L1631" s="129"/>
      <c r="M1631" s="129"/>
      <c r="N1631" s="129"/>
      <c r="O1631" s="129"/>
      <c r="P1631" s="148"/>
      <c r="Q1631" s="174"/>
    </row>
    <row r="1632" spans="1:17" s="28" customFormat="1" x14ac:dyDescent="0.25">
      <c r="A1632" s="53"/>
      <c r="B1632" s="58"/>
      <c r="C1632" s="58"/>
      <c r="D1632" s="35"/>
      <c r="E1632" s="129"/>
      <c r="F1632" s="129"/>
      <c r="G1632" s="129"/>
      <c r="H1632" s="129"/>
      <c r="I1632" s="129"/>
      <c r="J1632" s="129"/>
      <c r="K1632" s="129"/>
      <c r="L1632" s="129"/>
      <c r="M1632" s="129"/>
      <c r="N1632" s="129"/>
      <c r="O1632" s="129"/>
      <c r="P1632" s="148"/>
      <c r="Q1632" s="174"/>
    </row>
    <row r="1633" spans="1:17" s="28" customFormat="1" x14ac:dyDescent="0.25">
      <c r="A1633" s="53"/>
      <c r="B1633" s="58"/>
      <c r="C1633" s="58"/>
      <c r="D1633" s="35"/>
      <c r="E1633" s="129"/>
      <c r="F1633" s="129"/>
      <c r="G1633" s="129"/>
      <c r="H1633" s="129"/>
      <c r="I1633" s="129"/>
      <c r="J1633" s="129"/>
      <c r="K1633" s="129"/>
      <c r="L1633" s="129"/>
      <c r="M1633" s="129"/>
      <c r="N1633" s="129"/>
      <c r="O1633" s="129"/>
      <c r="P1633" s="148"/>
      <c r="Q1633" s="174"/>
    </row>
    <row r="1634" spans="1:17" s="28" customFormat="1" x14ac:dyDescent="0.25">
      <c r="A1634" s="53"/>
      <c r="B1634" s="58"/>
      <c r="C1634" s="58"/>
      <c r="D1634" s="35"/>
      <c r="E1634" s="129"/>
      <c r="F1634" s="129"/>
      <c r="G1634" s="129"/>
      <c r="H1634" s="129"/>
      <c r="I1634" s="129"/>
      <c r="J1634" s="129"/>
      <c r="K1634" s="129"/>
      <c r="L1634" s="129"/>
      <c r="M1634" s="129"/>
      <c r="N1634" s="129"/>
      <c r="O1634" s="129"/>
      <c r="P1634" s="148"/>
      <c r="Q1634" s="174"/>
    </row>
    <row r="1635" spans="1:17" s="28" customFormat="1" x14ac:dyDescent="0.25">
      <c r="A1635" s="53"/>
      <c r="B1635" s="58"/>
      <c r="C1635" s="58"/>
      <c r="D1635" s="35"/>
      <c r="E1635" s="129"/>
      <c r="F1635" s="129"/>
      <c r="G1635" s="129"/>
      <c r="H1635" s="129"/>
      <c r="I1635" s="129"/>
      <c r="J1635" s="129"/>
      <c r="K1635" s="129"/>
      <c r="L1635" s="129"/>
      <c r="M1635" s="129"/>
      <c r="N1635" s="129"/>
      <c r="O1635" s="129"/>
      <c r="P1635" s="148"/>
      <c r="Q1635" s="174"/>
    </row>
    <row r="1636" spans="1:17" s="28" customFormat="1" x14ac:dyDescent="0.25">
      <c r="A1636" s="53"/>
      <c r="B1636" s="58"/>
      <c r="C1636" s="58"/>
      <c r="D1636" s="35"/>
      <c r="E1636" s="129"/>
      <c r="F1636" s="129"/>
      <c r="G1636" s="129"/>
      <c r="H1636" s="129"/>
      <c r="I1636" s="129"/>
      <c r="J1636" s="129"/>
      <c r="K1636" s="129"/>
      <c r="L1636" s="129"/>
      <c r="M1636" s="129"/>
      <c r="N1636" s="129"/>
      <c r="O1636" s="129"/>
      <c r="P1636" s="148"/>
      <c r="Q1636" s="174"/>
    </row>
    <row r="1637" spans="1:17" s="28" customFormat="1" x14ac:dyDescent="0.25">
      <c r="A1637" s="53"/>
      <c r="B1637" s="58"/>
      <c r="C1637" s="58"/>
      <c r="D1637" s="35"/>
      <c r="E1637" s="129"/>
      <c r="F1637" s="129"/>
      <c r="G1637" s="129"/>
      <c r="H1637" s="129"/>
      <c r="I1637" s="129"/>
      <c r="J1637" s="129"/>
      <c r="K1637" s="129"/>
      <c r="L1637" s="129"/>
      <c r="M1637" s="129"/>
      <c r="N1637" s="129"/>
      <c r="O1637" s="129"/>
      <c r="P1637" s="148"/>
      <c r="Q1637" s="174"/>
    </row>
    <row r="1638" spans="1:17" s="28" customFormat="1" x14ac:dyDescent="0.25">
      <c r="A1638" s="53"/>
      <c r="B1638" s="58"/>
      <c r="C1638" s="58"/>
      <c r="D1638" s="35"/>
      <c r="E1638" s="129"/>
      <c r="F1638" s="129"/>
      <c r="G1638" s="129"/>
      <c r="H1638" s="129"/>
      <c r="I1638" s="129"/>
      <c r="J1638" s="129"/>
      <c r="K1638" s="129"/>
      <c r="L1638" s="129"/>
      <c r="M1638" s="129"/>
      <c r="N1638" s="129"/>
      <c r="O1638" s="129"/>
      <c r="P1638" s="148"/>
      <c r="Q1638" s="174"/>
    </row>
    <row r="1639" spans="1:17" s="28" customFormat="1" x14ac:dyDescent="0.25">
      <c r="A1639" s="53"/>
      <c r="B1639" s="58"/>
      <c r="C1639" s="58"/>
      <c r="D1639" s="35"/>
      <c r="E1639" s="129"/>
      <c r="F1639" s="129"/>
      <c r="G1639" s="129"/>
      <c r="H1639" s="129"/>
      <c r="I1639" s="129"/>
      <c r="J1639" s="129"/>
      <c r="K1639" s="129"/>
      <c r="L1639" s="129"/>
      <c r="M1639" s="129"/>
      <c r="N1639" s="129"/>
      <c r="O1639" s="129"/>
      <c r="P1639" s="148"/>
      <c r="Q1639" s="174"/>
    </row>
    <row r="1640" spans="1:17" s="28" customFormat="1" x14ac:dyDescent="0.25">
      <c r="A1640" s="53"/>
      <c r="B1640" s="58"/>
      <c r="C1640" s="58"/>
      <c r="D1640" s="35"/>
      <c r="E1640" s="129"/>
      <c r="F1640" s="129"/>
      <c r="G1640" s="129"/>
      <c r="H1640" s="129"/>
      <c r="I1640" s="129"/>
      <c r="J1640" s="129"/>
      <c r="K1640" s="129"/>
      <c r="L1640" s="129"/>
      <c r="M1640" s="129"/>
      <c r="N1640" s="129"/>
      <c r="O1640" s="129"/>
      <c r="P1640" s="148"/>
      <c r="Q1640" s="174"/>
    </row>
    <row r="1641" spans="1:17" s="28" customFormat="1" x14ac:dyDescent="0.25">
      <c r="A1641" s="53"/>
      <c r="B1641" s="58"/>
      <c r="C1641" s="58"/>
      <c r="D1641" s="35"/>
      <c r="E1641" s="129"/>
      <c r="F1641" s="129"/>
      <c r="G1641" s="129"/>
      <c r="H1641" s="129"/>
      <c r="I1641" s="129"/>
      <c r="J1641" s="129"/>
      <c r="K1641" s="129"/>
      <c r="L1641" s="129"/>
      <c r="M1641" s="129"/>
      <c r="N1641" s="129"/>
      <c r="O1641" s="129"/>
      <c r="P1641" s="148"/>
      <c r="Q1641" s="174"/>
    </row>
    <row r="1642" spans="1:17" s="28" customFormat="1" x14ac:dyDescent="0.25">
      <c r="A1642" s="53"/>
      <c r="B1642" s="58"/>
      <c r="C1642" s="58"/>
      <c r="D1642" s="35"/>
      <c r="E1642" s="129"/>
      <c r="F1642" s="129"/>
      <c r="G1642" s="129"/>
      <c r="H1642" s="129"/>
      <c r="I1642" s="129"/>
      <c r="J1642" s="129"/>
      <c r="K1642" s="129"/>
      <c r="L1642" s="129"/>
      <c r="M1642" s="129"/>
      <c r="N1642" s="129"/>
      <c r="O1642" s="129"/>
      <c r="P1642" s="148"/>
      <c r="Q1642" s="174"/>
    </row>
    <row r="1643" spans="1:17" s="28" customFormat="1" x14ac:dyDescent="0.25">
      <c r="A1643" s="53"/>
      <c r="B1643" s="58"/>
      <c r="C1643" s="58"/>
      <c r="D1643" s="35"/>
      <c r="E1643" s="129"/>
      <c r="F1643" s="129"/>
      <c r="G1643" s="129"/>
      <c r="H1643" s="129"/>
      <c r="I1643" s="129"/>
      <c r="J1643" s="129"/>
      <c r="K1643" s="129"/>
      <c r="L1643" s="129"/>
      <c r="M1643" s="129"/>
      <c r="N1643" s="129"/>
      <c r="O1643" s="129"/>
      <c r="P1643" s="148"/>
      <c r="Q1643" s="174"/>
    </row>
    <row r="1644" spans="1:17" s="28" customFormat="1" x14ac:dyDescent="0.25">
      <c r="A1644" s="53"/>
      <c r="B1644" s="58"/>
      <c r="C1644" s="58"/>
      <c r="D1644" s="35"/>
      <c r="E1644" s="129"/>
      <c r="F1644" s="129"/>
      <c r="G1644" s="129"/>
      <c r="H1644" s="129"/>
      <c r="I1644" s="129"/>
      <c r="J1644" s="129"/>
      <c r="K1644" s="129"/>
      <c r="L1644" s="129"/>
      <c r="M1644" s="129"/>
      <c r="N1644" s="129"/>
      <c r="O1644" s="129"/>
      <c r="P1644" s="148"/>
      <c r="Q1644" s="174"/>
    </row>
    <row r="1645" spans="1:17" s="28" customFormat="1" x14ac:dyDescent="0.25">
      <c r="A1645" s="53"/>
      <c r="B1645" s="58"/>
      <c r="C1645" s="58"/>
      <c r="D1645" s="35"/>
      <c r="E1645" s="129"/>
      <c r="F1645" s="129"/>
      <c r="G1645" s="129"/>
      <c r="H1645" s="129"/>
      <c r="I1645" s="129"/>
      <c r="J1645" s="129"/>
      <c r="K1645" s="129"/>
      <c r="L1645" s="129"/>
      <c r="M1645" s="129"/>
      <c r="N1645" s="129"/>
      <c r="O1645" s="129"/>
      <c r="P1645" s="148"/>
      <c r="Q1645" s="174"/>
    </row>
    <row r="1646" spans="1:17" s="28" customFormat="1" x14ac:dyDescent="0.25">
      <c r="A1646" s="53"/>
      <c r="B1646" s="58"/>
      <c r="C1646" s="58"/>
      <c r="D1646" s="35"/>
      <c r="E1646" s="129"/>
      <c r="F1646" s="129"/>
      <c r="G1646" s="129"/>
      <c r="H1646" s="129"/>
      <c r="I1646" s="129"/>
      <c r="J1646" s="129"/>
      <c r="K1646" s="129"/>
      <c r="L1646" s="129"/>
      <c r="M1646" s="129"/>
      <c r="N1646" s="129"/>
      <c r="O1646" s="129"/>
      <c r="P1646" s="148"/>
      <c r="Q1646" s="174"/>
    </row>
    <row r="1647" spans="1:17" s="28" customFormat="1" x14ac:dyDescent="0.25">
      <c r="A1647" s="53"/>
      <c r="B1647" s="58"/>
      <c r="C1647" s="58"/>
      <c r="D1647" s="35"/>
      <c r="E1647" s="129"/>
      <c r="F1647" s="129"/>
      <c r="G1647" s="129"/>
      <c r="H1647" s="129"/>
      <c r="I1647" s="129"/>
      <c r="J1647" s="129"/>
      <c r="K1647" s="129"/>
      <c r="L1647" s="129"/>
      <c r="M1647" s="129"/>
      <c r="N1647" s="129"/>
      <c r="O1647" s="129"/>
      <c r="P1647" s="148"/>
      <c r="Q1647" s="174"/>
    </row>
    <row r="1648" spans="1:17" s="28" customFormat="1" x14ac:dyDescent="0.25">
      <c r="A1648" s="53"/>
      <c r="B1648" s="58"/>
      <c r="C1648" s="58"/>
      <c r="D1648" s="35"/>
      <c r="E1648" s="129"/>
      <c r="F1648" s="129"/>
      <c r="G1648" s="129"/>
      <c r="H1648" s="129"/>
      <c r="I1648" s="129"/>
      <c r="J1648" s="129"/>
      <c r="K1648" s="129"/>
      <c r="L1648" s="129"/>
      <c r="M1648" s="129"/>
      <c r="N1648" s="129"/>
      <c r="O1648" s="129"/>
      <c r="P1648" s="148"/>
      <c r="Q1648" s="174"/>
    </row>
    <row r="1649" spans="1:17" s="28" customFormat="1" x14ac:dyDescent="0.25">
      <c r="A1649" s="53"/>
      <c r="B1649" s="58"/>
      <c r="C1649" s="58"/>
      <c r="D1649" s="35"/>
      <c r="E1649" s="129"/>
      <c r="F1649" s="129"/>
      <c r="G1649" s="129"/>
      <c r="H1649" s="129"/>
      <c r="I1649" s="129"/>
      <c r="J1649" s="129"/>
      <c r="K1649" s="129"/>
      <c r="L1649" s="129"/>
      <c r="M1649" s="129"/>
      <c r="N1649" s="129"/>
      <c r="O1649" s="129"/>
      <c r="P1649" s="148"/>
      <c r="Q1649" s="174"/>
    </row>
    <row r="1650" spans="1:17" s="28" customFormat="1" x14ac:dyDescent="0.25">
      <c r="A1650" s="53"/>
      <c r="B1650" s="58"/>
      <c r="C1650" s="58"/>
      <c r="D1650" s="35"/>
      <c r="E1650" s="129"/>
      <c r="F1650" s="129"/>
      <c r="G1650" s="129"/>
      <c r="H1650" s="129"/>
      <c r="I1650" s="129"/>
      <c r="J1650" s="129"/>
      <c r="K1650" s="129"/>
      <c r="L1650" s="129"/>
      <c r="M1650" s="129"/>
      <c r="N1650" s="129"/>
      <c r="O1650" s="129"/>
      <c r="P1650" s="148"/>
      <c r="Q1650" s="174"/>
    </row>
    <row r="1651" spans="1:17" s="28" customFormat="1" x14ac:dyDescent="0.25">
      <c r="A1651" s="53"/>
      <c r="B1651" s="58"/>
      <c r="C1651" s="58"/>
      <c r="D1651" s="35"/>
      <c r="E1651" s="129"/>
      <c r="F1651" s="129"/>
      <c r="G1651" s="129"/>
      <c r="H1651" s="129"/>
      <c r="I1651" s="129"/>
      <c r="J1651" s="129"/>
      <c r="K1651" s="129"/>
      <c r="L1651" s="129"/>
      <c r="M1651" s="129"/>
      <c r="N1651" s="129"/>
      <c r="O1651" s="129"/>
      <c r="P1651" s="148"/>
      <c r="Q1651" s="174"/>
    </row>
    <row r="1652" spans="1:17" s="28" customFormat="1" x14ac:dyDescent="0.25">
      <c r="A1652" s="53"/>
      <c r="B1652" s="58"/>
      <c r="C1652" s="58"/>
      <c r="D1652" s="35"/>
      <c r="E1652" s="129"/>
      <c r="F1652" s="129"/>
      <c r="G1652" s="129"/>
      <c r="H1652" s="129"/>
      <c r="I1652" s="129"/>
      <c r="J1652" s="129"/>
      <c r="K1652" s="129"/>
      <c r="L1652" s="129"/>
      <c r="M1652" s="129"/>
      <c r="N1652" s="129"/>
      <c r="O1652" s="129"/>
      <c r="P1652" s="148"/>
      <c r="Q1652" s="174"/>
    </row>
    <row r="1653" spans="1:17" s="28" customFormat="1" x14ac:dyDescent="0.25">
      <c r="A1653" s="53"/>
      <c r="B1653" s="58"/>
      <c r="C1653" s="58"/>
      <c r="D1653" s="35"/>
      <c r="E1653" s="129"/>
      <c r="F1653" s="129"/>
      <c r="G1653" s="129"/>
      <c r="H1653" s="129"/>
      <c r="I1653" s="129"/>
      <c r="J1653" s="129"/>
      <c r="K1653" s="129"/>
      <c r="L1653" s="129"/>
      <c r="M1653" s="129"/>
      <c r="N1653" s="129"/>
      <c r="O1653" s="129"/>
      <c r="P1653" s="148"/>
      <c r="Q1653" s="174"/>
    </row>
    <row r="1654" spans="1:17" s="28" customFormat="1" x14ac:dyDescent="0.25">
      <c r="A1654" s="53"/>
      <c r="B1654" s="58"/>
      <c r="C1654" s="58"/>
      <c r="D1654" s="35"/>
      <c r="E1654" s="129"/>
      <c r="F1654" s="129"/>
      <c r="G1654" s="129"/>
      <c r="H1654" s="129"/>
      <c r="I1654" s="129"/>
      <c r="J1654" s="129"/>
      <c r="K1654" s="129"/>
      <c r="L1654" s="129"/>
      <c r="M1654" s="129"/>
      <c r="N1654" s="129"/>
      <c r="O1654" s="129"/>
      <c r="P1654" s="148"/>
      <c r="Q1654" s="174"/>
    </row>
    <row r="1655" spans="1:17" s="28" customFormat="1" x14ac:dyDescent="0.25">
      <c r="A1655" s="53"/>
      <c r="B1655" s="58"/>
      <c r="C1655" s="58"/>
      <c r="D1655" s="35"/>
      <c r="E1655" s="129"/>
      <c r="F1655" s="129"/>
      <c r="G1655" s="129"/>
      <c r="H1655" s="129"/>
      <c r="I1655" s="129"/>
      <c r="J1655" s="129"/>
      <c r="K1655" s="129"/>
      <c r="L1655" s="129"/>
      <c r="M1655" s="129"/>
      <c r="N1655" s="129"/>
      <c r="O1655" s="129"/>
      <c r="P1655" s="148"/>
      <c r="Q1655" s="174"/>
    </row>
    <row r="1656" spans="1:17" s="28" customFormat="1" x14ac:dyDescent="0.25">
      <c r="A1656" s="53"/>
      <c r="B1656" s="58"/>
      <c r="C1656" s="58"/>
      <c r="D1656" s="35"/>
      <c r="E1656" s="129"/>
      <c r="F1656" s="129"/>
      <c r="G1656" s="129"/>
      <c r="H1656" s="129"/>
      <c r="I1656" s="129"/>
      <c r="J1656" s="129"/>
      <c r="K1656" s="129"/>
      <c r="L1656" s="129"/>
      <c r="M1656" s="129"/>
      <c r="N1656" s="129"/>
      <c r="O1656" s="129"/>
      <c r="P1656" s="148"/>
      <c r="Q1656" s="174"/>
    </row>
    <row r="1657" spans="1:17" s="28" customFormat="1" x14ac:dyDescent="0.25">
      <c r="A1657" s="53"/>
      <c r="B1657" s="58"/>
      <c r="C1657" s="58"/>
      <c r="D1657" s="35"/>
      <c r="E1657" s="129"/>
      <c r="F1657" s="129"/>
      <c r="G1657" s="129"/>
      <c r="H1657" s="129"/>
      <c r="I1657" s="129"/>
      <c r="J1657" s="129"/>
      <c r="K1657" s="129"/>
      <c r="L1657" s="129"/>
      <c r="M1657" s="129"/>
      <c r="N1657" s="129"/>
      <c r="O1657" s="129"/>
      <c r="P1657" s="148"/>
      <c r="Q1657" s="174"/>
    </row>
    <row r="1658" spans="1:17" s="28" customFormat="1" x14ac:dyDescent="0.25">
      <c r="A1658" s="53"/>
      <c r="B1658" s="58"/>
      <c r="C1658" s="58"/>
      <c r="D1658" s="35"/>
      <c r="E1658" s="129"/>
      <c r="F1658" s="129"/>
      <c r="G1658" s="129"/>
      <c r="H1658" s="129"/>
      <c r="I1658" s="129"/>
      <c r="J1658" s="129"/>
      <c r="K1658" s="129"/>
      <c r="L1658" s="129"/>
      <c r="M1658" s="129"/>
      <c r="N1658" s="129"/>
      <c r="O1658" s="129"/>
      <c r="P1658" s="148"/>
      <c r="Q1658" s="174"/>
    </row>
    <row r="1659" spans="1:17" s="28" customFormat="1" x14ac:dyDescent="0.25">
      <c r="A1659" s="53"/>
      <c r="B1659" s="58"/>
      <c r="C1659" s="58"/>
      <c r="D1659" s="35"/>
      <c r="E1659" s="129"/>
      <c r="F1659" s="129"/>
      <c r="G1659" s="129"/>
      <c r="H1659" s="129"/>
      <c r="I1659" s="129"/>
      <c r="J1659" s="129"/>
      <c r="K1659" s="129"/>
      <c r="L1659" s="129"/>
      <c r="M1659" s="129"/>
      <c r="N1659" s="129"/>
      <c r="O1659" s="129"/>
      <c r="P1659" s="148"/>
      <c r="Q1659" s="174"/>
    </row>
    <row r="1660" spans="1:17" s="28" customFormat="1" x14ac:dyDescent="0.25">
      <c r="A1660" s="53"/>
      <c r="B1660" s="58"/>
      <c r="C1660" s="58"/>
      <c r="D1660" s="35"/>
      <c r="E1660" s="129"/>
      <c r="F1660" s="129"/>
      <c r="G1660" s="129"/>
      <c r="H1660" s="129"/>
      <c r="I1660" s="129"/>
      <c r="J1660" s="129"/>
      <c r="K1660" s="129"/>
      <c r="L1660" s="129"/>
      <c r="M1660" s="129"/>
      <c r="N1660" s="129"/>
      <c r="O1660" s="129"/>
      <c r="P1660" s="148"/>
      <c r="Q1660" s="174"/>
    </row>
    <row r="1661" spans="1:17" s="28" customFormat="1" x14ac:dyDescent="0.25">
      <c r="A1661" s="53"/>
      <c r="B1661" s="58"/>
      <c r="C1661" s="58"/>
      <c r="D1661" s="35"/>
      <c r="E1661" s="129"/>
      <c r="F1661" s="129"/>
      <c r="G1661" s="129"/>
      <c r="H1661" s="129"/>
      <c r="I1661" s="129"/>
      <c r="J1661" s="129"/>
      <c r="K1661" s="129"/>
      <c r="L1661" s="129"/>
      <c r="M1661" s="129"/>
      <c r="N1661" s="129"/>
      <c r="O1661" s="129"/>
      <c r="P1661" s="148"/>
      <c r="Q1661" s="174"/>
    </row>
    <row r="1662" spans="1:17" s="28" customFormat="1" x14ac:dyDescent="0.25">
      <c r="A1662" s="53"/>
      <c r="B1662" s="58"/>
      <c r="C1662" s="58"/>
      <c r="D1662" s="35"/>
      <c r="E1662" s="129"/>
      <c r="F1662" s="129"/>
      <c r="G1662" s="129"/>
      <c r="H1662" s="129"/>
      <c r="I1662" s="129"/>
      <c r="J1662" s="129"/>
      <c r="K1662" s="129"/>
      <c r="L1662" s="129"/>
      <c r="M1662" s="129"/>
      <c r="N1662" s="129"/>
      <c r="O1662" s="129"/>
      <c r="P1662" s="148"/>
      <c r="Q1662" s="174"/>
    </row>
    <row r="1663" spans="1:17" s="28" customFormat="1" x14ac:dyDescent="0.25">
      <c r="A1663" s="53"/>
      <c r="B1663" s="58"/>
      <c r="C1663" s="58"/>
      <c r="D1663" s="35"/>
      <c r="E1663" s="129"/>
      <c r="F1663" s="129"/>
      <c r="G1663" s="129"/>
      <c r="H1663" s="129"/>
      <c r="I1663" s="129"/>
      <c r="J1663" s="129"/>
      <c r="K1663" s="129"/>
      <c r="L1663" s="129"/>
      <c r="M1663" s="129"/>
      <c r="N1663" s="129"/>
      <c r="O1663" s="129"/>
      <c r="P1663" s="148"/>
      <c r="Q1663" s="174"/>
    </row>
    <row r="1664" spans="1:17" s="28" customFormat="1" x14ac:dyDescent="0.25">
      <c r="A1664" s="53"/>
      <c r="B1664" s="58"/>
      <c r="C1664" s="58"/>
      <c r="D1664" s="35"/>
      <c r="E1664" s="129"/>
      <c r="F1664" s="129"/>
      <c r="G1664" s="129"/>
      <c r="H1664" s="129"/>
      <c r="I1664" s="129"/>
      <c r="J1664" s="129"/>
      <c r="K1664" s="129"/>
      <c r="L1664" s="129"/>
      <c r="M1664" s="129"/>
      <c r="N1664" s="129"/>
      <c r="O1664" s="129"/>
      <c r="P1664" s="148"/>
      <c r="Q1664" s="174"/>
    </row>
    <row r="1665" spans="1:17" s="28" customFormat="1" x14ac:dyDescent="0.25">
      <c r="A1665" s="53"/>
      <c r="B1665" s="58"/>
      <c r="C1665" s="58"/>
      <c r="D1665" s="35"/>
      <c r="E1665" s="129"/>
      <c r="F1665" s="129"/>
      <c r="G1665" s="129"/>
      <c r="H1665" s="129"/>
      <c r="I1665" s="129"/>
      <c r="J1665" s="129"/>
      <c r="K1665" s="129"/>
      <c r="L1665" s="129"/>
      <c r="M1665" s="129"/>
      <c r="N1665" s="129"/>
      <c r="O1665" s="129"/>
      <c r="P1665" s="148"/>
      <c r="Q1665" s="174"/>
    </row>
    <row r="1666" spans="1:17" s="28" customFormat="1" x14ac:dyDescent="0.25">
      <c r="A1666" s="53"/>
      <c r="B1666" s="58"/>
      <c r="C1666" s="58"/>
      <c r="D1666" s="35"/>
      <c r="E1666" s="129"/>
      <c r="F1666" s="129"/>
      <c r="G1666" s="129"/>
      <c r="H1666" s="129"/>
      <c r="I1666" s="129"/>
      <c r="J1666" s="129"/>
      <c r="K1666" s="129"/>
      <c r="L1666" s="129"/>
      <c r="M1666" s="129"/>
      <c r="N1666" s="129"/>
      <c r="O1666" s="129"/>
      <c r="P1666" s="148"/>
      <c r="Q1666" s="174"/>
    </row>
    <row r="1667" spans="1:17" s="28" customFormat="1" x14ac:dyDescent="0.25">
      <c r="A1667" s="53"/>
      <c r="B1667" s="58"/>
      <c r="C1667" s="58"/>
      <c r="D1667" s="35"/>
      <c r="E1667" s="129"/>
      <c r="F1667" s="129"/>
      <c r="G1667" s="129"/>
      <c r="H1667" s="129"/>
      <c r="I1667" s="129"/>
      <c r="J1667" s="129"/>
      <c r="K1667" s="129"/>
      <c r="L1667" s="129"/>
      <c r="M1667" s="129"/>
      <c r="N1667" s="129"/>
      <c r="O1667" s="129"/>
      <c r="P1667" s="148"/>
      <c r="Q1667" s="174"/>
    </row>
    <row r="1668" spans="1:17" s="28" customFormat="1" x14ac:dyDescent="0.25">
      <c r="A1668" s="53"/>
      <c r="B1668" s="58"/>
      <c r="C1668" s="58"/>
      <c r="D1668" s="35"/>
      <c r="E1668" s="129"/>
      <c r="F1668" s="129"/>
      <c r="G1668" s="129"/>
      <c r="H1668" s="129"/>
      <c r="I1668" s="129"/>
      <c r="J1668" s="129"/>
      <c r="K1668" s="129"/>
      <c r="L1668" s="129"/>
      <c r="M1668" s="129"/>
      <c r="N1668" s="129"/>
      <c r="O1668" s="129"/>
      <c r="P1668" s="148"/>
      <c r="Q1668" s="174"/>
    </row>
    <row r="1669" spans="1:17" s="28" customFormat="1" x14ac:dyDescent="0.25">
      <c r="A1669" s="53"/>
      <c r="B1669" s="58"/>
      <c r="C1669" s="58"/>
      <c r="D1669" s="35"/>
      <c r="E1669" s="129"/>
      <c r="F1669" s="129"/>
      <c r="G1669" s="129"/>
      <c r="H1669" s="129"/>
      <c r="I1669" s="129"/>
      <c r="J1669" s="129"/>
      <c r="K1669" s="129"/>
      <c r="L1669" s="129"/>
      <c r="M1669" s="129"/>
      <c r="N1669" s="129"/>
      <c r="O1669" s="129"/>
      <c r="P1669" s="148"/>
      <c r="Q1669" s="174"/>
    </row>
    <row r="1670" spans="1:17" s="28" customFormat="1" x14ac:dyDescent="0.25">
      <c r="A1670" s="53"/>
      <c r="B1670" s="58"/>
      <c r="C1670" s="58"/>
      <c r="D1670" s="35"/>
      <c r="E1670" s="129"/>
      <c r="F1670" s="129"/>
      <c r="G1670" s="129"/>
      <c r="H1670" s="129"/>
      <c r="I1670" s="129"/>
      <c r="J1670" s="129"/>
      <c r="K1670" s="129"/>
      <c r="L1670" s="129"/>
      <c r="M1670" s="129"/>
      <c r="N1670" s="129"/>
      <c r="O1670" s="129"/>
      <c r="P1670" s="148"/>
      <c r="Q1670" s="174"/>
    </row>
    <row r="1671" spans="1:17" s="28" customFormat="1" x14ac:dyDescent="0.25">
      <c r="A1671" s="53"/>
      <c r="B1671" s="58"/>
      <c r="C1671" s="58"/>
      <c r="D1671" s="35"/>
      <c r="E1671" s="129"/>
      <c r="F1671" s="129"/>
      <c r="G1671" s="129"/>
      <c r="H1671" s="129"/>
      <c r="I1671" s="129"/>
      <c r="J1671" s="129"/>
      <c r="K1671" s="129"/>
      <c r="L1671" s="129"/>
      <c r="M1671" s="129"/>
      <c r="N1671" s="129"/>
      <c r="O1671" s="129"/>
      <c r="P1671" s="148"/>
      <c r="Q1671" s="174"/>
    </row>
    <row r="1672" spans="1:17" s="28" customFormat="1" x14ac:dyDescent="0.25">
      <c r="A1672" s="53"/>
      <c r="B1672" s="58"/>
      <c r="C1672" s="58"/>
      <c r="D1672" s="35"/>
      <c r="E1672" s="129"/>
      <c r="F1672" s="129"/>
      <c r="G1672" s="129"/>
      <c r="H1672" s="129"/>
      <c r="I1672" s="129"/>
      <c r="J1672" s="129"/>
      <c r="K1672" s="129"/>
      <c r="L1672" s="129"/>
      <c r="M1672" s="129"/>
      <c r="N1672" s="129"/>
      <c r="O1672" s="129"/>
      <c r="P1672" s="148"/>
      <c r="Q1672" s="174"/>
    </row>
    <row r="1673" spans="1:17" s="28" customFormat="1" x14ac:dyDescent="0.25">
      <c r="A1673" s="53"/>
      <c r="B1673" s="58"/>
      <c r="C1673" s="58"/>
      <c r="D1673" s="35"/>
      <c r="E1673" s="129"/>
      <c r="F1673" s="129"/>
      <c r="G1673" s="129"/>
      <c r="H1673" s="129"/>
      <c r="I1673" s="129"/>
      <c r="J1673" s="129"/>
      <c r="K1673" s="129"/>
      <c r="L1673" s="129"/>
      <c r="M1673" s="129"/>
      <c r="N1673" s="129"/>
      <c r="O1673" s="129"/>
      <c r="P1673" s="148"/>
      <c r="Q1673" s="174"/>
    </row>
    <row r="1674" spans="1:17" s="28" customFormat="1" x14ac:dyDescent="0.25">
      <c r="A1674" s="53"/>
      <c r="B1674" s="58"/>
      <c r="C1674" s="58"/>
      <c r="D1674" s="35"/>
      <c r="E1674" s="129"/>
      <c r="F1674" s="129"/>
      <c r="G1674" s="129"/>
      <c r="H1674" s="129"/>
      <c r="I1674" s="129"/>
      <c r="J1674" s="129"/>
      <c r="K1674" s="129"/>
      <c r="L1674" s="129"/>
      <c r="M1674" s="129"/>
      <c r="N1674" s="129"/>
      <c r="O1674" s="129"/>
      <c r="P1674" s="148"/>
      <c r="Q1674" s="174"/>
    </row>
    <row r="1675" spans="1:17" s="28" customFormat="1" x14ac:dyDescent="0.25">
      <c r="A1675" s="53"/>
      <c r="B1675" s="58"/>
      <c r="C1675" s="58"/>
      <c r="D1675" s="35"/>
      <c r="E1675" s="129"/>
      <c r="F1675" s="129"/>
      <c r="G1675" s="129"/>
      <c r="H1675" s="129"/>
      <c r="I1675" s="129"/>
      <c r="J1675" s="129"/>
      <c r="K1675" s="129"/>
      <c r="L1675" s="129"/>
      <c r="M1675" s="129"/>
      <c r="N1675" s="129"/>
      <c r="O1675" s="129"/>
      <c r="P1675" s="148"/>
      <c r="Q1675" s="174"/>
    </row>
    <row r="1676" spans="1:17" s="28" customFormat="1" x14ac:dyDescent="0.25">
      <c r="A1676" s="53"/>
      <c r="B1676" s="58"/>
      <c r="C1676" s="58"/>
      <c r="D1676" s="35"/>
      <c r="E1676" s="129"/>
      <c r="F1676" s="129"/>
      <c r="G1676" s="129"/>
      <c r="H1676" s="129"/>
      <c r="I1676" s="129"/>
      <c r="J1676" s="129"/>
      <c r="K1676" s="129"/>
      <c r="L1676" s="129"/>
      <c r="M1676" s="129"/>
      <c r="N1676" s="129"/>
      <c r="O1676" s="129"/>
      <c r="P1676" s="148"/>
      <c r="Q1676" s="174"/>
    </row>
    <row r="1677" spans="1:17" s="28" customFormat="1" x14ac:dyDescent="0.25">
      <c r="A1677" s="53"/>
      <c r="B1677" s="58"/>
      <c r="C1677" s="58"/>
      <c r="D1677" s="35"/>
      <c r="E1677" s="129"/>
      <c r="F1677" s="129"/>
      <c r="G1677" s="129"/>
      <c r="H1677" s="129"/>
      <c r="I1677" s="129"/>
      <c r="J1677" s="129"/>
      <c r="K1677" s="129"/>
      <c r="L1677" s="129"/>
      <c r="M1677" s="129"/>
      <c r="N1677" s="129"/>
      <c r="O1677" s="129"/>
      <c r="P1677" s="148"/>
      <c r="Q1677" s="174"/>
    </row>
    <row r="1678" spans="1:17" s="28" customFormat="1" x14ac:dyDescent="0.25">
      <c r="A1678" s="53"/>
      <c r="B1678" s="58"/>
      <c r="C1678" s="58"/>
      <c r="D1678" s="35"/>
      <c r="E1678" s="129"/>
      <c r="F1678" s="129"/>
      <c r="G1678" s="129"/>
      <c r="H1678" s="129"/>
      <c r="I1678" s="129"/>
      <c r="J1678" s="129"/>
      <c r="K1678" s="129"/>
      <c r="L1678" s="129"/>
      <c r="M1678" s="129"/>
      <c r="N1678" s="129"/>
      <c r="O1678" s="129"/>
      <c r="P1678" s="148"/>
      <c r="Q1678" s="174"/>
    </row>
    <row r="1679" spans="1:17" s="28" customFormat="1" x14ac:dyDescent="0.25">
      <c r="A1679" s="53"/>
      <c r="B1679" s="58"/>
      <c r="C1679" s="58"/>
      <c r="D1679" s="35"/>
      <c r="E1679" s="129"/>
      <c r="F1679" s="129"/>
      <c r="G1679" s="129"/>
      <c r="H1679" s="129"/>
      <c r="I1679" s="129"/>
      <c r="J1679" s="129"/>
      <c r="K1679" s="129"/>
      <c r="L1679" s="129"/>
      <c r="M1679" s="129"/>
      <c r="N1679" s="129"/>
      <c r="O1679" s="129"/>
      <c r="P1679" s="148"/>
      <c r="Q1679" s="174"/>
    </row>
    <row r="1680" spans="1:17" s="28" customFormat="1" x14ac:dyDescent="0.25">
      <c r="A1680" s="53"/>
      <c r="B1680" s="58"/>
      <c r="C1680" s="58"/>
      <c r="D1680" s="35"/>
      <c r="E1680" s="129"/>
      <c r="F1680" s="129"/>
      <c r="G1680" s="129"/>
      <c r="H1680" s="129"/>
      <c r="I1680" s="129"/>
      <c r="J1680" s="129"/>
      <c r="K1680" s="129"/>
      <c r="L1680" s="129"/>
      <c r="M1680" s="129"/>
      <c r="N1680" s="129"/>
      <c r="O1680" s="129"/>
      <c r="P1680" s="148"/>
      <c r="Q1680" s="174"/>
    </row>
    <row r="1681" spans="1:17" s="28" customFormat="1" x14ac:dyDescent="0.25">
      <c r="A1681" s="53"/>
      <c r="B1681" s="58"/>
      <c r="C1681" s="58"/>
      <c r="D1681" s="35"/>
      <c r="E1681" s="129"/>
      <c r="F1681" s="129"/>
      <c r="G1681" s="129"/>
      <c r="H1681" s="129"/>
      <c r="I1681" s="129"/>
      <c r="J1681" s="129"/>
      <c r="K1681" s="129"/>
      <c r="L1681" s="129"/>
      <c r="M1681" s="129"/>
      <c r="N1681" s="129"/>
      <c r="O1681" s="129"/>
      <c r="P1681" s="148"/>
      <c r="Q1681" s="174"/>
    </row>
    <row r="1682" spans="1:17" s="28" customFormat="1" x14ac:dyDescent="0.25">
      <c r="A1682" s="53"/>
      <c r="B1682" s="58"/>
      <c r="C1682" s="58"/>
      <c r="D1682" s="35"/>
      <c r="E1682" s="129"/>
      <c r="F1682" s="129"/>
      <c r="G1682" s="129"/>
      <c r="H1682" s="129"/>
      <c r="I1682" s="129"/>
      <c r="J1682" s="129"/>
      <c r="K1682" s="129"/>
      <c r="L1682" s="129"/>
      <c r="M1682" s="129"/>
      <c r="N1682" s="129"/>
      <c r="O1682" s="129"/>
      <c r="P1682" s="148"/>
      <c r="Q1682" s="174"/>
    </row>
    <row r="1683" spans="1:17" s="28" customFormat="1" x14ac:dyDescent="0.25">
      <c r="A1683" s="53"/>
      <c r="B1683" s="58"/>
      <c r="C1683" s="58"/>
      <c r="D1683" s="35"/>
      <c r="E1683" s="129"/>
      <c r="F1683" s="129"/>
      <c r="G1683" s="129"/>
      <c r="H1683" s="129"/>
      <c r="I1683" s="129"/>
      <c r="J1683" s="129"/>
      <c r="K1683" s="129"/>
      <c r="L1683" s="129"/>
      <c r="M1683" s="129"/>
      <c r="N1683" s="129"/>
      <c r="O1683" s="129"/>
      <c r="P1683" s="148"/>
      <c r="Q1683" s="174"/>
    </row>
    <row r="1684" spans="1:17" s="28" customFormat="1" x14ac:dyDescent="0.25">
      <c r="A1684" s="53"/>
      <c r="B1684" s="58"/>
      <c r="C1684" s="58"/>
      <c r="D1684" s="35"/>
      <c r="E1684" s="129"/>
      <c r="F1684" s="129"/>
      <c r="G1684" s="129"/>
      <c r="H1684" s="129"/>
      <c r="I1684" s="129"/>
      <c r="J1684" s="129"/>
      <c r="K1684" s="129"/>
      <c r="L1684" s="129"/>
      <c r="M1684" s="129"/>
      <c r="N1684" s="129"/>
      <c r="O1684" s="129"/>
      <c r="P1684" s="148"/>
      <c r="Q1684" s="174"/>
    </row>
    <row r="1685" spans="1:17" s="28" customFormat="1" x14ac:dyDescent="0.25">
      <c r="A1685" s="53"/>
      <c r="B1685" s="58"/>
      <c r="C1685" s="58"/>
      <c r="D1685" s="35"/>
      <c r="E1685" s="129"/>
      <c r="F1685" s="129"/>
      <c r="G1685" s="129"/>
      <c r="H1685" s="129"/>
      <c r="I1685" s="129"/>
      <c r="J1685" s="129"/>
      <c r="K1685" s="129"/>
      <c r="L1685" s="129"/>
      <c r="M1685" s="129"/>
      <c r="N1685" s="129"/>
      <c r="O1685" s="129"/>
      <c r="P1685" s="148"/>
      <c r="Q1685" s="174"/>
    </row>
    <row r="1686" spans="1:17" s="28" customFormat="1" x14ac:dyDescent="0.25">
      <c r="A1686" s="53"/>
      <c r="B1686" s="58"/>
      <c r="C1686" s="58"/>
      <c r="D1686" s="35"/>
      <c r="E1686" s="129"/>
      <c r="F1686" s="129"/>
      <c r="G1686" s="129"/>
      <c r="H1686" s="129"/>
      <c r="I1686" s="129"/>
      <c r="J1686" s="129"/>
      <c r="K1686" s="129"/>
      <c r="L1686" s="129"/>
      <c r="M1686" s="129"/>
      <c r="N1686" s="129"/>
      <c r="O1686" s="129"/>
      <c r="P1686" s="148"/>
      <c r="Q1686" s="174"/>
    </row>
    <row r="1687" spans="1:17" s="28" customFormat="1" x14ac:dyDescent="0.25">
      <c r="A1687" s="53"/>
      <c r="B1687" s="58"/>
      <c r="C1687" s="58"/>
      <c r="D1687" s="35"/>
      <c r="E1687" s="129"/>
      <c r="F1687" s="129"/>
      <c r="G1687" s="129"/>
      <c r="H1687" s="129"/>
      <c r="I1687" s="129"/>
      <c r="J1687" s="129"/>
      <c r="K1687" s="129"/>
      <c r="L1687" s="129"/>
      <c r="M1687" s="129"/>
      <c r="N1687" s="129"/>
      <c r="O1687" s="129"/>
      <c r="P1687" s="148"/>
      <c r="Q1687" s="174"/>
    </row>
    <row r="1688" spans="1:17" s="28" customFormat="1" x14ac:dyDescent="0.25">
      <c r="A1688" s="53"/>
      <c r="B1688" s="58"/>
      <c r="C1688" s="58"/>
      <c r="D1688" s="35"/>
      <c r="E1688" s="129"/>
      <c r="F1688" s="129"/>
      <c r="G1688" s="129"/>
      <c r="H1688" s="129"/>
      <c r="I1688" s="129"/>
      <c r="J1688" s="129"/>
      <c r="K1688" s="129"/>
      <c r="L1688" s="129"/>
      <c r="M1688" s="129"/>
      <c r="N1688" s="129"/>
      <c r="O1688" s="129"/>
      <c r="P1688" s="148"/>
      <c r="Q1688" s="174"/>
    </row>
    <row r="1689" spans="1:17" s="28" customFormat="1" x14ac:dyDescent="0.25">
      <c r="A1689" s="53"/>
      <c r="B1689" s="58"/>
      <c r="C1689" s="58"/>
      <c r="D1689" s="35"/>
      <c r="E1689" s="129"/>
      <c r="F1689" s="129"/>
      <c r="G1689" s="129"/>
      <c r="H1689" s="129"/>
      <c r="I1689" s="129"/>
      <c r="J1689" s="129"/>
      <c r="K1689" s="129"/>
      <c r="L1689" s="129"/>
      <c r="M1689" s="129"/>
      <c r="N1689" s="129"/>
      <c r="O1689" s="129"/>
      <c r="P1689" s="148"/>
      <c r="Q1689" s="174"/>
    </row>
    <row r="1690" spans="1:17" s="28" customFormat="1" x14ac:dyDescent="0.25">
      <c r="A1690" s="53"/>
      <c r="B1690" s="58"/>
      <c r="C1690" s="58"/>
      <c r="D1690" s="35"/>
      <c r="E1690" s="129"/>
      <c r="F1690" s="129"/>
      <c r="G1690" s="129"/>
      <c r="H1690" s="129"/>
      <c r="I1690" s="129"/>
      <c r="J1690" s="129"/>
      <c r="K1690" s="129"/>
      <c r="L1690" s="129"/>
      <c r="M1690" s="129"/>
      <c r="N1690" s="129"/>
      <c r="O1690" s="129"/>
      <c r="P1690" s="148"/>
      <c r="Q1690" s="174"/>
    </row>
    <row r="1691" spans="1:17" s="28" customFormat="1" x14ac:dyDescent="0.25">
      <c r="A1691" s="53"/>
      <c r="B1691" s="58"/>
      <c r="C1691" s="58"/>
      <c r="D1691" s="35"/>
      <c r="E1691" s="129"/>
      <c r="F1691" s="129"/>
      <c r="G1691" s="129"/>
      <c r="H1691" s="129"/>
      <c r="I1691" s="129"/>
      <c r="J1691" s="129"/>
      <c r="K1691" s="129"/>
      <c r="L1691" s="129"/>
      <c r="M1691" s="129"/>
      <c r="N1691" s="129"/>
      <c r="O1691" s="129"/>
      <c r="P1691" s="148"/>
      <c r="Q1691" s="174"/>
    </row>
    <row r="1692" spans="1:17" s="28" customFormat="1" x14ac:dyDescent="0.25">
      <c r="A1692" s="53"/>
      <c r="B1692" s="58"/>
      <c r="C1692" s="58"/>
      <c r="D1692" s="35"/>
      <c r="E1692" s="129"/>
      <c r="F1692" s="129"/>
      <c r="G1692" s="129"/>
      <c r="H1692" s="129"/>
      <c r="I1692" s="129"/>
      <c r="J1692" s="129"/>
      <c r="K1692" s="129"/>
      <c r="L1692" s="129"/>
      <c r="M1692" s="129"/>
      <c r="N1692" s="129"/>
      <c r="O1692" s="129"/>
      <c r="P1692" s="148"/>
      <c r="Q1692" s="174"/>
    </row>
    <row r="1693" spans="1:17" s="28" customFormat="1" x14ac:dyDescent="0.25">
      <c r="A1693" s="53"/>
      <c r="B1693" s="58"/>
      <c r="C1693" s="58"/>
      <c r="D1693" s="35"/>
      <c r="E1693" s="129"/>
      <c r="F1693" s="129"/>
      <c r="G1693" s="129"/>
      <c r="H1693" s="129"/>
      <c r="I1693" s="129"/>
      <c r="J1693" s="129"/>
      <c r="K1693" s="129"/>
      <c r="L1693" s="129"/>
      <c r="M1693" s="129"/>
      <c r="N1693" s="129"/>
      <c r="O1693" s="129"/>
      <c r="P1693" s="148"/>
      <c r="Q1693" s="174"/>
    </row>
    <row r="1694" spans="1:17" s="28" customFormat="1" x14ac:dyDescent="0.25">
      <c r="A1694" s="53"/>
      <c r="B1694" s="58"/>
      <c r="C1694" s="58"/>
      <c r="D1694" s="35"/>
      <c r="E1694" s="129"/>
      <c r="F1694" s="129"/>
      <c r="G1694" s="129"/>
      <c r="H1694" s="129"/>
      <c r="I1694" s="129"/>
      <c r="J1694" s="129"/>
      <c r="K1694" s="129"/>
      <c r="L1694" s="129"/>
      <c r="M1694" s="129"/>
      <c r="N1694" s="129"/>
      <c r="O1694" s="129"/>
      <c r="P1694" s="148"/>
      <c r="Q1694" s="174"/>
    </row>
    <row r="1695" spans="1:17" s="28" customFormat="1" x14ac:dyDescent="0.25">
      <c r="A1695" s="53"/>
      <c r="B1695" s="58"/>
      <c r="C1695" s="58"/>
      <c r="D1695" s="35"/>
      <c r="E1695" s="129"/>
      <c r="F1695" s="129"/>
      <c r="G1695" s="129"/>
      <c r="H1695" s="129"/>
      <c r="I1695" s="129"/>
      <c r="J1695" s="129"/>
      <c r="K1695" s="129"/>
      <c r="L1695" s="129"/>
      <c r="M1695" s="129"/>
      <c r="N1695" s="129"/>
      <c r="O1695" s="129"/>
      <c r="P1695" s="148"/>
      <c r="Q1695" s="174"/>
    </row>
    <row r="1696" spans="1:17" s="28" customFormat="1" x14ac:dyDescent="0.25">
      <c r="A1696" s="53"/>
      <c r="B1696" s="58"/>
      <c r="C1696" s="58"/>
      <c r="D1696" s="35"/>
      <c r="E1696" s="129"/>
      <c r="F1696" s="129"/>
      <c r="G1696" s="129"/>
      <c r="H1696" s="129"/>
      <c r="I1696" s="129"/>
      <c r="J1696" s="129"/>
      <c r="K1696" s="129"/>
      <c r="L1696" s="129"/>
      <c r="M1696" s="129"/>
      <c r="N1696" s="129"/>
      <c r="O1696" s="129"/>
      <c r="P1696" s="148"/>
      <c r="Q1696" s="174"/>
    </row>
    <row r="1697" spans="1:17" s="28" customFormat="1" x14ac:dyDescent="0.25">
      <c r="A1697" s="53"/>
      <c r="B1697" s="58"/>
      <c r="C1697" s="58"/>
      <c r="D1697" s="35"/>
      <c r="E1697" s="129"/>
      <c r="F1697" s="129"/>
      <c r="G1697" s="129"/>
      <c r="H1697" s="129"/>
      <c r="I1697" s="129"/>
      <c r="J1697" s="129"/>
      <c r="K1697" s="129"/>
      <c r="L1697" s="129"/>
      <c r="M1697" s="129"/>
      <c r="N1697" s="129"/>
      <c r="O1697" s="129"/>
      <c r="P1697" s="148"/>
      <c r="Q1697" s="174"/>
    </row>
    <row r="1698" spans="1:17" s="28" customFormat="1" x14ac:dyDescent="0.25">
      <c r="A1698" s="53"/>
      <c r="B1698" s="58"/>
      <c r="C1698" s="58"/>
      <c r="D1698" s="35"/>
      <c r="E1698" s="129"/>
      <c r="F1698" s="129"/>
      <c r="G1698" s="129"/>
      <c r="H1698" s="129"/>
      <c r="I1698" s="129"/>
      <c r="J1698" s="129"/>
      <c r="K1698" s="129"/>
      <c r="L1698" s="129"/>
      <c r="M1698" s="129"/>
      <c r="N1698" s="129"/>
      <c r="O1698" s="129"/>
      <c r="P1698" s="148"/>
      <c r="Q1698" s="174"/>
    </row>
    <row r="1699" spans="1:17" s="28" customFormat="1" x14ac:dyDescent="0.25">
      <c r="A1699" s="53"/>
      <c r="B1699" s="58"/>
      <c r="C1699" s="58"/>
      <c r="D1699" s="35"/>
      <c r="E1699" s="129"/>
      <c r="F1699" s="129"/>
      <c r="G1699" s="129"/>
      <c r="H1699" s="129"/>
      <c r="I1699" s="129"/>
      <c r="J1699" s="129"/>
      <c r="K1699" s="129"/>
      <c r="L1699" s="129"/>
      <c r="M1699" s="129"/>
      <c r="N1699" s="129"/>
      <c r="O1699" s="129"/>
      <c r="P1699" s="148"/>
      <c r="Q1699" s="174"/>
    </row>
    <row r="1700" spans="1:17" s="28" customFormat="1" x14ac:dyDescent="0.25">
      <c r="A1700" s="53"/>
      <c r="B1700" s="58"/>
      <c r="C1700" s="58"/>
      <c r="D1700" s="35"/>
      <c r="E1700" s="129"/>
      <c r="F1700" s="129"/>
      <c r="G1700" s="129"/>
      <c r="H1700" s="129"/>
      <c r="I1700" s="129"/>
      <c r="J1700" s="129"/>
      <c r="K1700" s="129"/>
      <c r="L1700" s="129"/>
      <c r="M1700" s="129"/>
      <c r="N1700" s="129"/>
      <c r="O1700" s="129"/>
      <c r="P1700" s="148"/>
      <c r="Q1700" s="174"/>
    </row>
    <row r="1701" spans="1:17" s="28" customFormat="1" x14ac:dyDescent="0.25">
      <c r="A1701" s="53"/>
      <c r="B1701" s="58"/>
      <c r="C1701" s="58"/>
      <c r="D1701" s="35"/>
      <c r="E1701" s="129"/>
      <c r="F1701" s="129"/>
      <c r="G1701" s="129"/>
      <c r="H1701" s="129"/>
      <c r="I1701" s="129"/>
      <c r="J1701" s="129"/>
      <c r="K1701" s="129"/>
      <c r="L1701" s="129"/>
      <c r="M1701" s="129"/>
      <c r="N1701" s="129"/>
      <c r="O1701" s="129"/>
      <c r="P1701" s="148"/>
      <c r="Q1701" s="174"/>
    </row>
    <row r="1702" spans="1:17" s="28" customFormat="1" x14ac:dyDescent="0.25">
      <c r="A1702" s="53"/>
      <c r="B1702" s="58"/>
      <c r="C1702" s="58"/>
      <c r="D1702" s="35"/>
      <c r="E1702" s="129"/>
      <c r="F1702" s="129"/>
      <c r="G1702" s="129"/>
      <c r="H1702" s="129"/>
      <c r="I1702" s="129"/>
      <c r="J1702" s="129"/>
      <c r="K1702" s="129"/>
      <c r="L1702" s="129"/>
      <c r="M1702" s="129"/>
      <c r="N1702" s="129"/>
      <c r="O1702" s="129"/>
      <c r="P1702" s="148"/>
      <c r="Q1702" s="174"/>
    </row>
    <row r="1703" spans="1:17" s="28" customFormat="1" x14ac:dyDescent="0.25">
      <c r="A1703" s="53"/>
      <c r="B1703" s="58"/>
      <c r="C1703" s="58"/>
      <c r="D1703" s="35"/>
      <c r="E1703" s="129"/>
      <c r="F1703" s="129"/>
      <c r="G1703" s="129"/>
      <c r="H1703" s="129"/>
      <c r="I1703" s="129"/>
      <c r="J1703" s="129"/>
      <c r="K1703" s="129"/>
      <c r="L1703" s="129"/>
      <c r="M1703" s="129"/>
      <c r="N1703" s="129"/>
      <c r="O1703" s="129"/>
      <c r="P1703" s="148"/>
      <c r="Q1703" s="174"/>
    </row>
    <row r="1704" spans="1:17" s="28" customFormat="1" x14ac:dyDescent="0.25">
      <c r="A1704" s="53"/>
      <c r="B1704" s="58"/>
      <c r="C1704" s="58"/>
      <c r="D1704" s="35"/>
      <c r="E1704" s="129"/>
      <c r="F1704" s="129"/>
      <c r="G1704" s="129"/>
      <c r="H1704" s="129"/>
      <c r="I1704" s="129"/>
      <c r="J1704" s="129"/>
      <c r="K1704" s="129"/>
      <c r="L1704" s="129"/>
      <c r="M1704" s="129"/>
      <c r="N1704" s="129"/>
      <c r="O1704" s="129"/>
      <c r="P1704" s="148"/>
      <c r="Q1704" s="174"/>
    </row>
    <row r="1705" spans="1:17" s="28" customFormat="1" x14ac:dyDescent="0.25">
      <c r="A1705" s="53"/>
      <c r="B1705" s="58"/>
      <c r="C1705" s="58"/>
      <c r="D1705" s="35"/>
      <c r="E1705" s="129"/>
      <c r="F1705" s="129"/>
      <c r="G1705" s="129"/>
      <c r="H1705" s="129"/>
      <c r="I1705" s="129"/>
      <c r="J1705" s="129"/>
      <c r="K1705" s="129"/>
      <c r="L1705" s="129"/>
      <c r="M1705" s="129"/>
      <c r="N1705" s="129"/>
      <c r="O1705" s="129"/>
      <c r="P1705" s="148"/>
      <c r="Q1705" s="174"/>
    </row>
    <row r="1706" spans="1:17" s="28" customFormat="1" x14ac:dyDescent="0.25">
      <c r="A1706" s="53"/>
      <c r="B1706" s="58"/>
      <c r="C1706" s="58"/>
      <c r="D1706" s="35"/>
      <c r="E1706" s="129"/>
      <c r="F1706" s="129"/>
      <c r="G1706" s="129"/>
      <c r="H1706" s="129"/>
      <c r="I1706" s="129"/>
      <c r="J1706" s="129"/>
      <c r="K1706" s="129"/>
      <c r="L1706" s="129"/>
      <c r="M1706" s="129"/>
      <c r="N1706" s="129"/>
      <c r="O1706" s="129"/>
      <c r="P1706" s="148"/>
      <c r="Q1706" s="174"/>
    </row>
    <row r="1707" spans="1:17" s="28" customFormat="1" x14ac:dyDescent="0.25">
      <c r="A1707" s="53"/>
      <c r="B1707" s="58"/>
      <c r="C1707" s="58"/>
      <c r="D1707" s="35"/>
      <c r="E1707" s="129"/>
      <c r="F1707" s="129"/>
      <c r="G1707" s="129"/>
      <c r="H1707" s="129"/>
      <c r="I1707" s="129"/>
      <c r="J1707" s="129"/>
      <c r="K1707" s="129"/>
      <c r="L1707" s="129"/>
      <c r="M1707" s="129"/>
      <c r="N1707" s="129"/>
      <c r="O1707" s="129"/>
      <c r="P1707" s="148"/>
      <c r="Q1707" s="174"/>
    </row>
    <row r="1708" spans="1:17" s="28" customFormat="1" x14ac:dyDescent="0.25">
      <c r="A1708" s="53"/>
      <c r="B1708" s="58"/>
      <c r="C1708" s="58"/>
      <c r="D1708" s="35"/>
      <c r="E1708" s="129"/>
      <c r="F1708" s="129"/>
      <c r="G1708" s="129"/>
      <c r="H1708" s="129"/>
      <c r="I1708" s="129"/>
      <c r="J1708" s="129"/>
      <c r="K1708" s="129"/>
      <c r="L1708" s="129"/>
      <c r="M1708" s="129"/>
      <c r="N1708" s="129"/>
      <c r="O1708" s="129"/>
      <c r="P1708" s="148"/>
      <c r="Q1708" s="174"/>
    </row>
    <row r="1709" spans="1:17" s="28" customFormat="1" x14ac:dyDescent="0.25">
      <c r="A1709" s="53"/>
      <c r="B1709" s="58"/>
      <c r="C1709" s="58"/>
      <c r="D1709" s="35"/>
      <c r="E1709" s="129"/>
      <c r="F1709" s="129"/>
      <c r="G1709" s="129"/>
      <c r="H1709" s="129"/>
      <c r="I1709" s="129"/>
      <c r="J1709" s="129"/>
      <c r="K1709" s="129"/>
      <c r="L1709" s="129"/>
      <c r="M1709" s="129"/>
      <c r="N1709" s="129"/>
      <c r="O1709" s="129"/>
      <c r="P1709" s="148"/>
      <c r="Q1709" s="174"/>
    </row>
    <row r="1710" spans="1:17" s="28" customFormat="1" x14ac:dyDescent="0.25">
      <c r="A1710" s="53"/>
      <c r="B1710" s="58"/>
      <c r="C1710" s="58"/>
      <c r="D1710" s="35"/>
      <c r="E1710" s="129"/>
      <c r="F1710" s="129"/>
      <c r="G1710" s="129"/>
      <c r="H1710" s="129"/>
      <c r="I1710" s="129"/>
      <c r="J1710" s="129"/>
      <c r="K1710" s="129"/>
      <c r="L1710" s="129"/>
      <c r="M1710" s="129"/>
      <c r="N1710" s="129"/>
      <c r="O1710" s="129"/>
      <c r="P1710" s="148"/>
      <c r="Q1710" s="174"/>
    </row>
    <row r="1711" spans="1:17" s="28" customFormat="1" x14ac:dyDescent="0.25">
      <c r="A1711" s="53"/>
      <c r="B1711" s="58"/>
      <c r="C1711" s="58"/>
      <c r="D1711" s="35"/>
      <c r="E1711" s="129"/>
      <c r="F1711" s="129"/>
      <c r="G1711" s="129"/>
      <c r="H1711" s="129"/>
      <c r="I1711" s="129"/>
      <c r="J1711" s="129"/>
      <c r="K1711" s="129"/>
      <c r="L1711" s="129"/>
      <c r="M1711" s="129"/>
      <c r="N1711" s="129"/>
      <c r="O1711" s="129"/>
      <c r="P1711" s="148"/>
      <c r="Q1711" s="174"/>
    </row>
    <row r="1712" spans="1:17" s="28" customFormat="1" x14ac:dyDescent="0.25">
      <c r="A1712" s="53"/>
      <c r="B1712" s="58"/>
      <c r="C1712" s="58"/>
      <c r="D1712" s="35"/>
      <c r="E1712" s="129"/>
      <c r="F1712" s="129"/>
      <c r="G1712" s="129"/>
      <c r="H1712" s="129"/>
      <c r="I1712" s="129"/>
      <c r="J1712" s="129"/>
      <c r="K1712" s="129"/>
      <c r="L1712" s="129"/>
      <c r="M1712" s="129"/>
      <c r="N1712" s="129"/>
      <c r="O1712" s="129"/>
      <c r="P1712" s="148"/>
      <c r="Q1712" s="174"/>
    </row>
    <row r="1713" spans="1:17" s="28" customFormat="1" x14ac:dyDescent="0.25">
      <c r="A1713" s="53"/>
      <c r="B1713" s="58"/>
      <c r="C1713" s="58"/>
      <c r="D1713" s="35"/>
      <c r="E1713" s="129"/>
      <c r="F1713" s="129"/>
      <c r="G1713" s="129"/>
      <c r="H1713" s="129"/>
      <c r="I1713" s="129"/>
      <c r="J1713" s="129"/>
      <c r="K1713" s="129"/>
      <c r="L1713" s="129"/>
      <c r="M1713" s="129"/>
      <c r="N1713" s="129"/>
      <c r="O1713" s="129"/>
      <c r="P1713" s="148"/>
      <c r="Q1713" s="174"/>
    </row>
    <row r="1714" spans="1:17" s="28" customFormat="1" x14ac:dyDescent="0.25">
      <c r="A1714" s="53"/>
      <c r="B1714" s="58"/>
      <c r="C1714" s="58"/>
      <c r="D1714" s="35"/>
      <c r="E1714" s="129"/>
      <c r="F1714" s="129"/>
      <c r="G1714" s="129"/>
      <c r="H1714" s="129"/>
      <c r="I1714" s="129"/>
      <c r="J1714" s="129"/>
      <c r="K1714" s="129"/>
      <c r="L1714" s="129"/>
      <c r="M1714" s="129"/>
      <c r="N1714" s="129"/>
      <c r="O1714" s="129"/>
      <c r="P1714" s="148"/>
      <c r="Q1714" s="174"/>
    </row>
    <row r="1715" spans="1:17" s="28" customFormat="1" x14ac:dyDescent="0.25">
      <c r="A1715" s="53"/>
      <c r="B1715" s="58"/>
      <c r="C1715" s="58"/>
      <c r="D1715" s="35"/>
      <c r="E1715" s="129"/>
      <c r="F1715" s="129"/>
      <c r="G1715" s="129"/>
      <c r="H1715" s="129"/>
      <c r="I1715" s="129"/>
      <c r="J1715" s="129"/>
      <c r="K1715" s="129"/>
      <c r="L1715" s="129"/>
      <c r="M1715" s="129"/>
      <c r="N1715" s="129"/>
      <c r="O1715" s="129"/>
      <c r="P1715" s="148"/>
      <c r="Q1715" s="174"/>
    </row>
    <row r="1716" spans="1:17" s="28" customFormat="1" x14ac:dyDescent="0.25">
      <c r="A1716" s="53"/>
      <c r="B1716" s="58"/>
      <c r="C1716" s="58"/>
      <c r="D1716" s="35"/>
      <c r="E1716" s="129"/>
      <c r="F1716" s="129"/>
      <c r="G1716" s="129"/>
      <c r="H1716" s="129"/>
      <c r="I1716" s="129"/>
      <c r="J1716" s="129"/>
      <c r="K1716" s="129"/>
      <c r="L1716" s="129"/>
      <c r="M1716" s="129"/>
      <c r="N1716" s="129"/>
      <c r="O1716" s="129"/>
      <c r="P1716" s="148"/>
      <c r="Q1716" s="174"/>
    </row>
    <row r="1717" spans="1:17" s="28" customFormat="1" x14ac:dyDescent="0.25">
      <c r="A1717" s="53"/>
      <c r="B1717" s="58"/>
      <c r="C1717" s="58"/>
      <c r="D1717" s="35"/>
      <c r="E1717" s="129"/>
      <c r="F1717" s="129"/>
      <c r="G1717" s="129"/>
      <c r="H1717" s="129"/>
      <c r="I1717" s="129"/>
      <c r="J1717" s="129"/>
      <c r="K1717" s="129"/>
      <c r="L1717" s="129"/>
      <c r="M1717" s="129"/>
      <c r="N1717" s="129"/>
      <c r="O1717" s="129"/>
      <c r="P1717" s="148"/>
      <c r="Q1717" s="174"/>
    </row>
    <row r="1718" spans="1:17" s="28" customFormat="1" x14ac:dyDescent="0.25">
      <c r="A1718" s="53"/>
      <c r="B1718" s="58"/>
      <c r="C1718" s="58"/>
      <c r="D1718" s="35"/>
      <c r="E1718" s="129"/>
      <c r="F1718" s="129"/>
      <c r="G1718" s="129"/>
      <c r="H1718" s="129"/>
      <c r="I1718" s="129"/>
      <c r="J1718" s="129"/>
      <c r="K1718" s="129"/>
      <c r="L1718" s="129"/>
      <c r="M1718" s="129"/>
      <c r="N1718" s="129"/>
      <c r="O1718" s="129"/>
      <c r="P1718" s="148"/>
      <c r="Q1718" s="174"/>
    </row>
    <row r="1719" spans="1:17" s="28" customFormat="1" x14ac:dyDescent="0.25">
      <c r="A1719" s="53"/>
      <c r="B1719" s="58"/>
      <c r="C1719" s="58"/>
      <c r="D1719" s="35"/>
      <c r="E1719" s="129"/>
      <c r="F1719" s="129"/>
      <c r="G1719" s="129"/>
      <c r="H1719" s="129"/>
      <c r="I1719" s="129"/>
      <c r="J1719" s="129"/>
      <c r="K1719" s="129"/>
      <c r="L1719" s="129"/>
      <c r="M1719" s="129"/>
      <c r="N1719" s="129"/>
      <c r="O1719" s="129"/>
      <c r="P1719" s="148"/>
      <c r="Q1719" s="174"/>
    </row>
  </sheetData>
  <mergeCells count="29">
    <mergeCell ref="E10:E11"/>
    <mergeCell ref="A6:P6"/>
    <mergeCell ref="A7:P7"/>
    <mergeCell ref="M10:N10"/>
    <mergeCell ref="O10:O11"/>
    <mergeCell ref="Q1:Q33"/>
    <mergeCell ref="Q34:Q61"/>
    <mergeCell ref="F10:F11"/>
    <mergeCell ref="E9:I9"/>
    <mergeCell ref="L10:L11"/>
    <mergeCell ref="A5:P5"/>
    <mergeCell ref="A9:A11"/>
    <mergeCell ref="C9:C11"/>
    <mergeCell ref="B9:B11"/>
    <mergeCell ref="D9:D11"/>
    <mergeCell ref="G10:H10"/>
    <mergeCell ref="J9:O9"/>
    <mergeCell ref="I10:I11"/>
    <mergeCell ref="P9:P11"/>
    <mergeCell ref="J10:J11"/>
    <mergeCell ref="K10:K11"/>
    <mergeCell ref="Q269:Q293"/>
    <mergeCell ref="Q294:Q324"/>
    <mergeCell ref="Q325:Q349"/>
    <mergeCell ref="Q62:Q93"/>
    <mergeCell ref="Q94:Q122"/>
    <mergeCell ref="Q124:Q182"/>
    <mergeCell ref="Q183:Q220"/>
    <mergeCell ref="Q221:Q268"/>
  </mergeCells>
  <phoneticPr fontId="3" type="noConversion"/>
  <printOptions horizontalCentered="1"/>
  <pageMargins left="0.19685039370078741" right="0" top="0.98425196850393704" bottom="0.59055118110236227" header="0.59055118110236227" footer="0.31496062992125984"/>
  <pageSetup paperSize="9" scale="43" fitToHeight="10" orientation="landscape" useFirstPageNumber="1" r:id="rId1"/>
  <headerFooter differentFirst="1" scaleWithDoc="0" alignWithMargins="0">
    <oddHeader>&amp;RПродовження додатку</oddHeader>
  </headerFooter>
  <rowBreaks count="3" manualBreakCount="3">
    <brk id="61" max="16" man="1"/>
    <brk id="215" max="16" man="1"/>
    <brk id="26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E313"/>
  <sheetViews>
    <sheetView showGridLines="0" showZeros="0" view="pageBreakPreview" topLeftCell="A122" zoomScale="55" zoomScaleNormal="87" zoomScaleSheetLayoutView="55" workbookViewId="0">
      <selection activeCell="A125" sqref="A125:XFD126"/>
    </sheetView>
  </sheetViews>
  <sheetFormatPr defaultColWidth="9.1640625" defaultRowHeight="15.75" x14ac:dyDescent="0.25"/>
  <cols>
    <col min="1" max="1" width="19.1640625" style="5" customWidth="1"/>
    <col min="2" max="2" width="23.83203125" style="1" customWidth="1"/>
    <col min="3" max="3" width="69" style="10" customWidth="1"/>
    <col min="4" max="4" width="23.1640625" style="153" customWidth="1"/>
    <col min="5" max="5" width="23.83203125" style="153" customWidth="1"/>
    <col min="6" max="6" width="25.33203125" style="153" customWidth="1"/>
    <col min="7" max="7" width="20.1640625" style="153" customWidth="1"/>
    <col min="8" max="8" width="21.1640625" style="153" customWidth="1"/>
    <col min="9" max="9" width="21.33203125" style="153" bestFit="1" customWidth="1"/>
    <col min="10" max="10" width="21.1640625" style="153" customWidth="1"/>
    <col min="11" max="11" width="21.33203125" style="153" customWidth="1"/>
    <col min="12" max="12" width="18" style="153" customWidth="1"/>
    <col min="13" max="13" width="18.83203125" style="153" customWidth="1"/>
    <col min="14" max="14" width="21.5" style="153" customWidth="1"/>
    <col min="15" max="15" width="22.83203125" style="153" customWidth="1"/>
    <col min="16" max="16" width="7.6640625" style="175" customWidth="1"/>
    <col min="17" max="16384" width="9.1640625" style="4"/>
  </cols>
  <sheetData>
    <row r="1" spans="1:16" ht="27.75" customHeight="1" x14ac:dyDescent="0.4">
      <c r="J1" s="163" t="s">
        <v>632</v>
      </c>
      <c r="K1" s="163"/>
      <c r="L1" s="163"/>
      <c r="M1" s="163"/>
      <c r="N1" s="163"/>
      <c r="O1" s="163"/>
      <c r="P1" s="194">
        <v>53</v>
      </c>
    </row>
    <row r="2" spans="1:16" ht="24" customHeight="1" x14ac:dyDescent="0.25">
      <c r="J2" s="164" t="s">
        <v>624</v>
      </c>
      <c r="K2" s="164"/>
      <c r="L2" s="164"/>
      <c r="M2" s="164"/>
      <c r="N2" s="164"/>
      <c r="O2" s="164"/>
      <c r="P2" s="194"/>
    </row>
    <row r="3" spans="1:16" ht="26.25" customHeight="1" x14ac:dyDescent="0.4">
      <c r="J3" s="163" t="s">
        <v>633</v>
      </c>
      <c r="K3" s="163"/>
      <c r="L3" s="163"/>
      <c r="M3" s="163"/>
      <c r="N3" s="163"/>
      <c r="O3" s="163"/>
      <c r="P3" s="194"/>
    </row>
    <row r="4" spans="1:16" ht="26.25" customHeight="1" x14ac:dyDescent="0.4">
      <c r="J4" s="163"/>
      <c r="K4" s="163"/>
      <c r="L4" s="163"/>
      <c r="M4" s="163"/>
      <c r="N4" s="163"/>
      <c r="O4" s="163"/>
      <c r="P4" s="194"/>
    </row>
    <row r="5" spans="1:16" ht="105.75" customHeight="1" x14ac:dyDescent="0.25">
      <c r="A5" s="190" t="s">
        <v>574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4"/>
    </row>
    <row r="6" spans="1:16" ht="23.25" customHeight="1" x14ac:dyDescent="0.25">
      <c r="A6" s="189" t="s">
        <v>552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94"/>
    </row>
    <row r="7" spans="1:16" ht="21" customHeight="1" x14ac:dyDescent="0.25">
      <c r="A7" s="187" t="s">
        <v>551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94"/>
    </row>
    <row r="8" spans="1:16" s="17" customFormat="1" ht="20.25" customHeight="1" x14ac:dyDescent="0.3">
      <c r="A8" s="14"/>
      <c r="B8" s="15"/>
      <c r="C8" s="16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32" t="s">
        <v>353</v>
      </c>
      <c r="P8" s="194"/>
    </row>
    <row r="9" spans="1:16" s="49" customFormat="1" ht="21.75" customHeight="1" x14ac:dyDescent="0.25">
      <c r="A9" s="191" t="s">
        <v>332</v>
      </c>
      <c r="B9" s="191" t="s">
        <v>322</v>
      </c>
      <c r="C9" s="191" t="s">
        <v>334</v>
      </c>
      <c r="D9" s="181" t="s">
        <v>221</v>
      </c>
      <c r="E9" s="181"/>
      <c r="F9" s="181"/>
      <c r="G9" s="181"/>
      <c r="H9" s="181"/>
      <c r="I9" s="181" t="s">
        <v>222</v>
      </c>
      <c r="J9" s="181"/>
      <c r="K9" s="181"/>
      <c r="L9" s="181"/>
      <c r="M9" s="181"/>
      <c r="N9" s="181"/>
      <c r="O9" s="181" t="s">
        <v>223</v>
      </c>
      <c r="P9" s="194"/>
    </row>
    <row r="10" spans="1:16" s="49" customFormat="1" ht="29.25" customHeight="1" x14ac:dyDescent="0.25">
      <c r="A10" s="191"/>
      <c r="B10" s="191"/>
      <c r="C10" s="191"/>
      <c r="D10" s="192" t="s">
        <v>323</v>
      </c>
      <c r="E10" s="192" t="s">
        <v>224</v>
      </c>
      <c r="F10" s="185" t="s">
        <v>225</v>
      </c>
      <c r="G10" s="185"/>
      <c r="H10" s="192" t="s">
        <v>226</v>
      </c>
      <c r="I10" s="192" t="s">
        <v>323</v>
      </c>
      <c r="J10" s="192" t="s">
        <v>324</v>
      </c>
      <c r="K10" s="192" t="s">
        <v>224</v>
      </c>
      <c r="L10" s="185" t="s">
        <v>225</v>
      </c>
      <c r="M10" s="185"/>
      <c r="N10" s="192" t="s">
        <v>226</v>
      </c>
      <c r="O10" s="181"/>
      <c r="P10" s="194"/>
    </row>
    <row r="11" spans="1:16" s="49" customFormat="1" ht="60.75" customHeight="1" x14ac:dyDescent="0.25">
      <c r="A11" s="191"/>
      <c r="B11" s="191"/>
      <c r="C11" s="191"/>
      <c r="D11" s="192"/>
      <c r="E11" s="192"/>
      <c r="F11" s="155" t="s">
        <v>227</v>
      </c>
      <c r="G11" s="155" t="s">
        <v>228</v>
      </c>
      <c r="H11" s="192"/>
      <c r="I11" s="192"/>
      <c r="J11" s="192"/>
      <c r="K11" s="192"/>
      <c r="L11" s="155" t="s">
        <v>227</v>
      </c>
      <c r="M11" s="155" t="s">
        <v>228</v>
      </c>
      <c r="N11" s="192"/>
      <c r="O11" s="181"/>
      <c r="P11" s="194"/>
    </row>
    <row r="12" spans="1:16" s="49" customFormat="1" ht="21" customHeight="1" x14ac:dyDescent="0.25">
      <c r="A12" s="7" t="s">
        <v>42</v>
      </c>
      <c r="B12" s="8"/>
      <c r="C12" s="9" t="s">
        <v>43</v>
      </c>
      <c r="D12" s="47">
        <f>D14+D15+D16+D17</f>
        <v>255779949</v>
      </c>
      <c r="E12" s="47">
        <f t="shared" ref="E12:O12" si="0">E14+E15+E16+E17</f>
        <v>255779949</v>
      </c>
      <c r="F12" s="47">
        <f>F14+F15+F16+F17</f>
        <v>188620000</v>
      </c>
      <c r="G12" s="47">
        <f t="shared" si="0"/>
        <v>8510800</v>
      </c>
      <c r="H12" s="47">
        <f t="shared" si="0"/>
        <v>0</v>
      </c>
      <c r="I12" s="47">
        <f t="shared" si="0"/>
        <v>2600000</v>
      </c>
      <c r="J12" s="47">
        <f t="shared" si="0"/>
        <v>800000</v>
      </c>
      <c r="K12" s="47">
        <f t="shared" si="0"/>
        <v>1752000</v>
      </c>
      <c r="L12" s="47">
        <f t="shared" si="0"/>
        <v>1106600</v>
      </c>
      <c r="M12" s="47">
        <f t="shared" si="0"/>
        <v>157500</v>
      </c>
      <c r="N12" s="47">
        <f t="shared" si="0"/>
        <v>848000</v>
      </c>
      <c r="O12" s="47">
        <f t="shared" si="0"/>
        <v>258379949</v>
      </c>
      <c r="P12" s="194"/>
    </row>
    <row r="13" spans="1:16" s="49" customFormat="1" ht="61.5" hidden="1" customHeight="1" x14ac:dyDescent="0.25">
      <c r="A13" s="7"/>
      <c r="B13" s="8"/>
      <c r="C13" s="9" t="s">
        <v>429</v>
      </c>
      <c r="D13" s="47">
        <f>D18</f>
        <v>0</v>
      </c>
      <c r="E13" s="47">
        <f t="shared" ref="E13:O13" si="1">E18</f>
        <v>0</v>
      </c>
      <c r="F13" s="47">
        <f t="shared" si="1"/>
        <v>0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47">
        <f t="shared" si="1"/>
        <v>0</v>
      </c>
      <c r="L13" s="47">
        <f t="shared" si="1"/>
        <v>0</v>
      </c>
      <c r="M13" s="47">
        <f t="shared" si="1"/>
        <v>0</v>
      </c>
      <c r="N13" s="47">
        <f t="shared" si="1"/>
        <v>0</v>
      </c>
      <c r="O13" s="47">
        <f t="shared" si="1"/>
        <v>0</v>
      </c>
      <c r="P13" s="194"/>
    </row>
    <row r="14" spans="1:16" ht="37.5" customHeight="1" x14ac:dyDescent="0.25">
      <c r="A14" s="37" t="s">
        <v>117</v>
      </c>
      <c r="B14" s="37" t="s">
        <v>45</v>
      </c>
      <c r="C14" s="6" t="s">
        <v>478</v>
      </c>
      <c r="D14" s="156">
        <f>'дод 3'!E16+'дод 3'!E76+'дод 3'!E138+'дод 3'!E172+'дод 3'!E213+'дод 3'!E221+'дод 3'!E238+'дод 3'!E282+'дод 3'!E287+'дод 3'!E311+'дод 3'!E319+'дод 3'!E322+'дод 3'!E330</f>
        <v>255342000</v>
      </c>
      <c r="E14" s="156">
        <f>'дод 3'!F16+'дод 3'!F76+'дод 3'!F138+'дод 3'!F172+'дод 3'!F213+'дод 3'!F221+'дод 3'!F238+'дод 3'!F282+'дод 3'!F287+'дод 3'!F311+'дод 3'!F319+'дод 3'!F322+'дод 3'!F330</f>
        <v>255342000</v>
      </c>
      <c r="F14" s="156">
        <f>'дод 3'!G16+'дод 3'!G76+'дод 3'!G138+'дод 3'!G172+'дод 3'!G213+'дод 3'!G221+'дод 3'!G238+'дод 3'!G282+'дод 3'!G287+'дод 3'!G311+'дод 3'!G319+'дод 3'!G322+'дод 3'!G330</f>
        <v>188620000</v>
      </c>
      <c r="G14" s="156">
        <f>'дод 3'!H16+'дод 3'!H76+'дод 3'!H138+'дод 3'!H172+'дод 3'!H213+'дод 3'!H221+'дод 3'!H238+'дод 3'!H282+'дод 3'!H287+'дод 3'!H311+'дод 3'!H319+'дод 3'!H322+'дод 3'!H330</f>
        <v>8510800</v>
      </c>
      <c r="H14" s="156">
        <f>'дод 3'!I16+'дод 3'!I76+'дод 3'!I138+'дод 3'!I172+'дод 3'!I213+'дод 3'!I221+'дод 3'!I238+'дод 3'!I282+'дод 3'!I287+'дод 3'!I311+'дод 3'!I319+'дод 3'!I322+'дод 3'!I330</f>
        <v>0</v>
      </c>
      <c r="I14" s="156">
        <f>'дод 3'!J16+'дод 3'!J76+'дод 3'!J138+'дод 3'!J172+'дод 3'!J213+'дод 3'!J221+'дод 3'!J238+'дод 3'!J282+'дод 3'!J287+'дод 3'!J311+'дод 3'!J319+'дод 3'!J322+'дод 3'!J330</f>
        <v>2600000</v>
      </c>
      <c r="J14" s="156">
        <f>'дод 3'!K16+'дод 3'!K76+'дод 3'!K138+'дод 3'!K172+'дод 3'!K213+'дод 3'!K221+'дод 3'!K238+'дод 3'!K282+'дод 3'!K287+'дод 3'!K311+'дод 3'!K319+'дод 3'!K322+'дод 3'!K330</f>
        <v>800000</v>
      </c>
      <c r="K14" s="156">
        <f>'дод 3'!L16+'дод 3'!L76+'дод 3'!L138+'дод 3'!L172+'дод 3'!L213+'дод 3'!L221+'дод 3'!L238+'дод 3'!L282+'дод 3'!L287+'дод 3'!L311+'дод 3'!L319+'дод 3'!L322+'дод 3'!L330</f>
        <v>1752000</v>
      </c>
      <c r="L14" s="156">
        <f>'дод 3'!M16+'дод 3'!M76+'дод 3'!M138+'дод 3'!M172+'дод 3'!M213+'дод 3'!M221+'дод 3'!M238+'дод 3'!M282+'дод 3'!M287+'дод 3'!M311+'дод 3'!M319+'дод 3'!M322+'дод 3'!M330</f>
        <v>1106600</v>
      </c>
      <c r="M14" s="156">
        <f>'дод 3'!N16+'дод 3'!N76+'дод 3'!N138+'дод 3'!N172+'дод 3'!N213+'дод 3'!N221+'дод 3'!N238+'дод 3'!N282+'дод 3'!N287+'дод 3'!N311+'дод 3'!N319+'дод 3'!N322+'дод 3'!N330</f>
        <v>157500</v>
      </c>
      <c r="N14" s="156">
        <f>'дод 3'!O16+'дод 3'!O76+'дод 3'!O138+'дод 3'!O172+'дод 3'!O213+'дод 3'!O221+'дод 3'!O238+'дод 3'!O282+'дод 3'!O287+'дод 3'!O311+'дод 3'!O319+'дод 3'!O322+'дод 3'!O330</f>
        <v>848000</v>
      </c>
      <c r="O14" s="156">
        <f>'дод 3'!P16+'дод 3'!P76+'дод 3'!P138+'дод 3'!P172+'дод 3'!P213+'дод 3'!P221+'дод 3'!P238+'дод 3'!P282+'дод 3'!P287+'дод 3'!P311+'дод 3'!P319+'дод 3'!P322+'дод 3'!P330</f>
        <v>257942000</v>
      </c>
      <c r="P14" s="194"/>
    </row>
    <row r="15" spans="1:16" ht="33" hidden="1" customHeight="1" x14ac:dyDescent="0.25">
      <c r="A15" s="55" t="s">
        <v>89</v>
      </c>
      <c r="B15" s="55" t="s">
        <v>449</v>
      </c>
      <c r="C15" s="6" t="s">
        <v>440</v>
      </c>
      <c r="D15" s="156">
        <f>'дод 3'!E17</f>
        <v>0</v>
      </c>
      <c r="E15" s="156">
        <f>'дод 3'!F17</f>
        <v>0</v>
      </c>
      <c r="F15" s="156">
        <f>'дод 3'!G17</f>
        <v>0</v>
      </c>
      <c r="G15" s="156">
        <f>'дод 3'!H17</f>
        <v>0</v>
      </c>
      <c r="H15" s="156">
        <f>'дод 3'!I17</f>
        <v>0</v>
      </c>
      <c r="I15" s="156">
        <f>'дод 3'!J17</f>
        <v>0</v>
      </c>
      <c r="J15" s="156">
        <f>'дод 3'!K17</f>
        <v>0</v>
      </c>
      <c r="K15" s="156">
        <f>'дод 3'!L17</f>
        <v>0</v>
      </c>
      <c r="L15" s="156">
        <f>'дод 3'!M17</f>
        <v>0</v>
      </c>
      <c r="M15" s="156">
        <f>'дод 3'!N17</f>
        <v>0</v>
      </c>
      <c r="N15" s="156">
        <f>'дод 3'!O17</f>
        <v>0</v>
      </c>
      <c r="O15" s="156">
        <f>'дод 3'!P17</f>
        <v>0</v>
      </c>
      <c r="P15" s="194"/>
    </row>
    <row r="16" spans="1:16" ht="22.5" customHeight="1" x14ac:dyDescent="0.25">
      <c r="A16" s="37" t="s">
        <v>44</v>
      </c>
      <c r="B16" s="37" t="s">
        <v>92</v>
      </c>
      <c r="C16" s="6" t="s">
        <v>239</v>
      </c>
      <c r="D16" s="156">
        <f>'дод 3'!E18+'дод 3'!E173+'дод 3'!E239</f>
        <v>437949</v>
      </c>
      <c r="E16" s="156">
        <f>'дод 3'!F18+'дод 3'!F173+'дод 3'!F239</f>
        <v>437949</v>
      </c>
      <c r="F16" s="156">
        <f>'дод 3'!G18+'дод 3'!G173+'дод 3'!G239</f>
        <v>0</v>
      </c>
      <c r="G16" s="156">
        <f>'дод 3'!H18+'дод 3'!H173+'дод 3'!H239</f>
        <v>0</v>
      </c>
      <c r="H16" s="156">
        <f>'дод 3'!I18+'дод 3'!I173+'дод 3'!I239</f>
        <v>0</v>
      </c>
      <c r="I16" s="156">
        <f>'дод 3'!J18+'дод 3'!J173+'дод 3'!J239</f>
        <v>0</v>
      </c>
      <c r="J16" s="156">
        <f>'дод 3'!K18+'дод 3'!K173+'дод 3'!K239</f>
        <v>0</v>
      </c>
      <c r="K16" s="156">
        <f>'дод 3'!L18+'дод 3'!L173+'дод 3'!L239</f>
        <v>0</v>
      </c>
      <c r="L16" s="156">
        <f>'дод 3'!M18+'дод 3'!M173+'дод 3'!M239</f>
        <v>0</v>
      </c>
      <c r="M16" s="156">
        <f>'дод 3'!N18+'дод 3'!N173+'дод 3'!N239</f>
        <v>0</v>
      </c>
      <c r="N16" s="156">
        <f>'дод 3'!O18+'дод 3'!O173+'дод 3'!O239</f>
        <v>0</v>
      </c>
      <c r="O16" s="156">
        <f>'дод 3'!P18+'дод 3'!P173+'дод 3'!P239</f>
        <v>437949</v>
      </c>
      <c r="P16" s="194"/>
    </row>
    <row r="17" spans="1:16" ht="27" hidden="1" customHeight="1" x14ac:dyDescent="0.25">
      <c r="A17" s="55" t="s">
        <v>425</v>
      </c>
      <c r="B17" s="55" t="s">
        <v>117</v>
      </c>
      <c r="C17" s="6" t="s">
        <v>426</v>
      </c>
      <c r="D17" s="156">
        <f>'дод 3'!E19</f>
        <v>0</v>
      </c>
      <c r="E17" s="156">
        <f>'дод 3'!F19</f>
        <v>0</v>
      </c>
      <c r="F17" s="156">
        <f>'дод 3'!G19</f>
        <v>0</v>
      </c>
      <c r="G17" s="156">
        <f>'дод 3'!H19</f>
        <v>0</v>
      </c>
      <c r="H17" s="156">
        <f>'дод 3'!I19</f>
        <v>0</v>
      </c>
      <c r="I17" s="156">
        <f>'дод 3'!J19</f>
        <v>0</v>
      </c>
      <c r="J17" s="156">
        <f>'дод 3'!K19</f>
        <v>0</v>
      </c>
      <c r="K17" s="156">
        <f>'дод 3'!L19</f>
        <v>0</v>
      </c>
      <c r="L17" s="156">
        <f>'дод 3'!M19</f>
        <v>0</v>
      </c>
      <c r="M17" s="156">
        <f>'дод 3'!N19</f>
        <v>0</v>
      </c>
      <c r="N17" s="156">
        <f>'дод 3'!O19</f>
        <v>0</v>
      </c>
      <c r="O17" s="156">
        <f>'дод 3'!P19</f>
        <v>0</v>
      </c>
      <c r="P17" s="194"/>
    </row>
    <row r="18" spans="1:16" s="51" customFormat="1" ht="63" hidden="1" customHeight="1" x14ac:dyDescent="0.25">
      <c r="A18" s="71"/>
      <c r="B18" s="80"/>
      <c r="C18" s="72" t="s">
        <v>429</v>
      </c>
      <c r="D18" s="157">
        <f>'дод 3'!E20</f>
        <v>0</v>
      </c>
      <c r="E18" s="157">
        <f>'дод 3'!F20</f>
        <v>0</v>
      </c>
      <c r="F18" s="157">
        <f>'дод 3'!G20</f>
        <v>0</v>
      </c>
      <c r="G18" s="157">
        <f>'дод 3'!H20</f>
        <v>0</v>
      </c>
      <c r="H18" s="157">
        <f>'дод 3'!I20</f>
        <v>0</v>
      </c>
      <c r="I18" s="157">
        <f>'дод 3'!J20</f>
        <v>0</v>
      </c>
      <c r="J18" s="157">
        <f>'дод 3'!K20</f>
        <v>0</v>
      </c>
      <c r="K18" s="157">
        <f>'дод 3'!L20</f>
        <v>0</v>
      </c>
      <c r="L18" s="157">
        <f>'дод 3'!M20</f>
        <v>0</v>
      </c>
      <c r="M18" s="157">
        <f>'дод 3'!N20</f>
        <v>0</v>
      </c>
      <c r="N18" s="157">
        <f>'дод 3'!O20</f>
        <v>0</v>
      </c>
      <c r="O18" s="157">
        <f>'дод 3'!P20</f>
        <v>0</v>
      </c>
      <c r="P18" s="194"/>
    </row>
    <row r="19" spans="1:16" s="49" customFormat="1" ht="18.75" customHeight="1" x14ac:dyDescent="0.25">
      <c r="A19" s="38" t="s">
        <v>46</v>
      </c>
      <c r="B19" s="39"/>
      <c r="C19" s="9" t="s">
        <v>397</v>
      </c>
      <c r="D19" s="47">
        <f>D31+D33+D40+D42+D43+D46+D48+D50+D53+D55+D56+D60+D61+D62+D63+D65+D66+D67+D69+D71+D73+D75+D57+D58</f>
        <v>1441721825.1800001</v>
      </c>
      <c r="E19" s="47">
        <f t="shared" ref="E19:O19" si="2">E31+E33+E40+E42+E43+E46+E48+E50+E53+E55+E56+E60+E61+E62+E63+E65+E66+E67+E69+E71+E73+E75+E57+E58</f>
        <v>1441721825.1800001</v>
      </c>
      <c r="F19" s="47">
        <f t="shared" si="2"/>
        <v>960523054</v>
      </c>
      <c r="G19" s="47">
        <f t="shared" si="2"/>
        <v>158551050</v>
      </c>
      <c r="H19" s="47">
        <f t="shared" si="2"/>
        <v>0</v>
      </c>
      <c r="I19" s="47">
        <f t="shared" si="2"/>
        <v>127311405</v>
      </c>
      <c r="J19" s="47">
        <f t="shared" si="2"/>
        <v>30275036</v>
      </c>
      <c r="K19" s="47">
        <f t="shared" si="2"/>
        <v>96950549</v>
      </c>
      <c r="L19" s="47">
        <f t="shared" si="2"/>
        <v>8380846</v>
      </c>
      <c r="M19" s="47">
        <f t="shared" si="2"/>
        <v>5238893</v>
      </c>
      <c r="N19" s="47">
        <f t="shared" si="2"/>
        <v>30360856</v>
      </c>
      <c r="O19" s="47">
        <f t="shared" si="2"/>
        <v>1569033230.1800001</v>
      </c>
      <c r="P19" s="194"/>
    </row>
    <row r="20" spans="1:16" s="50" customFormat="1" ht="31.5" x14ac:dyDescent="0.25">
      <c r="A20" s="65"/>
      <c r="B20" s="68"/>
      <c r="C20" s="69" t="s">
        <v>384</v>
      </c>
      <c r="D20" s="158">
        <f>D44+D47+D49+D59</f>
        <v>514609700</v>
      </c>
      <c r="E20" s="158">
        <f t="shared" ref="E20:O20" si="3">E44+E47+E49+E59</f>
        <v>514609700</v>
      </c>
      <c r="F20" s="158">
        <f t="shared" si="3"/>
        <v>422305000</v>
      </c>
      <c r="G20" s="158">
        <f t="shared" si="3"/>
        <v>0</v>
      </c>
      <c r="H20" s="158">
        <f t="shared" si="3"/>
        <v>0</v>
      </c>
      <c r="I20" s="158">
        <f t="shared" si="3"/>
        <v>0</v>
      </c>
      <c r="J20" s="158">
        <f t="shared" si="3"/>
        <v>0</v>
      </c>
      <c r="K20" s="158">
        <f t="shared" si="3"/>
        <v>0</v>
      </c>
      <c r="L20" s="158">
        <f t="shared" si="3"/>
        <v>0</v>
      </c>
      <c r="M20" s="158">
        <f t="shared" si="3"/>
        <v>0</v>
      </c>
      <c r="N20" s="158">
        <f t="shared" si="3"/>
        <v>0</v>
      </c>
      <c r="O20" s="158">
        <f t="shared" si="3"/>
        <v>514609700</v>
      </c>
      <c r="P20" s="194"/>
    </row>
    <row r="21" spans="1:16" s="50" customFormat="1" ht="47.25" hidden="1" customHeight="1" x14ac:dyDescent="0.25">
      <c r="A21" s="65"/>
      <c r="B21" s="68"/>
      <c r="C21" s="70" t="s">
        <v>521</v>
      </c>
      <c r="D21" s="158">
        <f>D51</f>
        <v>0</v>
      </c>
      <c r="E21" s="158">
        <f t="shared" ref="E21:O21" si="4">E51</f>
        <v>0</v>
      </c>
      <c r="F21" s="158">
        <f t="shared" si="4"/>
        <v>0</v>
      </c>
      <c r="G21" s="158">
        <f t="shared" si="4"/>
        <v>0</v>
      </c>
      <c r="H21" s="158">
        <f t="shared" si="4"/>
        <v>0</v>
      </c>
      <c r="I21" s="158">
        <f t="shared" si="4"/>
        <v>0</v>
      </c>
      <c r="J21" s="158">
        <f t="shared" si="4"/>
        <v>0</v>
      </c>
      <c r="K21" s="158">
        <f t="shared" si="4"/>
        <v>0</v>
      </c>
      <c r="L21" s="158">
        <f t="shared" si="4"/>
        <v>0</v>
      </c>
      <c r="M21" s="158">
        <f t="shared" si="4"/>
        <v>0</v>
      </c>
      <c r="N21" s="158">
        <f t="shared" si="4"/>
        <v>0</v>
      </c>
      <c r="O21" s="158">
        <f t="shared" si="4"/>
        <v>0</v>
      </c>
      <c r="P21" s="194"/>
    </row>
    <row r="22" spans="1:16" s="50" customFormat="1" ht="47.25" x14ac:dyDescent="0.25">
      <c r="A22" s="65"/>
      <c r="B22" s="68"/>
      <c r="C22" s="69" t="s">
        <v>379</v>
      </c>
      <c r="D22" s="158">
        <f>D45+D64</f>
        <v>4019391</v>
      </c>
      <c r="E22" s="158">
        <f t="shared" ref="E22:O22" si="5">E45+E64</f>
        <v>4019391</v>
      </c>
      <c r="F22" s="158">
        <f t="shared" si="5"/>
        <v>1447762</v>
      </c>
      <c r="G22" s="158">
        <f t="shared" si="5"/>
        <v>0</v>
      </c>
      <c r="H22" s="158">
        <f t="shared" si="5"/>
        <v>0</v>
      </c>
      <c r="I22" s="158">
        <f t="shared" si="5"/>
        <v>0</v>
      </c>
      <c r="J22" s="158">
        <f t="shared" si="5"/>
        <v>0</v>
      </c>
      <c r="K22" s="158">
        <f t="shared" si="5"/>
        <v>0</v>
      </c>
      <c r="L22" s="158">
        <f t="shared" si="5"/>
        <v>0</v>
      </c>
      <c r="M22" s="158">
        <f t="shared" si="5"/>
        <v>0</v>
      </c>
      <c r="N22" s="158">
        <f t="shared" si="5"/>
        <v>0</v>
      </c>
      <c r="O22" s="158">
        <f t="shared" si="5"/>
        <v>4019391</v>
      </c>
      <c r="P22" s="194"/>
    </row>
    <row r="23" spans="1:16" s="50" customFormat="1" ht="47.25" hidden="1" customHeight="1" x14ac:dyDescent="0.25">
      <c r="A23" s="65"/>
      <c r="B23" s="68"/>
      <c r="C23" s="69" t="s">
        <v>381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94"/>
    </row>
    <row r="24" spans="1:16" s="50" customFormat="1" ht="62.25" customHeight="1" x14ac:dyDescent="0.25">
      <c r="A24" s="65"/>
      <c r="B24" s="68"/>
      <c r="C24" s="70" t="s">
        <v>378</v>
      </c>
      <c r="D24" s="158">
        <f>D74</f>
        <v>1322337.5</v>
      </c>
      <c r="E24" s="158">
        <f t="shared" ref="E24:O24" si="6">E74</f>
        <v>1322337.5</v>
      </c>
      <c r="F24" s="158">
        <f t="shared" si="6"/>
        <v>1083845.5</v>
      </c>
      <c r="G24" s="158">
        <f t="shared" si="6"/>
        <v>0</v>
      </c>
      <c r="H24" s="158">
        <f t="shared" si="6"/>
        <v>0</v>
      </c>
      <c r="I24" s="158">
        <f t="shared" si="6"/>
        <v>0</v>
      </c>
      <c r="J24" s="158">
        <f t="shared" si="6"/>
        <v>0</v>
      </c>
      <c r="K24" s="158">
        <f t="shared" si="6"/>
        <v>0</v>
      </c>
      <c r="L24" s="158">
        <f t="shared" si="6"/>
        <v>0</v>
      </c>
      <c r="M24" s="158">
        <f t="shared" si="6"/>
        <v>0</v>
      </c>
      <c r="N24" s="158">
        <f t="shared" si="6"/>
        <v>0</v>
      </c>
      <c r="O24" s="158">
        <f t="shared" si="6"/>
        <v>1322337.5</v>
      </c>
      <c r="P24" s="194"/>
    </row>
    <row r="25" spans="1:16" s="50" customFormat="1" ht="63" hidden="1" customHeight="1" x14ac:dyDescent="0.25">
      <c r="A25" s="65"/>
      <c r="B25" s="68"/>
      <c r="C25" s="69" t="s">
        <v>380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94"/>
    </row>
    <row r="26" spans="1:16" s="50" customFormat="1" ht="75.75" customHeight="1" x14ac:dyDescent="0.25">
      <c r="A26" s="65"/>
      <c r="B26" s="65"/>
      <c r="C26" s="70" t="s">
        <v>504</v>
      </c>
      <c r="D26" s="158">
        <f>D76</f>
        <v>429496.68</v>
      </c>
      <c r="E26" s="158">
        <f t="shared" ref="E26:O26" si="7">E76</f>
        <v>429496.68</v>
      </c>
      <c r="F26" s="158">
        <f t="shared" si="7"/>
        <v>352046.5</v>
      </c>
      <c r="G26" s="158">
        <f t="shared" si="7"/>
        <v>0</v>
      </c>
      <c r="H26" s="158">
        <f t="shared" si="7"/>
        <v>0</v>
      </c>
      <c r="I26" s="158">
        <f t="shared" si="7"/>
        <v>0</v>
      </c>
      <c r="J26" s="158">
        <f t="shared" si="7"/>
        <v>0</v>
      </c>
      <c r="K26" s="158">
        <f t="shared" si="7"/>
        <v>0</v>
      </c>
      <c r="L26" s="158">
        <f t="shared" si="7"/>
        <v>0</v>
      </c>
      <c r="M26" s="158">
        <f t="shared" si="7"/>
        <v>0</v>
      </c>
      <c r="N26" s="158">
        <f t="shared" si="7"/>
        <v>0</v>
      </c>
      <c r="O26" s="158">
        <f t="shared" si="7"/>
        <v>429496.68</v>
      </c>
      <c r="P26" s="194"/>
    </row>
    <row r="27" spans="1:16" s="50" customFormat="1" ht="31.5" hidden="1" customHeight="1" x14ac:dyDescent="0.25">
      <c r="A27" s="65"/>
      <c r="B27" s="65"/>
      <c r="C27" s="70" t="s">
        <v>518</v>
      </c>
      <c r="D27" s="158">
        <f>D52+D54</f>
        <v>0</v>
      </c>
      <c r="E27" s="158">
        <f t="shared" ref="E27:O27" si="8">E52+E54</f>
        <v>0</v>
      </c>
      <c r="F27" s="158">
        <f t="shared" si="8"/>
        <v>0</v>
      </c>
      <c r="G27" s="158">
        <f t="shared" si="8"/>
        <v>0</v>
      </c>
      <c r="H27" s="158">
        <f t="shared" si="8"/>
        <v>0</v>
      </c>
      <c r="I27" s="158">
        <f t="shared" si="8"/>
        <v>0</v>
      </c>
      <c r="J27" s="158">
        <f t="shared" si="8"/>
        <v>0</v>
      </c>
      <c r="K27" s="158">
        <f t="shared" si="8"/>
        <v>0</v>
      </c>
      <c r="L27" s="158">
        <f t="shared" si="8"/>
        <v>0</v>
      </c>
      <c r="M27" s="158">
        <f t="shared" si="8"/>
        <v>0</v>
      </c>
      <c r="N27" s="158">
        <f t="shared" si="8"/>
        <v>0</v>
      </c>
      <c r="O27" s="158">
        <f t="shared" si="8"/>
        <v>0</v>
      </c>
      <c r="P27" s="194"/>
    </row>
    <row r="28" spans="1:16" s="50" customFormat="1" ht="55.5" hidden="1" customHeight="1" x14ac:dyDescent="0.25">
      <c r="A28" s="65"/>
      <c r="B28" s="65"/>
      <c r="C28" s="70" t="s">
        <v>564</v>
      </c>
      <c r="D28" s="158">
        <f>D68</f>
        <v>0</v>
      </c>
      <c r="E28" s="158">
        <f t="shared" ref="E28:O28" si="9">E68</f>
        <v>0</v>
      </c>
      <c r="F28" s="158">
        <f t="shared" si="9"/>
        <v>0</v>
      </c>
      <c r="G28" s="158">
        <f t="shared" si="9"/>
        <v>0</v>
      </c>
      <c r="H28" s="158">
        <f t="shared" si="9"/>
        <v>0</v>
      </c>
      <c r="I28" s="158">
        <f t="shared" si="9"/>
        <v>0</v>
      </c>
      <c r="J28" s="158">
        <f t="shared" si="9"/>
        <v>0</v>
      </c>
      <c r="K28" s="158">
        <f t="shared" si="9"/>
        <v>0</v>
      </c>
      <c r="L28" s="158">
        <f t="shared" si="9"/>
        <v>0</v>
      </c>
      <c r="M28" s="158">
        <f t="shared" si="9"/>
        <v>0</v>
      </c>
      <c r="N28" s="158">
        <f t="shared" si="9"/>
        <v>0</v>
      </c>
      <c r="O28" s="158">
        <f t="shared" si="9"/>
        <v>0</v>
      </c>
      <c r="P28" s="194"/>
    </row>
    <row r="29" spans="1:16" s="50" customFormat="1" ht="63" hidden="1" customHeight="1" x14ac:dyDescent="0.25">
      <c r="A29" s="65"/>
      <c r="B29" s="65"/>
      <c r="C29" s="70" t="s">
        <v>536</v>
      </c>
      <c r="D29" s="158">
        <f>D72</f>
        <v>0</v>
      </c>
      <c r="E29" s="158">
        <f t="shared" ref="E29:O29" si="10">E72</f>
        <v>0</v>
      </c>
      <c r="F29" s="158">
        <f t="shared" si="10"/>
        <v>0</v>
      </c>
      <c r="G29" s="158">
        <f t="shared" si="10"/>
        <v>0</v>
      </c>
      <c r="H29" s="158">
        <f t="shared" si="10"/>
        <v>0</v>
      </c>
      <c r="I29" s="158">
        <f t="shared" si="10"/>
        <v>0</v>
      </c>
      <c r="J29" s="158">
        <f t="shared" si="10"/>
        <v>0</v>
      </c>
      <c r="K29" s="158">
        <f t="shared" si="10"/>
        <v>0</v>
      </c>
      <c r="L29" s="158">
        <f t="shared" si="10"/>
        <v>0</v>
      </c>
      <c r="M29" s="158">
        <f t="shared" si="10"/>
        <v>0</v>
      </c>
      <c r="N29" s="158">
        <f t="shared" si="10"/>
        <v>0</v>
      </c>
      <c r="O29" s="158">
        <f t="shared" si="10"/>
        <v>0</v>
      </c>
      <c r="P29" s="194"/>
    </row>
    <row r="30" spans="1:16" s="50" customFormat="1" ht="15.75" hidden="1" customHeight="1" x14ac:dyDescent="0.25">
      <c r="A30" s="65"/>
      <c r="B30" s="65"/>
      <c r="C30" s="70" t="s">
        <v>390</v>
      </c>
      <c r="D30" s="158">
        <f>D70</f>
        <v>0</v>
      </c>
      <c r="E30" s="158">
        <f t="shared" ref="E30:O30" si="11">E70</f>
        <v>0</v>
      </c>
      <c r="F30" s="158">
        <f t="shared" si="11"/>
        <v>0</v>
      </c>
      <c r="G30" s="158">
        <f t="shared" si="11"/>
        <v>0</v>
      </c>
      <c r="H30" s="158">
        <f t="shared" si="11"/>
        <v>0</v>
      </c>
      <c r="I30" s="158">
        <f t="shared" si="11"/>
        <v>0</v>
      </c>
      <c r="J30" s="158">
        <f t="shared" si="11"/>
        <v>0</v>
      </c>
      <c r="K30" s="158">
        <f t="shared" si="11"/>
        <v>0</v>
      </c>
      <c r="L30" s="158">
        <f t="shared" si="11"/>
        <v>0</v>
      </c>
      <c r="M30" s="158">
        <f t="shared" si="11"/>
        <v>0</v>
      </c>
      <c r="N30" s="158">
        <f t="shared" si="11"/>
        <v>0</v>
      </c>
      <c r="O30" s="158">
        <f t="shared" si="11"/>
        <v>0</v>
      </c>
      <c r="P30" s="194"/>
    </row>
    <row r="31" spans="1:16" ht="17.25" customHeight="1" x14ac:dyDescent="0.25">
      <c r="A31" s="37" t="s">
        <v>47</v>
      </c>
      <c r="B31" s="37" t="s">
        <v>48</v>
      </c>
      <c r="C31" s="6" t="s">
        <v>486</v>
      </c>
      <c r="D31" s="156">
        <f>'дод 3'!E77+'дод 3'!E288</f>
        <v>359431200</v>
      </c>
      <c r="E31" s="156">
        <f>'дод 3'!F77+'дод 3'!F288</f>
        <v>359431200</v>
      </c>
      <c r="F31" s="156">
        <f>'дод 3'!G77+'дод 3'!G288</f>
        <v>227938600</v>
      </c>
      <c r="G31" s="156">
        <f>'дод 3'!H77+'дод 3'!H288</f>
        <v>53183600</v>
      </c>
      <c r="H31" s="156">
        <f>'дод 3'!I77+'дод 3'!I288</f>
        <v>0</v>
      </c>
      <c r="I31" s="156">
        <f>'дод 3'!J77+'дод 3'!J288</f>
        <v>36639536</v>
      </c>
      <c r="J31" s="156">
        <f>'дод 3'!K77+'дод 3'!K288</f>
        <v>10613436</v>
      </c>
      <c r="K31" s="156">
        <f>'дод 3'!L77+'дод 3'!L288</f>
        <v>26026100</v>
      </c>
      <c r="L31" s="156">
        <f>'дод 3'!M77+'дод 3'!M288</f>
        <v>0</v>
      </c>
      <c r="M31" s="156">
        <f>'дод 3'!N77+'дод 3'!N288</f>
        <v>0</v>
      </c>
      <c r="N31" s="156">
        <f>'дод 3'!O77+'дод 3'!O288</f>
        <v>10613436</v>
      </c>
      <c r="O31" s="156">
        <f>'дод 3'!P77+'дод 3'!P288</f>
        <v>396070736</v>
      </c>
      <c r="P31" s="194"/>
    </row>
    <row r="32" spans="1:16" s="51" customFormat="1" ht="47.25" hidden="1" customHeight="1" x14ac:dyDescent="0.25">
      <c r="A32" s="71"/>
      <c r="B32" s="71"/>
      <c r="C32" s="72" t="s">
        <v>378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94"/>
    </row>
    <row r="33" spans="1:16" ht="38.25" customHeight="1" x14ac:dyDescent="0.25">
      <c r="A33" s="37">
        <v>1021</v>
      </c>
      <c r="B33" s="37" t="s">
        <v>50</v>
      </c>
      <c r="C33" s="57" t="s">
        <v>455</v>
      </c>
      <c r="D33" s="156">
        <f>'дод 3'!E78+'дод 3'!E289</f>
        <v>262217700</v>
      </c>
      <c r="E33" s="156">
        <f>'дод 3'!F78+'дод 3'!F289</f>
        <v>262217700</v>
      </c>
      <c r="F33" s="156">
        <f>'дод 3'!G78+'дод 3'!G289</f>
        <v>125370000</v>
      </c>
      <c r="G33" s="156">
        <f>'дод 3'!H78+'дод 3'!H289</f>
        <v>71767200</v>
      </c>
      <c r="H33" s="156">
        <f>'дод 3'!I78+'дод 3'!I289</f>
        <v>0</v>
      </c>
      <c r="I33" s="156">
        <f>'дод 3'!J78+'дод 3'!J289</f>
        <v>72792060</v>
      </c>
      <c r="J33" s="156">
        <f>'дод 3'!K78+'дод 3'!K289</f>
        <v>15322240</v>
      </c>
      <c r="K33" s="156">
        <f>'дод 3'!L78+'дод 3'!L289</f>
        <v>57469820</v>
      </c>
      <c r="L33" s="156">
        <f>'дод 3'!M78+'дод 3'!M289</f>
        <v>3254108</v>
      </c>
      <c r="M33" s="156">
        <f>'дод 3'!N78+'дод 3'!N289</f>
        <v>349209</v>
      </c>
      <c r="N33" s="156">
        <f>'дод 3'!O78+'дод 3'!O289</f>
        <v>15322240</v>
      </c>
      <c r="O33" s="156">
        <f>'дод 3'!P78+'дод 3'!P289</f>
        <v>335009760</v>
      </c>
      <c r="P33" s="194"/>
    </row>
    <row r="34" spans="1:16" s="51" customFormat="1" ht="63" hidden="1" customHeight="1" x14ac:dyDescent="0.25">
      <c r="A34" s="71"/>
      <c r="B34" s="71"/>
      <c r="C34" s="72" t="s">
        <v>382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94"/>
    </row>
    <row r="35" spans="1:16" s="51" customFormat="1" ht="47.25" hidden="1" customHeight="1" x14ac:dyDescent="0.25">
      <c r="A35" s="71"/>
      <c r="B35" s="71"/>
      <c r="C35" s="72" t="s">
        <v>379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94"/>
    </row>
    <row r="36" spans="1:16" s="51" customFormat="1" ht="47.25" hidden="1" customHeight="1" x14ac:dyDescent="0.25">
      <c r="A36" s="71"/>
      <c r="B36" s="71"/>
      <c r="C36" s="72" t="s">
        <v>381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94"/>
    </row>
    <row r="37" spans="1:16" s="51" customFormat="1" ht="47.25" hidden="1" customHeight="1" x14ac:dyDescent="0.25">
      <c r="A37" s="71"/>
      <c r="B37" s="71"/>
      <c r="C37" s="72" t="s">
        <v>378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94"/>
    </row>
    <row r="38" spans="1:16" s="51" customFormat="1" ht="31.5" hidden="1" customHeight="1" x14ac:dyDescent="0.25">
      <c r="A38" s="71"/>
      <c r="B38" s="71"/>
      <c r="C38" s="72" t="s">
        <v>384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94"/>
    </row>
    <row r="39" spans="1:16" s="51" customFormat="1" ht="63" hidden="1" customHeight="1" x14ac:dyDescent="0.25">
      <c r="A39" s="71"/>
      <c r="B39" s="71"/>
      <c r="C39" s="72" t="s">
        <v>380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94"/>
    </row>
    <row r="40" spans="1:16" ht="69.75" customHeight="1" x14ac:dyDescent="0.25">
      <c r="A40" s="37">
        <v>1022</v>
      </c>
      <c r="B40" s="56" t="s">
        <v>54</v>
      </c>
      <c r="C40" s="36" t="s">
        <v>457</v>
      </c>
      <c r="D40" s="156">
        <f>'дод 3'!E79+'дод 3'!E290</f>
        <v>17867500</v>
      </c>
      <c r="E40" s="156">
        <f>'дод 3'!F79+'дод 3'!F290</f>
        <v>17867500</v>
      </c>
      <c r="F40" s="156">
        <f>'дод 3'!G79+'дод 3'!G290</f>
        <v>9799000</v>
      </c>
      <c r="G40" s="156">
        <f>'дод 3'!H79+'дод 3'!H290</f>
        <v>3121200</v>
      </c>
      <c r="H40" s="156">
        <f>'дод 3'!I79+'дод 3'!I290</f>
        <v>0</v>
      </c>
      <c r="I40" s="156">
        <f>'дод 3'!J79+'дод 3'!J290</f>
        <v>1339360</v>
      </c>
      <c r="J40" s="156">
        <f>'дод 3'!K79+'дод 3'!K290</f>
        <v>1339360</v>
      </c>
      <c r="K40" s="156">
        <f>'дод 3'!L79+'дод 3'!L290</f>
        <v>0</v>
      </c>
      <c r="L40" s="156">
        <f>'дод 3'!M79+'дод 3'!M290</f>
        <v>0</v>
      </c>
      <c r="M40" s="156">
        <f>'дод 3'!N79+'дод 3'!N290</f>
        <v>0</v>
      </c>
      <c r="N40" s="156">
        <f>'дод 3'!O79+'дод 3'!O290</f>
        <v>1339360</v>
      </c>
      <c r="O40" s="156">
        <f>'дод 3'!P79+'дод 3'!P290</f>
        <v>19206860</v>
      </c>
      <c r="P40" s="194"/>
    </row>
    <row r="41" spans="1:16" ht="78.75" hidden="1" customHeight="1" x14ac:dyDescent="0.25">
      <c r="A41" s="37"/>
      <c r="B41" s="37"/>
      <c r="C41" s="72" t="s">
        <v>382</v>
      </c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94"/>
    </row>
    <row r="42" spans="1:16" ht="68.25" customHeight="1" x14ac:dyDescent="0.25">
      <c r="A42" s="37">
        <v>1025</v>
      </c>
      <c r="B42" s="37" t="s">
        <v>54</v>
      </c>
      <c r="C42" s="3" t="s">
        <v>560</v>
      </c>
      <c r="D42" s="156">
        <f>'дод 3'!E80</f>
        <v>12183400</v>
      </c>
      <c r="E42" s="156">
        <f>'дод 3'!F80</f>
        <v>12183400</v>
      </c>
      <c r="F42" s="156">
        <f>'дод 3'!G80</f>
        <v>8069700</v>
      </c>
      <c r="G42" s="156">
        <f>'дод 3'!H80</f>
        <v>1445800</v>
      </c>
      <c r="H42" s="156">
        <f>'дод 3'!I80</f>
        <v>0</v>
      </c>
      <c r="I42" s="156">
        <f>'дод 3'!J80</f>
        <v>200000</v>
      </c>
      <c r="J42" s="156">
        <f>'дод 3'!K80</f>
        <v>200000</v>
      </c>
      <c r="K42" s="156">
        <f>'дод 3'!L80</f>
        <v>0</v>
      </c>
      <c r="L42" s="156">
        <f>'дод 3'!M80</f>
        <v>0</v>
      </c>
      <c r="M42" s="156">
        <f>'дод 3'!N80</f>
        <v>0</v>
      </c>
      <c r="N42" s="156">
        <f>'дод 3'!O80</f>
        <v>200000</v>
      </c>
      <c r="O42" s="156">
        <f>'дод 3'!P80</f>
        <v>12383400</v>
      </c>
      <c r="P42" s="194"/>
    </row>
    <row r="43" spans="1:16" s="51" customFormat="1" ht="35.25" customHeight="1" x14ac:dyDescent="0.25">
      <c r="A43" s="84">
        <v>1031</v>
      </c>
      <c r="B43" s="56" t="s">
        <v>50</v>
      </c>
      <c r="C43" s="57" t="s">
        <v>487</v>
      </c>
      <c r="D43" s="156">
        <f>'дод 3'!E81</f>
        <v>479826073</v>
      </c>
      <c r="E43" s="156">
        <f>'дод 3'!F81</f>
        <v>479826073</v>
      </c>
      <c r="F43" s="156">
        <f>'дод 3'!G81</f>
        <v>391943400</v>
      </c>
      <c r="G43" s="156">
        <f>'дод 3'!H81</f>
        <v>0</v>
      </c>
      <c r="H43" s="156">
        <f>'дод 3'!I81</f>
        <v>0</v>
      </c>
      <c r="I43" s="156">
        <f>'дод 3'!J81</f>
        <v>0</v>
      </c>
      <c r="J43" s="156">
        <f>'дод 3'!K81</f>
        <v>0</v>
      </c>
      <c r="K43" s="156">
        <f>'дод 3'!L81</f>
        <v>0</v>
      </c>
      <c r="L43" s="156">
        <f>'дод 3'!M81</f>
        <v>0</v>
      </c>
      <c r="M43" s="156">
        <f>'дод 3'!N81</f>
        <v>0</v>
      </c>
      <c r="N43" s="156">
        <f>'дод 3'!O81</f>
        <v>0</v>
      </c>
      <c r="O43" s="156">
        <f>'дод 3'!P81</f>
        <v>479826073</v>
      </c>
      <c r="P43" s="194"/>
    </row>
    <row r="44" spans="1:16" s="51" customFormat="1" ht="31.5" x14ac:dyDescent="0.25">
      <c r="A44" s="71"/>
      <c r="B44" s="71"/>
      <c r="C44" s="79" t="s">
        <v>384</v>
      </c>
      <c r="D44" s="157">
        <f>'дод 3'!E82</f>
        <v>477563500</v>
      </c>
      <c r="E44" s="157">
        <f>'дод 3'!F82</f>
        <v>477563500</v>
      </c>
      <c r="F44" s="157">
        <f>'дод 3'!G82</f>
        <v>391943400</v>
      </c>
      <c r="G44" s="157">
        <f>'дод 3'!H82</f>
        <v>0</v>
      </c>
      <c r="H44" s="157">
        <f>'дод 3'!I82</f>
        <v>0</v>
      </c>
      <c r="I44" s="157">
        <f>'дод 3'!J82</f>
        <v>0</v>
      </c>
      <c r="J44" s="157">
        <f>'дод 3'!K82</f>
        <v>0</v>
      </c>
      <c r="K44" s="157">
        <f>'дод 3'!L82</f>
        <v>0</v>
      </c>
      <c r="L44" s="157">
        <f>'дод 3'!M82</f>
        <v>0</v>
      </c>
      <c r="M44" s="157">
        <f>'дод 3'!N82</f>
        <v>0</v>
      </c>
      <c r="N44" s="157">
        <f>'дод 3'!O82</f>
        <v>0</v>
      </c>
      <c r="O44" s="157">
        <f>'дод 3'!P82</f>
        <v>477563500</v>
      </c>
      <c r="P44" s="194"/>
    </row>
    <row r="45" spans="1:16" ht="50.25" customHeight="1" x14ac:dyDescent="0.25">
      <c r="A45" s="37"/>
      <c r="B45" s="37"/>
      <c r="C45" s="79" t="s">
        <v>379</v>
      </c>
      <c r="D45" s="157">
        <f>'дод 3'!E83</f>
        <v>2262573</v>
      </c>
      <c r="E45" s="157">
        <f>'дод 3'!F83</f>
        <v>2262573</v>
      </c>
      <c r="F45" s="157">
        <f>'дод 3'!G83</f>
        <v>0</v>
      </c>
      <c r="G45" s="157">
        <f>'дод 3'!H83</f>
        <v>0</v>
      </c>
      <c r="H45" s="157">
        <f>'дод 3'!I83</f>
        <v>0</v>
      </c>
      <c r="I45" s="157">
        <f>'дод 3'!J83</f>
        <v>0</v>
      </c>
      <c r="J45" s="157">
        <f>'дод 3'!K83</f>
        <v>0</v>
      </c>
      <c r="K45" s="157">
        <f>'дод 3'!L83</f>
        <v>0</v>
      </c>
      <c r="L45" s="157">
        <f>'дод 3'!M83</f>
        <v>0</v>
      </c>
      <c r="M45" s="157">
        <f>'дод 3'!N83</f>
        <v>0</v>
      </c>
      <c r="N45" s="157">
        <f>'дод 3'!O83</f>
        <v>0</v>
      </c>
      <c r="O45" s="157">
        <f>'дод 3'!P83</f>
        <v>2262573</v>
      </c>
      <c r="P45" s="194"/>
    </row>
    <row r="46" spans="1:16" ht="63.75" customHeight="1" x14ac:dyDescent="0.25">
      <c r="A46" s="56" t="s">
        <v>460</v>
      </c>
      <c r="B46" s="56" t="s">
        <v>54</v>
      </c>
      <c r="C46" s="57" t="s">
        <v>488</v>
      </c>
      <c r="D46" s="156">
        <f>'дод 3'!E84</f>
        <v>16318900</v>
      </c>
      <c r="E46" s="156">
        <f>'дод 3'!F84</f>
        <v>16318900</v>
      </c>
      <c r="F46" s="156">
        <f>'дод 3'!G84</f>
        <v>13375200</v>
      </c>
      <c r="G46" s="156">
        <f>'дод 3'!H84</f>
        <v>0</v>
      </c>
      <c r="H46" s="156">
        <f>'дод 3'!I84</f>
        <v>0</v>
      </c>
      <c r="I46" s="156">
        <f>'дод 3'!J84</f>
        <v>0</v>
      </c>
      <c r="J46" s="156">
        <f>'дод 3'!K84</f>
        <v>0</v>
      </c>
      <c r="K46" s="156">
        <f>'дод 3'!L84</f>
        <v>0</v>
      </c>
      <c r="L46" s="156">
        <f>'дод 3'!M84</f>
        <v>0</v>
      </c>
      <c r="M46" s="156">
        <f>'дод 3'!N84</f>
        <v>0</v>
      </c>
      <c r="N46" s="156">
        <f>'дод 3'!O84</f>
        <v>0</v>
      </c>
      <c r="O46" s="156">
        <f>'дод 3'!P84</f>
        <v>16318900</v>
      </c>
      <c r="P46" s="194"/>
    </row>
    <row r="47" spans="1:16" ht="31.5" x14ac:dyDescent="0.25">
      <c r="A47" s="37"/>
      <c r="B47" s="37"/>
      <c r="C47" s="79" t="s">
        <v>384</v>
      </c>
      <c r="D47" s="157">
        <f>'дод 3'!E85</f>
        <v>16318900</v>
      </c>
      <c r="E47" s="157">
        <f>'дод 3'!F85</f>
        <v>16318900</v>
      </c>
      <c r="F47" s="157">
        <f>'дод 3'!G85</f>
        <v>13375200</v>
      </c>
      <c r="G47" s="157">
        <f>'дод 3'!H85</f>
        <v>0</v>
      </c>
      <c r="H47" s="157">
        <f>'дод 3'!I85</f>
        <v>0</v>
      </c>
      <c r="I47" s="157">
        <f>'дод 3'!J85</f>
        <v>0</v>
      </c>
      <c r="J47" s="157">
        <f>'дод 3'!K85</f>
        <v>0</v>
      </c>
      <c r="K47" s="157">
        <f>'дод 3'!L85</f>
        <v>0</v>
      </c>
      <c r="L47" s="157">
        <f>'дод 3'!M85</f>
        <v>0</v>
      </c>
      <c r="M47" s="157">
        <f>'дод 3'!N85</f>
        <v>0</v>
      </c>
      <c r="N47" s="157">
        <f>'дод 3'!O85</f>
        <v>0</v>
      </c>
      <c r="O47" s="157">
        <f>'дод 3'!P85</f>
        <v>16318900</v>
      </c>
      <c r="P47" s="194"/>
    </row>
    <row r="48" spans="1:16" ht="66.75" customHeight="1" x14ac:dyDescent="0.25">
      <c r="A48" s="37">
        <v>1035</v>
      </c>
      <c r="B48" s="37" t="s">
        <v>54</v>
      </c>
      <c r="C48" s="36" t="s">
        <v>562</v>
      </c>
      <c r="D48" s="156">
        <f>'дод 3'!E86</f>
        <v>1301700</v>
      </c>
      <c r="E48" s="156">
        <f>'дод 3'!F86</f>
        <v>1301700</v>
      </c>
      <c r="F48" s="156">
        <f>'дод 3'!G86</f>
        <v>1067000</v>
      </c>
      <c r="G48" s="156">
        <f>'дод 3'!H86</f>
        <v>0</v>
      </c>
      <c r="H48" s="156">
        <f>'дод 3'!I86</f>
        <v>0</v>
      </c>
      <c r="I48" s="156">
        <f>'дод 3'!J86</f>
        <v>0</v>
      </c>
      <c r="J48" s="156">
        <f>'дод 3'!K86</f>
        <v>0</v>
      </c>
      <c r="K48" s="156">
        <f>'дод 3'!L86</f>
        <v>0</v>
      </c>
      <c r="L48" s="156">
        <f>'дод 3'!M86</f>
        <v>0</v>
      </c>
      <c r="M48" s="156">
        <f>'дод 3'!N86</f>
        <v>0</v>
      </c>
      <c r="N48" s="156">
        <f>'дод 3'!O86</f>
        <v>0</v>
      </c>
      <c r="O48" s="156">
        <f>'дод 3'!P86</f>
        <v>1301700</v>
      </c>
      <c r="P48" s="193">
        <v>54</v>
      </c>
    </row>
    <row r="49" spans="1:16" ht="31.5" x14ac:dyDescent="0.25">
      <c r="A49" s="37"/>
      <c r="B49" s="37"/>
      <c r="C49" s="79" t="s">
        <v>384</v>
      </c>
      <c r="D49" s="157">
        <f>'дод 3'!E87</f>
        <v>1301700</v>
      </c>
      <c r="E49" s="157">
        <f>'дод 3'!F87</f>
        <v>1301700</v>
      </c>
      <c r="F49" s="157">
        <f>'дод 3'!G87</f>
        <v>1067000</v>
      </c>
      <c r="G49" s="157">
        <f>'дод 3'!H87</f>
        <v>0</v>
      </c>
      <c r="H49" s="157">
        <f>'дод 3'!I87</f>
        <v>0</v>
      </c>
      <c r="I49" s="157">
        <f>'дод 3'!J87</f>
        <v>0</v>
      </c>
      <c r="J49" s="157">
        <f>'дод 3'!K87</f>
        <v>0</v>
      </c>
      <c r="K49" s="157">
        <f>'дод 3'!L87</f>
        <v>0</v>
      </c>
      <c r="L49" s="157">
        <f>'дод 3'!M87</f>
        <v>0</v>
      </c>
      <c r="M49" s="157">
        <f>'дод 3'!N87</f>
        <v>0</v>
      </c>
      <c r="N49" s="157">
        <f>'дод 3'!O87</f>
        <v>0</v>
      </c>
      <c r="O49" s="157">
        <f>'дод 3'!P87</f>
        <v>1301700</v>
      </c>
      <c r="P49" s="193"/>
    </row>
    <row r="50" spans="1:16" ht="31.5" hidden="1" customHeight="1" x14ac:dyDescent="0.25">
      <c r="A50" s="37">
        <v>1061</v>
      </c>
      <c r="B50" s="56" t="s">
        <v>50</v>
      </c>
      <c r="C50" s="36" t="s">
        <v>511</v>
      </c>
      <c r="D50" s="156">
        <f>'дод 3'!E88</f>
        <v>0</v>
      </c>
      <c r="E50" s="156">
        <f>'дод 3'!F88</f>
        <v>0</v>
      </c>
      <c r="F50" s="156">
        <f>'дод 3'!G88</f>
        <v>0</v>
      </c>
      <c r="G50" s="156">
        <f>'дод 3'!H88</f>
        <v>0</v>
      </c>
      <c r="H50" s="156">
        <f>'дод 3'!I88</f>
        <v>0</v>
      </c>
      <c r="I50" s="156">
        <f>'дод 3'!J88</f>
        <v>0</v>
      </c>
      <c r="J50" s="156">
        <f>'дод 3'!K88</f>
        <v>0</v>
      </c>
      <c r="K50" s="156">
        <f>'дод 3'!L88</f>
        <v>0</v>
      </c>
      <c r="L50" s="156">
        <f>'дод 3'!M88</f>
        <v>0</v>
      </c>
      <c r="M50" s="156">
        <f>'дод 3'!N88</f>
        <v>0</v>
      </c>
      <c r="N50" s="156">
        <f>'дод 3'!O88</f>
        <v>0</v>
      </c>
      <c r="O50" s="156">
        <f>'дод 3'!P88</f>
        <v>0</v>
      </c>
      <c r="P50" s="193"/>
    </row>
    <row r="51" spans="1:16" ht="48.75" hidden="1" customHeight="1" x14ac:dyDescent="0.25">
      <c r="A51" s="37"/>
      <c r="B51" s="56"/>
      <c r="C51" s="79" t="s">
        <v>521</v>
      </c>
      <c r="D51" s="157">
        <f>'дод 3'!E89</f>
        <v>0</v>
      </c>
      <c r="E51" s="157">
        <f>'дод 3'!F89</f>
        <v>0</v>
      </c>
      <c r="F51" s="157">
        <f>'дод 3'!G89</f>
        <v>0</v>
      </c>
      <c r="G51" s="157">
        <f>'дод 3'!H89</f>
        <v>0</v>
      </c>
      <c r="H51" s="157">
        <f>'дод 3'!I89</f>
        <v>0</v>
      </c>
      <c r="I51" s="157">
        <f>'дод 3'!J89</f>
        <v>0</v>
      </c>
      <c r="J51" s="157">
        <f>'дод 3'!K89</f>
        <v>0</v>
      </c>
      <c r="K51" s="157">
        <f>'дод 3'!L89</f>
        <v>0</v>
      </c>
      <c r="L51" s="157">
        <f>'дод 3'!M89</f>
        <v>0</v>
      </c>
      <c r="M51" s="157">
        <f>'дод 3'!N89</f>
        <v>0</v>
      </c>
      <c r="N51" s="157">
        <f>'дод 3'!O89</f>
        <v>0</v>
      </c>
      <c r="O51" s="157">
        <f>'дод 3'!P89</f>
        <v>0</v>
      </c>
      <c r="P51" s="193"/>
    </row>
    <row r="52" spans="1:16" s="51" customFormat="1" ht="32.25" hidden="1" customHeight="1" x14ac:dyDescent="0.25">
      <c r="A52" s="71"/>
      <c r="B52" s="76"/>
      <c r="C52" s="79" t="s">
        <v>518</v>
      </c>
      <c r="D52" s="157">
        <f>'дод 3'!E90</f>
        <v>0</v>
      </c>
      <c r="E52" s="157">
        <f>'дод 3'!F90</f>
        <v>0</v>
      </c>
      <c r="F52" s="157">
        <f>'дод 3'!G90</f>
        <v>0</v>
      </c>
      <c r="G52" s="157">
        <f>'дод 3'!H90</f>
        <v>0</v>
      </c>
      <c r="H52" s="157">
        <f>'дод 3'!I90</f>
        <v>0</v>
      </c>
      <c r="I52" s="157">
        <f>'дод 3'!J90</f>
        <v>0</v>
      </c>
      <c r="J52" s="157">
        <f>'дод 3'!K90</f>
        <v>0</v>
      </c>
      <c r="K52" s="157">
        <f>'дод 3'!L90</f>
        <v>0</v>
      </c>
      <c r="L52" s="157">
        <f>'дод 3'!M90</f>
        <v>0</v>
      </c>
      <c r="M52" s="157">
        <f>'дод 3'!N90</f>
        <v>0</v>
      </c>
      <c r="N52" s="157">
        <f>'дод 3'!O90</f>
        <v>0</v>
      </c>
      <c r="O52" s="157">
        <f>'дод 3'!P90</f>
        <v>0</v>
      </c>
      <c r="P52" s="193"/>
    </row>
    <row r="53" spans="1:16" s="51" customFormat="1" ht="69" hidden="1" customHeight="1" x14ac:dyDescent="0.25">
      <c r="A53" s="37">
        <v>1062</v>
      </c>
      <c r="B53" s="56" t="s">
        <v>54</v>
      </c>
      <c r="C53" s="57" t="s">
        <v>488</v>
      </c>
      <c r="D53" s="156">
        <f>'дод 3'!E91</f>
        <v>0</v>
      </c>
      <c r="E53" s="156">
        <f>'дод 3'!F91</f>
        <v>0</v>
      </c>
      <c r="F53" s="156">
        <f>'дод 3'!G91</f>
        <v>0</v>
      </c>
      <c r="G53" s="156">
        <f>'дод 3'!H91</f>
        <v>0</v>
      </c>
      <c r="H53" s="156">
        <f>'дод 3'!I91</f>
        <v>0</v>
      </c>
      <c r="I53" s="156">
        <f>'дод 3'!J91</f>
        <v>0</v>
      </c>
      <c r="J53" s="156">
        <f>'дод 3'!K91</f>
        <v>0</v>
      </c>
      <c r="K53" s="156">
        <f>'дод 3'!L91</f>
        <v>0</v>
      </c>
      <c r="L53" s="156">
        <f>'дод 3'!M91</f>
        <v>0</v>
      </c>
      <c r="M53" s="156">
        <f>'дод 3'!N91</f>
        <v>0</v>
      </c>
      <c r="N53" s="156">
        <f>'дод 3'!O91</f>
        <v>0</v>
      </c>
      <c r="O53" s="156">
        <f>'дод 3'!P91</f>
        <v>0</v>
      </c>
      <c r="P53" s="193"/>
    </row>
    <row r="54" spans="1:16" s="51" customFormat="1" ht="32.25" hidden="1" customHeight="1" x14ac:dyDescent="0.25">
      <c r="A54" s="71"/>
      <c r="B54" s="76"/>
      <c r="C54" s="79" t="s">
        <v>518</v>
      </c>
      <c r="D54" s="157">
        <f>'дод 3'!E92</f>
        <v>0</v>
      </c>
      <c r="E54" s="157">
        <f>'дод 3'!F92</f>
        <v>0</v>
      </c>
      <c r="F54" s="157">
        <f>'дод 3'!G92</f>
        <v>0</v>
      </c>
      <c r="G54" s="157">
        <f>'дод 3'!H92</f>
        <v>0</v>
      </c>
      <c r="H54" s="157">
        <f>'дод 3'!I92</f>
        <v>0</v>
      </c>
      <c r="I54" s="157">
        <f>'дод 3'!J92</f>
        <v>0</v>
      </c>
      <c r="J54" s="157">
        <f>'дод 3'!K92</f>
        <v>0</v>
      </c>
      <c r="K54" s="157">
        <f>'дод 3'!L92</f>
        <v>0</v>
      </c>
      <c r="L54" s="157">
        <f>'дод 3'!M92</f>
        <v>0</v>
      </c>
      <c r="M54" s="157">
        <f>'дод 3'!N92</f>
        <v>0</v>
      </c>
      <c r="N54" s="157">
        <f>'дод 3'!O92</f>
        <v>0</v>
      </c>
      <c r="O54" s="157">
        <f>'дод 3'!P92</f>
        <v>0</v>
      </c>
      <c r="P54" s="193"/>
    </row>
    <row r="55" spans="1:16" s="51" customFormat="1" ht="38.25" customHeight="1" x14ac:dyDescent="0.25">
      <c r="A55" s="56" t="s">
        <v>53</v>
      </c>
      <c r="B55" s="56" t="s">
        <v>56</v>
      </c>
      <c r="C55" s="57" t="s">
        <v>360</v>
      </c>
      <c r="D55" s="156">
        <f>'дод 3'!E93</f>
        <v>43917700</v>
      </c>
      <c r="E55" s="156">
        <f>'дод 3'!F93</f>
        <v>43917700</v>
      </c>
      <c r="F55" s="156">
        <f>'дод 3'!G93</f>
        <v>30235200</v>
      </c>
      <c r="G55" s="156">
        <f>'дод 3'!H93</f>
        <v>5804900</v>
      </c>
      <c r="H55" s="156">
        <f>'дод 3'!I93</f>
        <v>0</v>
      </c>
      <c r="I55" s="156">
        <f>'дод 3'!J93</f>
        <v>400000</v>
      </c>
      <c r="J55" s="156">
        <f>'дод 3'!K93</f>
        <v>400000</v>
      </c>
      <c r="K55" s="156">
        <f>'дод 3'!L93</f>
        <v>0</v>
      </c>
      <c r="L55" s="156">
        <f>'дод 3'!M93</f>
        <v>0</v>
      </c>
      <c r="M55" s="156">
        <f>'дод 3'!N93</f>
        <v>0</v>
      </c>
      <c r="N55" s="156">
        <f>'дод 3'!O93</f>
        <v>400000</v>
      </c>
      <c r="O55" s="156">
        <f>'дод 3'!P93</f>
        <v>44317700</v>
      </c>
      <c r="P55" s="193"/>
    </row>
    <row r="56" spans="1:16" s="51" customFormat="1" ht="27.75" customHeight="1" x14ac:dyDescent="0.25">
      <c r="A56" s="84">
        <v>1080</v>
      </c>
      <c r="B56" s="56" t="s">
        <v>56</v>
      </c>
      <c r="C56" s="57" t="s">
        <v>575</v>
      </c>
      <c r="D56" s="156">
        <f>'дод 3'!E222</f>
        <v>55584500</v>
      </c>
      <c r="E56" s="156">
        <f>'дод 3'!F222</f>
        <v>55584500</v>
      </c>
      <c r="F56" s="156">
        <f>'дод 3'!G222</f>
        <v>43494200</v>
      </c>
      <c r="G56" s="156">
        <f>'дод 3'!H222</f>
        <v>1592300</v>
      </c>
      <c r="H56" s="156">
        <f>'дод 3'!I222</f>
        <v>0</v>
      </c>
      <c r="I56" s="156">
        <f>'дод 3'!J222</f>
        <v>3174570</v>
      </c>
      <c r="J56" s="156">
        <f>'дод 3'!K222</f>
        <v>300000</v>
      </c>
      <c r="K56" s="156">
        <f>'дод 3'!L222</f>
        <v>2871440</v>
      </c>
      <c r="L56" s="156">
        <f>'дод 3'!M222</f>
        <v>2346150</v>
      </c>
      <c r="M56" s="156">
        <f>'дод 3'!N222</f>
        <v>0</v>
      </c>
      <c r="N56" s="156">
        <f>'дод 3'!O222</f>
        <v>303130</v>
      </c>
      <c r="O56" s="156">
        <f>'дод 3'!P222</f>
        <v>58759070</v>
      </c>
      <c r="P56" s="193"/>
    </row>
    <row r="57" spans="1:16" s="51" customFormat="1" ht="47.25" x14ac:dyDescent="0.25">
      <c r="A57" s="84">
        <v>1091</v>
      </c>
      <c r="B57" s="56" t="s">
        <v>600</v>
      </c>
      <c r="C57" s="57" t="s">
        <v>601</v>
      </c>
      <c r="D57" s="156">
        <f>'дод 3'!E94</f>
        <v>149164200</v>
      </c>
      <c r="E57" s="156">
        <f>'дод 3'!F94</f>
        <v>149164200</v>
      </c>
      <c r="F57" s="156">
        <f>'дод 3'!G94</f>
        <v>78676200</v>
      </c>
      <c r="G57" s="156">
        <f>'дод 3'!H94</f>
        <v>20084950</v>
      </c>
      <c r="H57" s="156">
        <f>'дод 3'!I94</f>
        <v>0</v>
      </c>
      <c r="I57" s="156">
        <f>'дод 3'!J94</f>
        <v>10665879</v>
      </c>
      <c r="J57" s="156">
        <f>'дод 3'!K94</f>
        <v>0</v>
      </c>
      <c r="K57" s="156">
        <f>'дод 3'!L94</f>
        <v>10583189</v>
      </c>
      <c r="L57" s="156">
        <f>'дод 3'!M94</f>
        <v>2780588</v>
      </c>
      <c r="M57" s="156">
        <f>'дод 3'!N94</f>
        <v>4889684</v>
      </c>
      <c r="N57" s="156">
        <f>'дод 3'!O94</f>
        <v>82690</v>
      </c>
      <c r="O57" s="156">
        <f>'дод 3'!P94</f>
        <v>159830079</v>
      </c>
      <c r="P57" s="193"/>
    </row>
    <row r="58" spans="1:16" s="51" customFormat="1" ht="62.25" customHeight="1" x14ac:dyDescent="0.25">
      <c r="A58" s="84">
        <v>1092</v>
      </c>
      <c r="B58" s="56" t="s">
        <v>600</v>
      </c>
      <c r="C58" s="57" t="s">
        <v>603</v>
      </c>
      <c r="D58" s="156">
        <f>'дод 3'!E95</f>
        <v>19425600</v>
      </c>
      <c r="E58" s="156">
        <f>'дод 3'!F95</f>
        <v>19425600</v>
      </c>
      <c r="F58" s="156">
        <f>'дод 3'!G95</f>
        <v>15919400</v>
      </c>
      <c r="G58" s="156">
        <f>'дод 3'!H95</f>
        <v>0</v>
      </c>
      <c r="H58" s="156">
        <f>'дод 3'!I95</f>
        <v>0</v>
      </c>
      <c r="I58" s="156">
        <f>'дод 3'!J95</f>
        <v>0</v>
      </c>
      <c r="J58" s="156">
        <f>'дод 3'!K95</f>
        <v>0</v>
      </c>
      <c r="K58" s="156">
        <f>'дод 3'!L95</f>
        <v>0</v>
      </c>
      <c r="L58" s="156">
        <f>'дод 3'!M95</f>
        <v>0</v>
      </c>
      <c r="M58" s="156">
        <f>'дод 3'!N95</f>
        <v>0</v>
      </c>
      <c r="N58" s="156">
        <f>'дод 3'!O95</f>
        <v>0</v>
      </c>
      <c r="O58" s="156">
        <f>'дод 3'!P95</f>
        <v>19425600</v>
      </c>
      <c r="P58" s="193"/>
    </row>
    <row r="59" spans="1:16" s="51" customFormat="1" ht="31.5" x14ac:dyDescent="0.25">
      <c r="A59" s="97"/>
      <c r="B59" s="76"/>
      <c r="C59" s="79" t="s">
        <v>384</v>
      </c>
      <c r="D59" s="157">
        <f>'дод 3'!E96</f>
        <v>19425600</v>
      </c>
      <c r="E59" s="157">
        <f>'дод 3'!F96</f>
        <v>19425600</v>
      </c>
      <c r="F59" s="157">
        <f>'дод 3'!G96</f>
        <v>15919400</v>
      </c>
      <c r="G59" s="157">
        <f>'дод 3'!H96</f>
        <v>0</v>
      </c>
      <c r="H59" s="157">
        <f>'дод 3'!I96</f>
        <v>0</v>
      </c>
      <c r="I59" s="157">
        <f>'дод 3'!J96</f>
        <v>0</v>
      </c>
      <c r="J59" s="157">
        <f>'дод 3'!K96</f>
        <v>0</v>
      </c>
      <c r="K59" s="157">
        <f>'дод 3'!L96</f>
        <v>0</v>
      </c>
      <c r="L59" s="157">
        <f>'дод 3'!M96</f>
        <v>0</v>
      </c>
      <c r="M59" s="157">
        <f>'дод 3'!N96</f>
        <v>0</v>
      </c>
      <c r="N59" s="157">
        <f>'дод 3'!O96</f>
        <v>0</v>
      </c>
      <c r="O59" s="157">
        <f>'дод 3'!P96</f>
        <v>19425600</v>
      </c>
      <c r="P59" s="193"/>
    </row>
    <row r="60" spans="1:16" s="51" customFormat="1" ht="29.25" customHeight="1" x14ac:dyDescent="0.25">
      <c r="A60" s="56" t="s">
        <v>463</v>
      </c>
      <c r="B60" s="56" t="s">
        <v>57</v>
      </c>
      <c r="C60" s="36" t="s">
        <v>492</v>
      </c>
      <c r="D60" s="156">
        <f>'дод 3'!E97</f>
        <v>13156200</v>
      </c>
      <c r="E60" s="156">
        <f>'дод 3'!F97</f>
        <v>13156200</v>
      </c>
      <c r="F60" s="156">
        <f>'дод 3'!G97</f>
        <v>9323800</v>
      </c>
      <c r="G60" s="156">
        <f>'дод 3'!H97</f>
        <v>1054400</v>
      </c>
      <c r="H60" s="156">
        <f>'дод 3'!I97</f>
        <v>0</v>
      </c>
      <c r="I60" s="156">
        <f>'дод 3'!J97</f>
        <v>100000</v>
      </c>
      <c r="J60" s="156">
        <f>'дод 3'!K97</f>
        <v>100000</v>
      </c>
      <c r="K60" s="156">
        <f>'дод 3'!L97</f>
        <v>0</v>
      </c>
      <c r="L60" s="156">
        <f>'дод 3'!M97</f>
        <v>0</v>
      </c>
      <c r="M60" s="156">
        <f>'дод 3'!N97</f>
        <v>0</v>
      </c>
      <c r="N60" s="156">
        <f>'дод 3'!O97</f>
        <v>100000</v>
      </c>
      <c r="O60" s="156">
        <f>'дод 3'!P97</f>
        <v>13256200</v>
      </c>
      <c r="P60" s="193"/>
    </row>
    <row r="61" spans="1:16" ht="24" customHeight="1" x14ac:dyDescent="0.25">
      <c r="A61" s="56" t="s">
        <v>465</v>
      </c>
      <c r="B61" s="56" t="s">
        <v>57</v>
      </c>
      <c r="C61" s="36" t="s">
        <v>278</v>
      </c>
      <c r="D61" s="156">
        <f>'дод 3'!E98</f>
        <v>1124100</v>
      </c>
      <c r="E61" s="156">
        <f>'дод 3'!F98</f>
        <v>1124100</v>
      </c>
      <c r="F61" s="156">
        <f>'дод 3'!G98</f>
        <v>0</v>
      </c>
      <c r="G61" s="156">
        <f>'дод 3'!H98</f>
        <v>0</v>
      </c>
      <c r="H61" s="156">
        <f>'дод 3'!I98</f>
        <v>0</v>
      </c>
      <c r="I61" s="156">
        <f>'дод 3'!J98</f>
        <v>0</v>
      </c>
      <c r="J61" s="156">
        <f>'дод 3'!K98</f>
        <v>0</v>
      </c>
      <c r="K61" s="156">
        <f>'дод 3'!L98</f>
        <v>0</v>
      </c>
      <c r="L61" s="156">
        <f>'дод 3'!M98</f>
        <v>0</v>
      </c>
      <c r="M61" s="156">
        <f>'дод 3'!N98</f>
        <v>0</v>
      </c>
      <c r="N61" s="156">
        <f>'дод 3'!O98</f>
        <v>0</v>
      </c>
      <c r="O61" s="156">
        <f>'дод 3'!P98</f>
        <v>1124100</v>
      </c>
      <c r="P61" s="193"/>
    </row>
    <row r="62" spans="1:16" ht="31.5" x14ac:dyDescent="0.25">
      <c r="A62" s="56" t="s">
        <v>467</v>
      </c>
      <c r="B62" s="56" t="s">
        <v>57</v>
      </c>
      <c r="C62" s="57" t="s">
        <v>468</v>
      </c>
      <c r="D62" s="156">
        <f>'дод 3'!E99</f>
        <v>556800</v>
      </c>
      <c r="E62" s="156">
        <f>'дод 3'!F99</f>
        <v>556800</v>
      </c>
      <c r="F62" s="156">
        <f>'дод 3'!G99</f>
        <v>312400</v>
      </c>
      <c r="G62" s="156">
        <f>'дод 3'!H99</f>
        <v>118400</v>
      </c>
      <c r="H62" s="156">
        <f>'дод 3'!I99</f>
        <v>0</v>
      </c>
      <c r="I62" s="156">
        <f>'дод 3'!J99</f>
        <v>0</v>
      </c>
      <c r="J62" s="156">
        <f>'дод 3'!K99</f>
        <v>0</v>
      </c>
      <c r="K62" s="156">
        <f>'дод 3'!L99</f>
        <v>0</v>
      </c>
      <c r="L62" s="156">
        <f>'дод 3'!M99</f>
        <v>0</v>
      </c>
      <c r="M62" s="156">
        <f>'дод 3'!N99</f>
        <v>0</v>
      </c>
      <c r="N62" s="156">
        <f>'дод 3'!O99</f>
        <v>0</v>
      </c>
      <c r="O62" s="156">
        <f>'дод 3'!P99</f>
        <v>556800</v>
      </c>
      <c r="P62" s="193"/>
    </row>
    <row r="63" spans="1:16" ht="36.75" customHeight="1" x14ac:dyDescent="0.25">
      <c r="A63" s="56" t="s">
        <v>470</v>
      </c>
      <c r="B63" s="56" t="s">
        <v>57</v>
      </c>
      <c r="C63" s="57" t="s">
        <v>493</v>
      </c>
      <c r="D63" s="156">
        <f>'дод 3'!E100</f>
        <v>1756818</v>
      </c>
      <c r="E63" s="156">
        <f>'дод 3'!F100</f>
        <v>1756818</v>
      </c>
      <c r="F63" s="156">
        <f>'дод 3'!G100</f>
        <v>1447762</v>
      </c>
      <c r="G63" s="156">
        <f>'дод 3'!H100</f>
        <v>0</v>
      </c>
      <c r="H63" s="156">
        <f>'дод 3'!I100</f>
        <v>0</v>
      </c>
      <c r="I63" s="156">
        <f>'дод 3'!J100</f>
        <v>0</v>
      </c>
      <c r="J63" s="156">
        <f>'дод 3'!K100</f>
        <v>0</v>
      </c>
      <c r="K63" s="156">
        <f>'дод 3'!L100</f>
        <v>0</v>
      </c>
      <c r="L63" s="156">
        <f>'дод 3'!M100</f>
        <v>0</v>
      </c>
      <c r="M63" s="156">
        <f>'дод 3'!N100</f>
        <v>0</v>
      </c>
      <c r="N63" s="156">
        <f>'дод 3'!O100</f>
        <v>0</v>
      </c>
      <c r="O63" s="156">
        <f>'дод 3'!P100</f>
        <v>1756818</v>
      </c>
      <c r="P63" s="193"/>
    </row>
    <row r="64" spans="1:16" ht="49.5" customHeight="1" x14ac:dyDescent="0.25">
      <c r="A64" s="37"/>
      <c r="B64" s="37"/>
      <c r="C64" s="79" t="s">
        <v>379</v>
      </c>
      <c r="D64" s="157">
        <f>'дод 3'!E101</f>
        <v>1756818</v>
      </c>
      <c r="E64" s="157">
        <f>'дод 3'!F101</f>
        <v>1756818</v>
      </c>
      <c r="F64" s="157">
        <f>'дод 3'!G101</f>
        <v>1447762</v>
      </c>
      <c r="G64" s="157">
        <f>'дод 3'!H101</f>
        <v>0</v>
      </c>
      <c r="H64" s="157">
        <f>'дод 3'!I101</f>
        <v>0</v>
      </c>
      <c r="I64" s="157">
        <f>'дод 3'!J101</f>
        <v>0</v>
      </c>
      <c r="J64" s="157">
        <f>'дод 3'!K101</f>
        <v>0</v>
      </c>
      <c r="K64" s="157">
        <f>'дод 3'!L101</f>
        <v>0</v>
      </c>
      <c r="L64" s="157">
        <f>'дод 3'!M101</f>
        <v>0</v>
      </c>
      <c r="M64" s="157">
        <f>'дод 3'!N101</f>
        <v>0</v>
      </c>
      <c r="N64" s="157">
        <f>'дод 3'!O101</f>
        <v>0</v>
      </c>
      <c r="O64" s="157">
        <f>'дод 3'!P101</f>
        <v>1756818</v>
      </c>
      <c r="P64" s="193"/>
    </row>
    <row r="65" spans="1:16" s="51" customFormat="1" ht="31.5" x14ac:dyDescent="0.25">
      <c r="A65" s="56" t="s">
        <v>472</v>
      </c>
      <c r="B65" s="56" t="str">
        <f>'дод 7'!A14</f>
        <v>0160</v>
      </c>
      <c r="C65" s="57" t="s">
        <v>473</v>
      </c>
      <c r="D65" s="156">
        <f>'дод 3'!E102</f>
        <v>3137600</v>
      </c>
      <c r="E65" s="156">
        <f>'дод 3'!F102</f>
        <v>3137600</v>
      </c>
      <c r="F65" s="156">
        <f>'дод 3'!G102</f>
        <v>2115300</v>
      </c>
      <c r="G65" s="156">
        <f>'дод 3'!H102</f>
        <v>378300</v>
      </c>
      <c r="H65" s="156">
        <f>'дод 3'!I102</f>
        <v>0</v>
      </c>
      <c r="I65" s="156">
        <f>'дод 3'!J102</f>
        <v>0</v>
      </c>
      <c r="J65" s="156">
        <f>'дод 3'!K102</f>
        <v>0</v>
      </c>
      <c r="K65" s="156">
        <f>'дод 3'!L102</f>
        <v>0</v>
      </c>
      <c r="L65" s="156">
        <f>'дод 3'!M102</f>
        <v>0</v>
      </c>
      <c r="M65" s="156">
        <f>'дод 3'!N102</f>
        <v>0</v>
      </c>
      <c r="N65" s="156">
        <f>'дод 3'!O102</f>
        <v>0</v>
      </c>
      <c r="O65" s="156">
        <f>'дод 3'!P102</f>
        <v>3137600</v>
      </c>
      <c r="P65" s="193"/>
    </row>
    <row r="66" spans="1:16" s="51" customFormat="1" ht="66" customHeight="1" x14ac:dyDescent="0.25">
      <c r="A66" s="56" t="s">
        <v>543</v>
      </c>
      <c r="B66" s="56" t="s">
        <v>57</v>
      </c>
      <c r="C66" s="57" t="s">
        <v>546</v>
      </c>
      <c r="D66" s="156">
        <f>'дод 3'!E103</f>
        <v>0</v>
      </c>
      <c r="E66" s="156">
        <f>'дод 3'!F103</f>
        <v>0</v>
      </c>
      <c r="F66" s="156">
        <f>'дод 3'!G103</f>
        <v>0</v>
      </c>
      <c r="G66" s="156">
        <f>'дод 3'!H103</f>
        <v>0</v>
      </c>
      <c r="H66" s="156">
        <f>'дод 3'!I103</f>
        <v>0</v>
      </c>
      <c r="I66" s="156">
        <f>'дод 3'!J103</f>
        <v>2000000</v>
      </c>
      <c r="J66" s="156">
        <f>'дод 3'!K103</f>
        <v>2000000</v>
      </c>
      <c r="K66" s="156">
        <f>'дод 3'!L103</f>
        <v>0</v>
      </c>
      <c r="L66" s="156">
        <f>'дод 3'!M103</f>
        <v>0</v>
      </c>
      <c r="M66" s="156">
        <f>'дод 3'!N103</f>
        <v>0</v>
      </c>
      <c r="N66" s="156">
        <f>'дод 3'!O103</f>
        <v>2000000</v>
      </c>
      <c r="O66" s="156">
        <f>'дод 3'!P103</f>
        <v>2000000</v>
      </c>
      <c r="P66" s="193"/>
    </row>
    <row r="67" spans="1:16" s="51" customFormat="1" ht="65.25" hidden="1" customHeight="1" x14ac:dyDescent="0.25">
      <c r="A67" s="56" t="s">
        <v>534</v>
      </c>
      <c r="B67" s="56" t="s">
        <v>57</v>
      </c>
      <c r="C67" s="57" t="s">
        <v>570</v>
      </c>
      <c r="D67" s="135">
        <f>'дод 3'!E104</f>
        <v>0</v>
      </c>
      <c r="E67" s="135">
        <f>'дод 3'!F104</f>
        <v>0</v>
      </c>
      <c r="F67" s="135">
        <f>'дод 3'!G104</f>
        <v>0</v>
      </c>
      <c r="G67" s="135">
        <f>'дод 3'!H104</f>
        <v>0</v>
      </c>
      <c r="H67" s="135">
        <f>'дод 3'!I104</f>
        <v>0</v>
      </c>
      <c r="I67" s="135">
        <f>'дод 3'!J104</f>
        <v>0</v>
      </c>
      <c r="J67" s="135">
        <f>'дод 3'!K104</f>
        <v>0</v>
      </c>
      <c r="K67" s="135">
        <f>'дод 3'!L104</f>
        <v>0</v>
      </c>
      <c r="L67" s="135">
        <f>'дод 3'!M104</f>
        <v>0</v>
      </c>
      <c r="M67" s="135">
        <f>'дод 3'!N104</f>
        <v>0</v>
      </c>
      <c r="N67" s="135">
        <f>'дод 3'!O104</f>
        <v>0</v>
      </c>
      <c r="O67" s="135">
        <f>'дод 3'!P104</f>
        <v>0</v>
      </c>
      <c r="P67" s="193"/>
    </row>
    <row r="68" spans="1:16" s="51" customFormat="1" ht="47.25" hidden="1" customHeight="1" x14ac:dyDescent="0.25">
      <c r="A68" s="76"/>
      <c r="B68" s="76"/>
      <c r="C68" s="79" t="s">
        <v>564</v>
      </c>
      <c r="D68" s="136">
        <f>'дод 3'!E105</f>
        <v>0</v>
      </c>
      <c r="E68" s="136">
        <f>'дод 3'!F105</f>
        <v>0</v>
      </c>
      <c r="F68" s="136">
        <f>'дод 3'!G105</f>
        <v>0</v>
      </c>
      <c r="G68" s="136">
        <f>'дод 3'!H105</f>
        <v>0</v>
      </c>
      <c r="H68" s="136">
        <f>'дод 3'!I105</f>
        <v>0</v>
      </c>
      <c r="I68" s="136">
        <f>'дод 3'!J105</f>
        <v>0</v>
      </c>
      <c r="J68" s="136">
        <f>'дод 3'!K105</f>
        <v>0</v>
      </c>
      <c r="K68" s="136">
        <f>'дод 3'!L105</f>
        <v>0</v>
      </c>
      <c r="L68" s="136">
        <f>'дод 3'!M105</f>
        <v>0</v>
      </c>
      <c r="M68" s="136">
        <f>'дод 3'!N105</f>
        <v>0</v>
      </c>
      <c r="N68" s="136">
        <f>'дод 3'!O105</f>
        <v>0</v>
      </c>
      <c r="O68" s="136">
        <f>'дод 3'!P105</f>
        <v>0</v>
      </c>
      <c r="P68" s="193"/>
    </row>
    <row r="69" spans="1:16" s="51" customFormat="1" ht="63" x14ac:dyDescent="0.25">
      <c r="A69" s="56" t="s">
        <v>545</v>
      </c>
      <c r="B69" s="56" t="s">
        <v>57</v>
      </c>
      <c r="C69" s="57" t="s">
        <v>585</v>
      </c>
      <c r="D69" s="135">
        <f>'дод 3'!E106</f>
        <v>3000000</v>
      </c>
      <c r="E69" s="135">
        <f>'дод 3'!F106</f>
        <v>3000000</v>
      </c>
      <c r="F69" s="135">
        <f>'дод 3'!G106</f>
        <v>0</v>
      </c>
      <c r="G69" s="135">
        <f>'дод 3'!H106</f>
        <v>0</v>
      </c>
      <c r="H69" s="135">
        <f>'дод 3'!I106</f>
        <v>0</v>
      </c>
      <c r="I69" s="135">
        <f>'дод 3'!J106</f>
        <v>0</v>
      </c>
      <c r="J69" s="135">
        <f>'дод 3'!K106</f>
        <v>0</v>
      </c>
      <c r="K69" s="135">
        <f>'дод 3'!L106</f>
        <v>0</v>
      </c>
      <c r="L69" s="135">
        <f>'дод 3'!M106</f>
        <v>0</v>
      </c>
      <c r="M69" s="135">
        <f>'дод 3'!N106</f>
        <v>0</v>
      </c>
      <c r="N69" s="135">
        <f>'дод 3'!O106</f>
        <v>0</v>
      </c>
      <c r="O69" s="135">
        <f>'дод 3'!P106</f>
        <v>3000000</v>
      </c>
      <c r="P69" s="193"/>
    </row>
    <row r="70" spans="1:16" s="51" customFormat="1" ht="15.75" hidden="1" customHeight="1" x14ac:dyDescent="0.25">
      <c r="A70" s="76"/>
      <c r="B70" s="76"/>
      <c r="C70" s="79" t="s">
        <v>390</v>
      </c>
      <c r="D70" s="136">
        <f>'дод 3'!E107</f>
        <v>0</v>
      </c>
      <c r="E70" s="136">
        <f>'дод 3'!F107</f>
        <v>0</v>
      </c>
      <c r="F70" s="136">
        <f>'дод 3'!G107</f>
        <v>0</v>
      </c>
      <c r="G70" s="136">
        <f>'дод 3'!H107</f>
        <v>0</v>
      </c>
      <c r="H70" s="136">
        <f>'дод 3'!I107</f>
        <v>0</v>
      </c>
      <c r="I70" s="136">
        <f>'дод 3'!J107</f>
        <v>0</v>
      </c>
      <c r="J70" s="136">
        <f>'дод 3'!K107</f>
        <v>0</v>
      </c>
      <c r="K70" s="136">
        <f>'дод 3'!L107</f>
        <v>0</v>
      </c>
      <c r="L70" s="136">
        <f>'дод 3'!M107</f>
        <v>0</v>
      </c>
      <c r="M70" s="136">
        <f>'дод 3'!N107</f>
        <v>0</v>
      </c>
      <c r="N70" s="136">
        <f>'дод 3'!O107</f>
        <v>0</v>
      </c>
      <c r="O70" s="136">
        <f>'дод 3'!P107</f>
        <v>0</v>
      </c>
      <c r="P70" s="193"/>
    </row>
    <row r="71" spans="1:16" s="51" customFormat="1" ht="78.75" hidden="1" customHeight="1" x14ac:dyDescent="0.25">
      <c r="A71" s="56" t="s">
        <v>535</v>
      </c>
      <c r="B71" s="56" t="s">
        <v>57</v>
      </c>
      <c r="C71" s="57" t="s">
        <v>565</v>
      </c>
      <c r="D71" s="156">
        <f>'дод 3'!E108</f>
        <v>0</v>
      </c>
      <c r="E71" s="156">
        <f>'дод 3'!F108</f>
        <v>0</v>
      </c>
      <c r="F71" s="156">
        <f>'дод 3'!G108</f>
        <v>0</v>
      </c>
      <c r="G71" s="156">
        <f>'дод 3'!H108</f>
        <v>0</v>
      </c>
      <c r="H71" s="156">
        <f>'дод 3'!I108</f>
        <v>0</v>
      </c>
      <c r="I71" s="156">
        <f>'дод 3'!J108</f>
        <v>0</v>
      </c>
      <c r="J71" s="156">
        <f>'дод 3'!K108</f>
        <v>0</v>
      </c>
      <c r="K71" s="156">
        <f>'дод 3'!L108</f>
        <v>0</v>
      </c>
      <c r="L71" s="156">
        <f>'дод 3'!M108</f>
        <v>0</v>
      </c>
      <c r="M71" s="156">
        <f>'дод 3'!N108</f>
        <v>0</v>
      </c>
      <c r="N71" s="156">
        <f>'дод 3'!O108</f>
        <v>0</v>
      </c>
      <c r="O71" s="156">
        <f>'дод 3'!P108</f>
        <v>0</v>
      </c>
      <c r="P71" s="193"/>
    </row>
    <row r="72" spans="1:16" s="51" customFormat="1" ht="68.25" hidden="1" customHeight="1" x14ac:dyDescent="0.25">
      <c r="A72" s="76"/>
      <c r="B72" s="76"/>
      <c r="C72" s="79" t="s">
        <v>536</v>
      </c>
      <c r="D72" s="157">
        <f>'дод 3'!E109</f>
        <v>0</v>
      </c>
      <c r="E72" s="157">
        <f>'дод 3'!F109</f>
        <v>0</v>
      </c>
      <c r="F72" s="157">
        <f>'дод 3'!G109</f>
        <v>0</v>
      </c>
      <c r="G72" s="157">
        <f>'дод 3'!H109</f>
        <v>0</v>
      </c>
      <c r="H72" s="157">
        <f>'дод 3'!I109</f>
        <v>0</v>
      </c>
      <c r="I72" s="157">
        <f>'дод 3'!J109</f>
        <v>0</v>
      </c>
      <c r="J72" s="157">
        <f>'дод 3'!K109</f>
        <v>0</v>
      </c>
      <c r="K72" s="157">
        <f>'дод 3'!L109</f>
        <v>0</v>
      </c>
      <c r="L72" s="157">
        <f>'дод 3'!M109</f>
        <v>0</v>
      </c>
      <c r="M72" s="157">
        <f>'дод 3'!N109</f>
        <v>0</v>
      </c>
      <c r="N72" s="157">
        <f>'дод 3'!O109</f>
        <v>0</v>
      </c>
      <c r="O72" s="157">
        <f>'дод 3'!P109</f>
        <v>0</v>
      </c>
      <c r="P72" s="193"/>
    </row>
    <row r="73" spans="1:16" s="51" customFormat="1" ht="63" customHeight="1" x14ac:dyDescent="0.25">
      <c r="A73" s="56" t="s">
        <v>475</v>
      </c>
      <c r="B73" s="56" t="s">
        <v>57</v>
      </c>
      <c r="C73" s="85" t="s">
        <v>494</v>
      </c>
      <c r="D73" s="156">
        <f>'дод 3'!E110</f>
        <v>1322337.5</v>
      </c>
      <c r="E73" s="156">
        <f>'дод 3'!F110</f>
        <v>1322337.5</v>
      </c>
      <c r="F73" s="156">
        <f>'дод 3'!G110</f>
        <v>1083845.5</v>
      </c>
      <c r="G73" s="156">
        <f>'дод 3'!H110</f>
        <v>0</v>
      </c>
      <c r="H73" s="156">
        <f>'дод 3'!I110</f>
        <v>0</v>
      </c>
      <c r="I73" s="156">
        <f>'дод 3'!J110</f>
        <v>0</v>
      </c>
      <c r="J73" s="156">
        <f>'дод 3'!K110</f>
        <v>0</v>
      </c>
      <c r="K73" s="156">
        <f>'дод 3'!L110</f>
        <v>0</v>
      </c>
      <c r="L73" s="156">
        <f>'дод 3'!M110</f>
        <v>0</v>
      </c>
      <c r="M73" s="156">
        <f>'дод 3'!N110</f>
        <v>0</v>
      </c>
      <c r="N73" s="156">
        <f>'дод 3'!O110</f>
        <v>0</v>
      </c>
      <c r="O73" s="156">
        <f>'дод 3'!P110</f>
        <v>1322337.5</v>
      </c>
      <c r="P73" s="193"/>
    </row>
    <row r="74" spans="1:16" s="51" customFormat="1" ht="65.25" customHeight="1" x14ac:dyDescent="0.25">
      <c r="A74" s="56"/>
      <c r="B74" s="56"/>
      <c r="C74" s="79" t="s">
        <v>378</v>
      </c>
      <c r="D74" s="157">
        <f>'дод 3'!E111</f>
        <v>1322337.5</v>
      </c>
      <c r="E74" s="157">
        <f>'дод 3'!F111</f>
        <v>1322337.5</v>
      </c>
      <c r="F74" s="157">
        <f>'дод 3'!G111</f>
        <v>1083845.5</v>
      </c>
      <c r="G74" s="157">
        <f>'дод 3'!H111</f>
        <v>0</v>
      </c>
      <c r="H74" s="157">
        <f>'дод 3'!I111</f>
        <v>0</v>
      </c>
      <c r="I74" s="157">
        <f>'дод 3'!J111</f>
        <v>0</v>
      </c>
      <c r="J74" s="157">
        <f>'дод 3'!K111</f>
        <v>0</v>
      </c>
      <c r="K74" s="157">
        <f>'дод 3'!L111</f>
        <v>0</v>
      </c>
      <c r="L74" s="157">
        <f>'дод 3'!M111</f>
        <v>0</v>
      </c>
      <c r="M74" s="157">
        <f>'дод 3'!N111</f>
        <v>0</v>
      </c>
      <c r="N74" s="157">
        <f>'дод 3'!O111</f>
        <v>0</v>
      </c>
      <c r="O74" s="157">
        <f>'дод 3'!P111</f>
        <v>1322337.5</v>
      </c>
      <c r="P74" s="193"/>
    </row>
    <row r="75" spans="1:16" s="51" customFormat="1" ht="63" customHeight="1" x14ac:dyDescent="0.25">
      <c r="A75" s="56" t="s">
        <v>505</v>
      </c>
      <c r="B75" s="56" t="s">
        <v>57</v>
      </c>
      <c r="C75" s="36" t="s">
        <v>503</v>
      </c>
      <c r="D75" s="156">
        <f>'дод 3'!E112</f>
        <v>429496.68</v>
      </c>
      <c r="E75" s="156">
        <f>'дод 3'!F112</f>
        <v>429496.68</v>
      </c>
      <c r="F75" s="156">
        <f>'дод 3'!G112</f>
        <v>352046.5</v>
      </c>
      <c r="G75" s="156">
        <f>'дод 3'!H112</f>
        <v>0</v>
      </c>
      <c r="H75" s="156">
        <f>'дод 3'!I112</f>
        <v>0</v>
      </c>
      <c r="I75" s="156">
        <f>'дод 3'!J112</f>
        <v>0</v>
      </c>
      <c r="J75" s="156">
        <f>'дод 3'!K112</f>
        <v>0</v>
      </c>
      <c r="K75" s="156">
        <f>'дод 3'!L112</f>
        <v>0</v>
      </c>
      <c r="L75" s="156">
        <f>'дод 3'!M112</f>
        <v>0</v>
      </c>
      <c r="M75" s="156">
        <f>'дод 3'!N112</f>
        <v>0</v>
      </c>
      <c r="N75" s="156">
        <f>'дод 3'!O112</f>
        <v>0</v>
      </c>
      <c r="O75" s="156">
        <f>'дод 3'!P112</f>
        <v>429496.68</v>
      </c>
      <c r="P75" s="193"/>
    </row>
    <row r="76" spans="1:16" s="51" customFormat="1" ht="63" customHeight="1" x14ac:dyDescent="0.25">
      <c r="A76" s="56"/>
      <c r="B76" s="56"/>
      <c r="C76" s="79" t="s">
        <v>504</v>
      </c>
      <c r="D76" s="157">
        <f>'дод 3'!E113</f>
        <v>429496.68</v>
      </c>
      <c r="E76" s="157">
        <f>'дод 3'!F113</f>
        <v>429496.68</v>
      </c>
      <c r="F76" s="157">
        <f>'дод 3'!G113</f>
        <v>352046.5</v>
      </c>
      <c r="G76" s="157">
        <f>'дод 3'!H113</f>
        <v>0</v>
      </c>
      <c r="H76" s="157">
        <f>'дод 3'!I113</f>
        <v>0</v>
      </c>
      <c r="I76" s="157">
        <f>'дод 3'!J113</f>
        <v>0</v>
      </c>
      <c r="J76" s="157">
        <f>'дод 3'!K113</f>
        <v>0</v>
      </c>
      <c r="K76" s="157">
        <f>'дод 3'!L113</f>
        <v>0</v>
      </c>
      <c r="L76" s="157">
        <f>'дод 3'!M113</f>
        <v>0</v>
      </c>
      <c r="M76" s="157">
        <f>'дод 3'!N113</f>
        <v>0</v>
      </c>
      <c r="N76" s="157">
        <f>'дод 3'!O113</f>
        <v>0</v>
      </c>
      <c r="O76" s="157">
        <f>'дод 3'!P113</f>
        <v>429496.68</v>
      </c>
      <c r="P76" s="193"/>
    </row>
    <row r="77" spans="1:16" s="49" customFormat="1" ht="19.5" customHeight="1" x14ac:dyDescent="0.25">
      <c r="A77" s="38" t="s">
        <v>58</v>
      </c>
      <c r="B77" s="39"/>
      <c r="C77" s="9" t="s">
        <v>588</v>
      </c>
      <c r="D77" s="47">
        <f>D82+D87+D90+D92+D94+D97+D98+D86+D89</f>
        <v>100901000</v>
      </c>
      <c r="E77" s="47">
        <f t="shared" ref="E77:O77" si="12">E82+E87+E90+E92+E94+E97+E98+E86+E89</f>
        <v>100901000</v>
      </c>
      <c r="F77" s="47">
        <f t="shared" si="12"/>
        <v>2645800</v>
      </c>
      <c r="G77" s="47">
        <f t="shared" si="12"/>
        <v>158000</v>
      </c>
      <c r="H77" s="47">
        <f t="shared" si="12"/>
        <v>0</v>
      </c>
      <c r="I77" s="47">
        <f t="shared" si="12"/>
        <v>85730000</v>
      </c>
      <c r="J77" s="47">
        <f t="shared" si="12"/>
        <v>85730000</v>
      </c>
      <c r="K77" s="47">
        <f t="shared" si="12"/>
        <v>0</v>
      </c>
      <c r="L77" s="47">
        <f t="shared" si="12"/>
        <v>0</v>
      </c>
      <c r="M77" s="47">
        <f t="shared" si="12"/>
        <v>0</v>
      </c>
      <c r="N77" s="47">
        <f t="shared" si="12"/>
        <v>85730000</v>
      </c>
      <c r="O77" s="47">
        <f t="shared" si="12"/>
        <v>186631000</v>
      </c>
      <c r="P77" s="193"/>
    </row>
    <row r="78" spans="1:16" s="50" customFormat="1" ht="31.5" hidden="1" customHeight="1" x14ac:dyDescent="0.25">
      <c r="A78" s="65"/>
      <c r="B78" s="68"/>
      <c r="C78" s="69" t="s">
        <v>385</v>
      </c>
      <c r="D78" s="158">
        <f>D83+D88+D91</f>
        <v>0</v>
      </c>
      <c r="E78" s="158">
        <f t="shared" ref="E78:O78" si="13">E83+E88+E91</f>
        <v>0</v>
      </c>
      <c r="F78" s="158">
        <f t="shared" si="13"/>
        <v>0</v>
      </c>
      <c r="G78" s="158">
        <f t="shared" si="13"/>
        <v>0</v>
      </c>
      <c r="H78" s="158">
        <f t="shared" si="13"/>
        <v>0</v>
      </c>
      <c r="I78" s="158">
        <f t="shared" si="13"/>
        <v>0</v>
      </c>
      <c r="J78" s="158">
        <f t="shared" si="13"/>
        <v>0</v>
      </c>
      <c r="K78" s="158">
        <f t="shared" si="13"/>
        <v>0</v>
      </c>
      <c r="L78" s="158">
        <f t="shared" si="13"/>
        <v>0</v>
      </c>
      <c r="M78" s="158">
        <f t="shared" si="13"/>
        <v>0</v>
      </c>
      <c r="N78" s="158">
        <f t="shared" si="13"/>
        <v>0</v>
      </c>
      <c r="O78" s="158">
        <f t="shared" si="13"/>
        <v>0</v>
      </c>
      <c r="P78" s="193"/>
    </row>
    <row r="79" spans="1:16" s="50" customFormat="1" ht="47.25" hidden="1" customHeight="1" x14ac:dyDescent="0.25">
      <c r="A79" s="65"/>
      <c r="B79" s="68"/>
      <c r="C79" s="69" t="s">
        <v>386</v>
      </c>
      <c r="D79" s="158">
        <f>D84+D95</f>
        <v>0</v>
      </c>
      <c r="E79" s="158">
        <f t="shared" ref="E79:O79" si="14">E84+E95</f>
        <v>0</v>
      </c>
      <c r="F79" s="158">
        <f t="shared" si="14"/>
        <v>0</v>
      </c>
      <c r="G79" s="158">
        <f t="shared" si="14"/>
        <v>0</v>
      </c>
      <c r="H79" s="158">
        <f t="shared" si="14"/>
        <v>0</v>
      </c>
      <c r="I79" s="158">
        <f t="shared" si="14"/>
        <v>0</v>
      </c>
      <c r="J79" s="158">
        <f t="shared" si="14"/>
        <v>0</v>
      </c>
      <c r="K79" s="158">
        <f t="shared" si="14"/>
        <v>0</v>
      </c>
      <c r="L79" s="158">
        <f t="shared" si="14"/>
        <v>0</v>
      </c>
      <c r="M79" s="158">
        <f t="shared" si="14"/>
        <v>0</v>
      </c>
      <c r="N79" s="158">
        <f t="shared" si="14"/>
        <v>0</v>
      </c>
      <c r="O79" s="158">
        <f t="shared" si="14"/>
        <v>0</v>
      </c>
      <c r="P79" s="193"/>
    </row>
    <row r="80" spans="1:16" s="50" customFormat="1" ht="66.75" hidden="1" customHeight="1" x14ac:dyDescent="0.25">
      <c r="A80" s="65"/>
      <c r="B80" s="68"/>
      <c r="C80" s="69" t="s">
        <v>387</v>
      </c>
      <c r="D80" s="158">
        <f>D93+D96</f>
        <v>0</v>
      </c>
      <c r="E80" s="158">
        <f t="shared" ref="E80:O80" si="15">E93+E96</f>
        <v>0</v>
      </c>
      <c r="F80" s="158">
        <f t="shared" si="15"/>
        <v>0</v>
      </c>
      <c r="G80" s="158">
        <f t="shared" si="15"/>
        <v>0</v>
      </c>
      <c r="H80" s="158">
        <f t="shared" si="15"/>
        <v>0</v>
      </c>
      <c r="I80" s="158">
        <f t="shared" si="15"/>
        <v>0</v>
      </c>
      <c r="J80" s="158">
        <f t="shared" si="15"/>
        <v>0</v>
      </c>
      <c r="K80" s="158">
        <f t="shared" si="15"/>
        <v>0</v>
      </c>
      <c r="L80" s="158">
        <f t="shared" si="15"/>
        <v>0</v>
      </c>
      <c r="M80" s="158">
        <f t="shared" si="15"/>
        <v>0</v>
      </c>
      <c r="N80" s="158">
        <f t="shared" si="15"/>
        <v>0</v>
      </c>
      <c r="O80" s="158">
        <f t="shared" si="15"/>
        <v>0</v>
      </c>
      <c r="P80" s="193"/>
    </row>
    <row r="81" spans="1:16" s="50" customFormat="1" ht="15.75" hidden="1" customHeight="1" x14ac:dyDescent="0.25">
      <c r="A81" s="65"/>
      <c r="B81" s="68"/>
      <c r="C81" s="69" t="s">
        <v>388</v>
      </c>
      <c r="D81" s="158">
        <f>D85</f>
        <v>0</v>
      </c>
      <c r="E81" s="158">
        <f t="shared" ref="E81:O81" si="16">E85</f>
        <v>0</v>
      </c>
      <c r="F81" s="158">
        <f t="shared" si="16"/>
        <v>0</v>
      </c>
      <c r="G81" s="158">
        <f t="shared" si="16"/>
        <v>0</v>
      </c>
      <c r="H81" s="158">
        <f t="shared" si="16"/>
        <v>0</v>
      </c>
      <c r="I81" s="158">
        <f t="shared" si="16"/>
        <v>0</v>
      </c>
      <c r="J81" s="158">
        <f t="shared" si="16"/>
        <v>0</v>
      </c>
      <c r="K81" s="158">
        <f t="shared" si="16"/>
        <v>0</v>
      </c>
      <c r="L81" s="158">
        <f t="shared" si="16"/>
        <v>0</v>
      </c>
      <c r="M81" s="158">
        <f t="shared" si="16"/>
        <v>0</v>
      </c>
      <c r="N81" s="158">
        <f t="shared" si="16"/>
        <v>0</v>
      </c>
      <c r="O81" s="158">
        <f t="shared" si="16"/>
        <v>0</v>
      </c>
      <c r="P81" s="193"/>
    </row>
    <row r="82" spans="1:16" ht="33" customHeight="1" x14ac:dyDescent="0.25">
      <c r="A82" s="37" t="s">
        <v>59</v>
      </c>
      <c r="B82" s="37" t="s">
        <v>60</v>
      </c>
      <c r="C82" s="6" t="s">
        <v>587</v>
      </c>
      <c r="D82" s="156">
        <f>'дод 3'!E139+'дод 3'!E291</f>
        <v>52837500</v>
      </c>
      <c r="E82" s="156">
        <f>'дод 3'!F139+'дод 3'!F291</f>
        <v>52837500</v>
      </c>
      <c r="F82" s="156">
        <f>'дод 3'!G139+'дод 3'!G291</f>
        <v>0</v>
      </c>
      <c r="G82" s="156">
        <f>'дод 3'!H139+'дод 3'!H291</f>
        <v>0</v>
      </c>
      <c r="H82" s="156">
        <f>'дод 3'!I139+'дод 3'!I291</f>
        <v>0</v>
      </c>
      <c r="I82" s="156">
        <f>'дод 3'!J139+'дод 3'!J291</f>
        <v>5000000</v>
      </c>
      <c r="J82" s="156">
        <f>'дод 3'!K139+'дод 3'!K291</f>
        <v>5000000</v>
      </c>
      <c r="K82" s="156">
        <f>'дод 3'!L139+'дод 3'!L291</f>
        <v>0</v>
      </c>
      <c r="L82" s="156">
        <f>'дод 3'!M139+'дод 3'!M291</f>
        <v>0</v>
      </c>
      <c r="M82" s="156">
        <f>'дод 3'!N139+'дод 3'!N291</f>
        <v>0</v>
      </c>
      <c r="N82" s="156">
        <f>'дод 3'!O139+'дод 3'!O291</f>
        <v>5000000</v>
      </c>
      <c r="O82" s="156">
        <f>'дод 3'!P139+'дод 3'!P291</f>
        <v>57837500</v>
      </c>
      <c r="P82" s="193"/>
    </row>
    <row r="83" spans="1:16" s="51" customFormat="1" ht="31.5" hidden="1" customHeight="1" x14ac:dyDescent="0.25">
      <c r="A83" s="71"/>
      <c r="B83" s="71"/>
      <c r="C83" s="72" t="s">
        <v>385</v>
      </c>
      <c r="D83" s="157">
        <f>'дод 3'!E140</f>
        <v>0</v>
      </c>
      <c r="E83" s="157">
        <f>'дод 3'!F140</f>
        <v>0</v>
      </c>
      <c r="F83" s="157">
        <f>'дод 3'!G140</f>
        <v>0</v>
      </c>
      <c r="G83" s="157">
        <f>'дод 3'!H140</f>
        <v>0</v>
      </c>
      <c r="H83" s="157">
        <f>'дод 3'!I140</f>
        <v>0</v>
      </c>
      <c r="I83" s="157">
        <f>'дод 3'!J140</f>
        <v>0</v>
      </c>
      <c r="J83" s="157">
        <f>'дод 3'!K140</f>
        <v>0</v>
      </c>
      <c r="K83" s="157">
        <f>'дод 3'!L140</f>
        <v>0</v>
      </c>
      <c r="L83" s="157">
        <f>'дод 3'!M140</f>
        <v>0</v>
      </c>
      <c r="M83" s="157">
        <f>'дод 3'!N140</f>
        <v>0</v>
      </c>
      <c r="N83" s="157">
        <f>'дод 3'!O140</f>
        <v>0</v>
      </c>
      <c r="O83" s="157">
        <f>'дод 3'!P140</f>
        <v>0</v>
      </c>
      <c r="P83" s="193"/>
    </row>
    <row r="84" spans="1:16" s="51" customFormat="1" ht="47.25" hidden="1" customHeight="1" x14ac:dyDescent="0.25">
      <c r="A84" s="71"/>
      <c r="B84" s="71"/>
      <c r="C84" s="72" t="s">
        <v>386</v>
      </c>
      <c r="D84" s="157">
        <f>'дод 3'!E141</f>
        <v>0</v>
      </c>
      <c r="E84" s="157">
        <f>'дод 3'!F141</f>
        <v>0</v>
      </c>
      <c r="F84" s="157">
        <f>'дод 3'!G141</f>
        <v>0</v>
      </c>
      <c r="G84" s="157">
        <f>'дод 3'!H141</f>
        <v>0</v>
      </c>
      <c r="H84" s="157">
        <f>'дод 3'!I141</f>
        <v>0</v>
      </c>
      <c r="I84" s="157">
        <f>'дод 3'!J141</f>
        <v>0</v>
      </c>
      <c r="J84" s="157">
        <f>'дод 3'!K141</f>
        <v>0</v>
      </c>
      <c r="K84" s="157">
        <f>'дод 3'!L141</f>
        <v>0</v>
      </c>
      <c r="L84" s="157">
        <f>'дод 3'!M141</f>
        <v>0</v>
      </c>
      <c r="M84" s="157">
        <f>'дод 3'!N141</f>
        <v>0</v>
      </c>
      <c r="N84" s="157">
        <f>'дод 3'!O141</f>
        <v>0</v>
      </c>
      <c r="O84" s="157">
        <f>'дод 3'!P141</f>
        <v>0</v>
      </c>
      <c r="P84" s="193"/>
    </row>
    <row r="85" spans="1:16" s="51" customFormat="1" ht="15.75" hidden="1" customHeight="1" x14ac:dyDescent="0.25">
      <c r="A85" s="71"/>
      <c r="B85" s="71"/>
      <c r="C85" s="72" t="s">
        <v>388</v>
      </c>
      <c r="D85" s="157">
        <f>'дод 3'!E142</f>
        <v>0</v>
      </c>
      <c r="E85" s="157">
        <f>'дод 3'!F142</f>
        <v>0</v>
      </c>
      <c r="F85" s="157">
        <f>'дод 3'!G142</f>
        <v>0</v>
      </c>
      <c r="G85" s="157">
        <f>'дод 3'!H142</f>
        <v>0</v>
      </c>
      <c r="H85" s="157">
        <f>'дод 3'!I142</f>
        <v>0</v>
      </c>
      <c r="I85" s="157">
        <f>'дод 3'!J142</f>
        <v>0</v>
      </c>
      <c r="J85" s="157">
        <f>'дод 3'!K142</f>
        <v>0</v>
      </c>
      <c r="K85" s="157">
        <f>'дод 3'!L142</f>
        <v>0</v>
      </c>
      <c r="L85" s="157">
        <f>'дод 3'!M142</f>
        <v>0</v>
      </c>
      <c r="M85" s="157">
        <f>'дод 3'!N142</f>
        <v>0</v>
      </c>
      <c r="N85" s="157">
        <f>'дод 3'!O142</f>
        <v>0</v>
      </c>
      <c r="O85" s="157">
        <f>'дод 3'!P142</f>
        <v>0</v>
      </c>
      <c r="P85" s="193"/>
    </row>
    <row r="86" spans="1:16" ht="31.5" hidden="1" customHeight="1" x14ac:dyDescent="0.25">
      <c r="A86" s="37">
        <v>2020</v>
      </c>
      <c r="B86" s="55" t="s">
        <v>437</v>
      </c>
      <c r="C86" s="6" t="s">
        <v>438</v>
      </c>
      <c r="D86" s="156">
        <f>'дод 3'!E143</f>
        <v>0</v>
      </c>
      <c r="E86" s="156">
        <f>'дод 3'!F143</f>
        <v>0</v>
      </c>
      <c r="F86" s="156">
        <f>'дод 3'!G143</f>
        <v>0</v>
      </c>
      <c r="G86" s="156">
        <f>'дод 3'!H143</f>
        <v>0</v>
      </c>
      <c r="H86" s="156">
        <f>'дод 3'!I143</f>
        <v>0</v>
      </c>
      <c r="I86" s="156">
        <f>'дод 3'!J143</f>
        <v>0</v>
      </c>
      <c r="J86" s="156">
        <f>'дод 3'!K143</f>
        <v>0</v>
      </c>
      <c r="K86" s="156">
        <f>'дод 3'!L143</f>
        <v>0</v>
      </c>
      <c r="L86" s="156">
        <f>'дод 3'!M143</f>
        <v>0</v>
      </c>
      <c r="M86" s="156">
        <f>'дод 3'!N143</f>
        <v>0</v>
      </c>
      <c r="N86" s="156">
        <f>'дод 3'!O143</f>
        <v>0</v>
      </c>
      <c r="O86" s="156">
        <f>'дод 3'!P143</f>
        <v>0</v>
      </c>
      <c r="P86" s="193"/>
    </row>
    <row r="87" spans="1:16" ht="36.75" customHeight="1" x14ac:dyDescent="0.25">
      <c r="A87" s="37" t="s">
        <v>118</v>
      </c>
      <c r="B87" s="37" t="s">
        <v>61</v>
      </c>
      <c r="C87" s="6" t="s">
        <v>451</v>
      </c>
      <c r="D87" s="156">
        <f>'дод 3'!E144</f>
        <v>5125600</v>
      </c>
      <c r="E87" s="156">
        <f>'дод 3'!F144</f>
        <v>5125600</v>
      </c>
      <c r="F87" s="156">
        <f>'дод 3'!G144</f>
        <v>0</v>
      </c>
      <c r="G87" s="156">
        <f>'дод 3'!H144</f>
        <v>0</v>
      </c>
      <c r="H87" s="156">
        <f>'дод 3'!I144</f>
        <v>0</v>
      </c>
      <c r="I87" s="156">
        <f>'дод 3'!J144</f>
        <v>0</v>
      </c>
      <c r="J87" s="156">
        <f>'дод 3'!K144</f>
        <v>0</v>
      </c>
      <c r="K87" s="156">
        <f>'дод 3'!L144</f>
        <v>0</v>
      </c>
      <c r="L87" s="156">
        <f>'дод 3'!M144</f>
        <v>0</v>
      </c>
      <c r="M87" s="156">
        <f>'дод 3'!N144</f>
        <v>0</v>
      </c>
      <c r="N87" s="156">
        <f>'дод 3'!O144</f>
        <v>0</v>
      </c>
      <c r="O87" s="156">
        <f>'дод 3'!P144</f>
        <v>5125600</v>
      </c>
      <c r="P87" s="193"/>
    </row>
    <row r="88" spans="1:16" s="51" customFormat="1" ht="31.5" hidden="1" customHeight="1" x14ac:dyDescent="0.25">
      <c r="A88" s="71"/>
      <c r="B88" s="71"/>
      <c r="C88" s="72" t="s">
        <v>385</v>
      </c>
      <c r="D88" s="157">
        <f>'дод 3'!E145</f>
        <v>0</v>
      </c>
      <c r="E88" s="157">
        <f>'дод 3'!F145</f>
        <v>0</v>
      </c>
      <c r="F88" s="157">
        <f>'дод 3'!G145</f>
        <v>0</v>
      </c>
      <c r="G88" s="157">
        <f>'дод 3'!H145</f>
        <v>0</v>
      </c>
      <c r="H88" s="157">
        <f>'дод 3'!I145</f>
        <v>0</v>
      </c>
      <c r="I88" s="157">
        <f>'дод 3'!J145</f>
        <v>0</v>
      </c>
      <c r="J88" s="157">
        <f>'дод 3'!K145</f>
        <v>0</v>
      </c>
      <c r="K88" s="157">
        <f>'дод 3'!L145</f>
        <v>0</v>
      </c>
      <c r="L88" s="157">
        <f>'дод 3'!M145</f>
        <v>0</v>
      </c>
      <c r="M88" s="157">
        <f>'дод 3'!N145</f>
        <v>0</v>
      </c>
      <c r="N88" s="157">
        <f>'дод 3'!O145</f>
        <v>0</v>
      </c>
      <c r="O88" s="157">
        <f>'дод 3'!P145</f>
        <v>0</v>
      </c>
      <c r="P88" s="193"/>
    </row>
    <row r="89" spans="1:16" ht="36.75" customHeight="1" x14ac:dyDescent="0.25">
      <c r="A89" s="37">
        <v>2070</v>
      </c>
      <c r="B89" s="37" t="s">
        <v>611</v>
      </c>
      <c r="C89" s="6" t="s">
        <v>612</v>
      </c>
      <c r="D89" s="156"/>
      <c r="E89" s="156"/>
      <c r="F89" s="156"/>
      <c r="G89" s="156"/>
      <c r="H89" s="156"/>
      <c r="I89" s="156">
        <v>400000</v>
      </c>
      <c r="J89" s="156">
        <v>400000</v>
      </c>
      <c r="K89" s="156"/>
      <c r="L89" s="156"/>
      <c r="M89" s="156"/>
      <c r="N89" s="156">
        <v>400000</v>
      </c>
      <c r="O89" s="156">
        <v>400000</v>
      </c>
      <c r="P89" s="193"/>
    </row>
    <row r="90" spans="1:16" ht="19.5" customHeight="1" x14ac:dyDescent="0.25">
      <c r="A90" s="37" t="s">
        <v>119</v>
      </c>
      <c r="B90" s="37" t="s">
        <v>62</v>
      </c>
      <c r="C90" s="6" t="s">
        <v>452</v>
      </c>
      <c r="D90" s="156">
        <f>'дод 3'!E147</f>
        <v>12388700</v>
      </c>
      <c r="E90" s="156">
        <f>'дод 3'!F147</f>
        <v>12388700</v>
      </c>
      <c r="F90" s="156">
        <f>'дод 3'!G147</f>
        <v>0</v>
      </c>
      <c r="G90" s="156">
        <f>'дод 3'!H147</f>
        <v>0</v>
      </c>
      <c r="H90" s="156">
        <f>'дод 3'!I147</f>
        <v>0</v>
      </c>
      <c r="I90" s="156">
        <f>'дод 3'!J147</f>
        <v>0</v>
      </c>
      <c r="J90" s="156">
        <f>'дод 3'!K147</f>
        <v>0</v>
      </c>
      <c r="K90" s="156">
        <f>'дод 3'!L147</f>
        <v>0</v>
      </c>
      <c r="L90" s="156">
        <f>'дод 3'!M147</f>
        <v>0</v>
      </c>
      <c r="M90" s="156">
        <f>'дод 3'!N147</f>
        <v>0</v>
      </c>
      <c r="N90" s="156">
        <f>'дод 3'!O147</f>
        <v>0</v>
      </c>
      <c r="O90" s="156">
        <f>'дод 3'!P147</f>
        <v>12388700</v>
      </c>
      <c r="P90" s="193">
        <v>55</v>
      </c>
    </row>
    <row r="91" spans="1:16" s="51" customFormat="1" ht="31.5" hidden="1" customHeight="1" x14ac:dyDescent="0.25">
      <c r="A91" s="71"/>
      <c r="B91" s="71"/>
      <c r="C91" s="72" t="s">
        <v>385</v>
      </c>
      <c r="D91" s="157">
        <f>'дод 3'!E148</f>
        <v>0</v>
      </c>
      <c r="E91" s="157">
        <f>'дод 3'!F148</f>
        <v>0</v>
      </c>
      <c r="F91" s="157">
        <f>'дод 3'!G148</f>
        <v>0</v>
      </c>
      <c r="G91" s="157">
        <f>'дод 3'!H148</f>
        <v>0</v>
      </c>
      <c r="H91" s="157">
        <f>'дод 3'!I148</f>
        <v>0</v>
      </c>
      <c r="I91" s="157">
        <f>'дод 3'!J148</f>
        <v>0</v>
      </c>
      <c r="J91" s="157">
        <f>'дод 3'!K148</f>
        <v>0</v>
      </c>
      <c r="K91" s="157">
        <f>'дод 3'!L148</f>
        <v>0</v>
      </c>
      <c r="L91" s="157">
        <f>'дод 3'!M148</f>
        <v>0</v>
      </c>
      <c r="M91" s="157">
        <f>'дод 3'!N148</f>
        <v>0</v>
      </c>
      <c r="N91" s="157">
        <f>'дод 3'!O148</f>
        <v>0</v>
      </c>
      <c r="O91" s="157">
        <f>'дод 3'!P148</f>
        <v>0</v>
      </c>
      <c r="P91" s="193"/>
    </row>
    <row r="92" spans="1:16" ht="48.75" customHeight="1" x14ac:dyDescent="0.25">
      <c r="A92" s="37" t="s">
        <v>120</v>
      </c>
      <c r="B92" s="37" t="s">
        <v>308</v>
      </c>
      <c r="C92" s="6" t="s">
        <v>453</v>
      </c>
      <c r="D92" s="156">
        <f>'дод 3'!E149</f>
        <v>5307100</v>
      </c>
      <c r="E92" s="156">
        <f>'дод 3'!F149</f>
        <v>5307100</v>
      </c>
      <c r="F92" s="156">
        <f>'дод 3'!G149</f>
        <v>0</v>
      </c>
      <c r="G92" s="156">
        <f>'дод 3'!H149</f>
        <v>0</v>
      </c>
      <c r="H92" s="156">
        <f>'дод 3'!I149</f>
        <v>0</v>
      </c>
      <c r="I92" s="156">
        <f>'дод 3'!J149</f>
        <v>0</v>
      </c>
      <c r="J92" s="156">
        <f>'дод 3'!K149</f>
        <v>0</v>
      </c>
      <c r="K92" s="156">
        <f>'дод 3'!L149</f>
        <v>0</v>
      </c>
      <c r="L92" s="156">
        <f>'дод 3'!M149</f>
        <v>0</v>
      </c>
      <c r="M92" s="156">
        <f>'дод 3'!N149</f>
        <v>0</v>
      </c>
      <c r="N92" s="156">
        <f>'дод 3'!O149</f>
        <v>0</v>
      </c>
      <c r="O92" s="156">
        <f>'дод 3'!P149</f>
        <v>5307100</v>
      </c>
      <c r="P92" s="193"/>
    </row>
    <row r="93" spans="1:16" s="51" customFormat="1" ht="47.25" hidden="1" customHeight="1" x14ac:dyDescent="0.25">
      <c r="A93" s="71"/>
      <c r="B93" s="71"/>
      <c r="C93" s="73" t="s">
        <v>387</v>
      </c>
      <c r="D93" s="157">
        <f>'дод 3'!E150</f>
        <v>0</v>
      </c>
      <c r="E93" s="157">
        <f>'дод 3'!F150</f>
        <v>0</v>
      </c>
      <c r="F93" s="157">
        <f>'дод 3'!G150</f>
        <v>0</v>
      </c>
      <c r="G93" s="157">
        <f>'дод 3'!H150</f>
        <v>0</v>
      </c>
      <c r="H93" s="157">
        <f>'дод 3'!I150</f>
        <v>0</v>
      </c>
      <c r="I93" s="157">
        <f>'дод 3'!J150</f>
        <v>0</v>
      </c>
      <c r="J93" s="157">
        <f>'дод 3'!K150</f>
        <v>0</v>
      </c>
      <c r="K93" s="157">
        <f>'дод 3'!L150</f>
        <v>0</v>
      </c>
      <c r="L93" s="157">
        <f>'дод 3'!M150</f>
        <v>0</v>
      </c>
      <c r="M93" s="157">
        <f>'дод 3'!N150</f>
        <v>0</v>
      </c>
      <c r="N93" s="157">
        <f>'дод 3'!O150</f>
        <v>0</v>
      </c>
      <c r="O93" s="157">
        <f>'дод 3'!P150</f>
        <v>0</v>
      </c>
      <c r="P93" s="193"/>
    </row>
    <row r="94" spans="1:16" ht="31.5" hidden="1" customHeight="1" x14ac:dyDescent="0.25">
      <c r="A94" s="40">
        <v>2144</v>
      </c>
      <c r="B94" s="37" t="s">
        <v>63</v>
      </c>
      <c r="C94" s="6" t="s">
        <v>398</v>
      </c>
      <c r="D94" s="156">
        <f>'дод 3'!E151</f>
        <v>0</v>
      </c>
      <c r="E94" s="156">
        <f>'дод 3'!F151</f>
        <v>0</v>
      </c>
      <c r="F94" s="156">
        <f>'дод 3'!G151</f>
        <v>0</v>
      </c>
      <c r="G94" s="156">
        <f>'дод 3'!H151</f>
        <v>0</v>
      </c>
      <c r="H94" s="156">
        <f>'дод 3'!I151</f>
        <v>0</v>
      </c>
      <c r="I94" s="156">
        <f>'дод 3'!J151</f>
        <v>0</v>
      </c>
      <c r="J94" s="156">
        <f>'дод 3'!K151</f>
        <v>0</v>
      </c>
      <c r="K94" s="156">
        <f>'дод 3'!L151</f>
        <v>0</v>
      </c>
      <c r="L94" s="156">
        <f>'дод 3'!M151</f>
        <v>0</v>
      </c>
      <c r="M94" s="156">
        <f>'дод 3'!N151</f>
        <v>0</v>
      </c>
      <c r="N94" s="156">
        <f>'дод 3'!O151</f>
        <v>0</v>
      </c>
      <c r="O94" s="156">
        <f>'дод 3'!P151</f>
        <v>0</v>
      </c>
      <c r="P94" s="193"/>
    </row>
    <row r="95" spans="1:16" s="51" customFormat="1" ht="47.25" hidden="1" customHeight="1" x14ac:dyDescent="0.25">
      <c r="A95" s="74"/>
      <c r="B95" s="71"/>
      <c r="C95" s="72" t="s">
        <v>386</v>
      </c>
      <c r="D95" s="157">
        <f>'дод 3'!E152</f>
        <v>0</v>
      </c>
      <c r="E95" s="157">
        <f>'дод 3'!F152</f>
        <v>0</v>
      </c>
      <c r="F95" s="157">
        <f>'дод 3'!G152</f>
        <v>0</v>
      </c>
      <c r="G95" s="157">
        <f>'дод 3'!H152</f>
        <v>0</v>
      </c>
      <c r="H95" s="157">
        <f>'дод 3'!I152</f>
        <v>0</v>
      </c>
      <c r="I95" s="157">
        <f>'дод 3'!J152</f>
        <v>0</v>
      </c>
      <c r="J95" s="157">
        <f>'дод 3'!K152</f>
        <v>0</v>
      </c>
      <c r="K95" s="157">
        <f>'дод 3'!L152</f>
        <v>0</v>
      </c>
      <c r="L95" s="157">
        <f>'дод 3'!M152</f>
        <v>0</v>
      </c>
      <c r="M95" s="157">
        <f>'дод 3'!N152</f>
        <v>0</v>
      </c>
      <c r="N95" s="157">
        <f>'дод 3'!O152</f>
        <v>0</v>
      </c>
      <c r="O95" s="157">
        <f>'дод 3'!P152</f>
        <v>0</v>
      </c>
      <c r="P95" s="193"/>
    </row>
    <row r="96" spans="1:16" s="51" customFormat="1" ht="63" hidden="1" customHeight="1" x14ac:dyDescent="0.25">
      <c r="A96" s="74"/>
      <c r="B96" s="71"/>
      <c r="C96" s="72" t="s">
        <v>387</v>
      </c>
      <c r="D96" s="157">
        <f>'дод 3'!E153</f>
        <v>0</v>
      </c>
      <c r="E96" s="157">
        <f>'дод 3'!F153</f>
        <v>0</v>
      </c>
      <c r="F96" s="157">
        <f>'дод 3'!G153</f>
        <v>0</v>
      </c>
      <c r="G96" s="157">
        <f>'дод 3'!H153</f>
        <v>0</v>
      </c>
      <c r="H96" s="157">
        <f>'дод 3'!I153</f>
        <v>0</v>
      </c>
      <c r="I96" s="157">
        <f>'дод 3'!J153</f>
        <v>0</v>
      </c>
      <c r="J96" s="157">
        <f>'дод 3'!K153</f>
        <v>0</v>
      </c>
      <c r="K96" s="157">
        <f>'дод 3'!L153</f>
        <v>0</v>
      </c>
      <c r="L96" s="157">
        <f>'дод 3'!M153</f>
        <v>0</v>
      </c>
      <c r="M96" s="157">
        <f>'дод 3'!N153</f>
        <v>0</v>
      </c>
      <c r="N96" s="157">
        <f>'дод 3'!O153</f>
        <v>0</v>
      </c>
      <c r="O96" s="157">
        <f>'дод 3'!P153</f>
        <v>0</v>
      </c>
      <c r="P96" s="193"/>
    </row>
    <row r="97" spans="1:16" ht="33.75" customHeight="1" x14ac:dyDescent="0.25">
      <c r="A97" s="37" t="s">
        <v>279</v>
      </c>
      <c r="B97" s="37" t="s">
        <v>63</v>
      </c>
      <c r="C97" s="3" t="s">
        <v>593</v>
      </c>
      <c r="D97" s="156">
        <f>'дод 3'!E154</f>
        <v>3518500</v>
      </c>
      <c r="E97" s="156">
        <f>'дод 3'!F154</f>
        <v>3518500</v>
      </c>
      <c r="F97" s="156">
        <f>'дод 3'!G154</f>
        <v>2645800</v>
      </c>
      <c r="G97" s="156">
        <f>'дод 3'!H154</f>
        <v>158000</v>
      </c>
      <c r="H97" s="156">
        <f>'дод 3'!I154</f>
        <v>0</v>
      </c>
      <c r="I97" s="156">
        <f>'дод 3'!J154</f>
        <v>300000</v>
      </c>
      <c r="J97" s="156">
        <f>'дод 3'!K154</f>
        <v>300000</v>
      </c>
      <c r="K97" s="156">
        <f>'дод 3'!L154</f>
        <v>0</v>
      </c>
      <c r="L97" s="156">
        <f>'дод 3'!M154</f>
        <v>0</v>
      </c>
      <c r="M97" s="156">
        <f>'дод 3'!N154</f>
        <v>0</v>
      </c>
      <c r="N97" s="156">
        <f>'дод 3'!O154</f>
        <v>300000</v>
      </c>
      <c r="O97" s="156">
        <f>'дод 3'!P154</f>
        <v>3818500</v>
      </c>
      <c r="P97" s="193"/>
    </row>
    <row r="98" spans="1:16" ht="21.75" customHeight="1" x14ac:dyDescent="0.25">
      <c r="A98" s="37" t="s">
        <v>280</v>
      </c>
      <c r="B98" s="37" t="s">
        <v>63</v>
      </c>
      <c r="C98" s="3" t="s">
        <v>594</v>
      </c>
      <c r="D98" s="156">
        <f>'дод 3'!E155</f>
        <v>21723600</v>
      </c>
      <c r="E98" s="156">
        <f>'дод 3'!F155</f>
        <v>21723600</v>
      </c>
      <c r="F98" s="156">
        <f>'дод 3'!G155</f>
        <v>0</v>
      </c>
      <c r="G98" s="156">
        <f>'дод 3'!H155</f>
        <v>0</v>
      </c>
      <c r="H98" s="156">
        <f>'дод 3'!I155</f>
        <v>0</v>
      </c>
      <c r="I98" s="156">
        <f>'дод 3'!J155</f>
        <v>80030000</v>
      </c>
      <c r="J98" s="156">
        <f>'дод 3'!K155</f>
        <v>80030000</v>
      </c>
      <c r="K98" s="156">
        <f>'дод 3'!L155</f>
        <v>0</v>
      </c>
      <c r="L98" s="156">
        <f>'дод 3'!M155</f>
        <v>0</v>
      </c>
      <c r="M98" s="156">
        <f>'дод 3'!N155</f>
        <v>0</v>
      </c>
      <c r="N98" s="156">
        <f>'дод 3'!O155</f>
        <v>80030000</v>
      </c>
      <c r="O98" s="156">
        <f>'дод 3'!P155</f>
        <v>101753600</v>
      </c>
      <c r="P98" s="193"/>
    </row>
    <row r="99" spans="1:16" s="49" customFormat="1" ht="33" customHeight="1" x14ac:dyDescent="0.25">
      <c r="A99" s="38" t="s">
        <v>64</v>
      </c>
      <c r="B99" s="41"/>
      <c r="C99" s="2" t="s">
        <v>495</v>
      </c>
      <c r="D99" s="47">
        <f>D105+D106+D107+D109+D110+D111+D113+D115+D116+D117+D118+D119+D121+D122+D123+D125+D127+D128+D129+D130+D131+D132+D134+D138+D139+D120</f>
        <v>242326047.86000001</v>
      </c>
      <c r="E99" s="47">
        <f t="shared" ref="E99:O99" si="17">E105+E106+E107+E109+E110+E111+E113+E115+E116+E117+E118+E119+E121+E122+E123+E125+E127+E128+E129+E130+E131+E132+E134+E138+E139+E120</f>
        <v>242326047.86000001</v>
      </c>
      <c r="F99" s="47">
        <f t="shared" si="17"/>
        <v>24880000</v>
      </c>
      <c r="G99" s="47">
        <f t="shared" si="17"/>
        <v>2128300</v>
      </c>
      <c r="H99" s="47">
        <f t="shared" si="17"/>
        <v>0</v>
      </c>
      <c r="I99" s="47">
        <f t="shared" si="17"/>
        <v>2103200</v>
      </c>
      <c r="J99" s="47">
        <f t="shared" si="17"/>
        <v>1872000</v>
      </c>
      <c r="K99" s="47">
        <f t="shared" si="17"/>
        <v>201758</v>
      </c>
      <c r="L99" s="47">
        <f t="shared" si="17"/>
        <v>78600</v>
      </c>
      <c r="M99" s="47">
        <f t="shared" si="17"/>
        <v>45558</v>
      </c>
      <c r="N99" s="47">
        <f t="shared" si="17"/>
        <v>1901442</v>
      </c>
      <c r="O99" s="47">
        <f t="shared" si="17"/>
        <v>244429247.86000001</v>
      </c>
      <c r="P99" s="193"/>
    </row>
    <row r="100" spans="1:16" s="50" customFormat="1" ht="262.5" hidden="1" customHeight="1" x14ac:dyDescent="0.25">
      <c r="A100" s="65"/>
      <c r="B100" s="66"/>
      <c r="C100" s="69" t="s">
        <v>434</v>
      </c>
      <c r="D100" s="158">
        <f>D133</f>
        <v>0</v>
      </c>
      <c r="E100" s="158">
        <f t="shared" ref="E100:O100" si="18">E133</f>
        <v>0</v>
      </c>
      <c r="F100" s="158">
        <f t="shared" si="18"/>
        <v>0</v>
      </c>
      <c r="G100" s="158">
        <f t="shared" si="18"/>
        <v>0</v>
      </c>
      <c r="H100" s="158">
        <f t="shared" si="18"/>
        <v>0</v>
      </c>
      <c r="I100" s="158">
        <f t="shared" si="18"/>
        <v>0</v>
      </c>
      <c r="J100" s="158">
        <f t="shared" si="18"/>
        <v>0</v>
      </c>
      <c r="K100" s="158">
        <f t="shared" si="18"/>
        <v>0</v>
      </c>
      <c r="L100" s="158">
        <f t="shared" si="18"/>
        <v>0</v>
      </c>
      <c r="M100" s="158">
        <f t="shared" si="18"/>
        <v>0</v>
      </c>
      <c r="N100" s="158">
        <f t="shared" si="18"/>
        <v>0</v>
      </c>
      <c r="O100" s="158">
        <f t="shared" si="18"/>
        <v>0</v>
      </c>
      <c r="P100" s="193"/>
    </row>
    <row r="101" spans="1:16" s="50" customFormat="1" ht="231" hidden="1" customHeight="1" x14ac:dyDescent="0.25">
      <c r="A101" s="65"/>
      <c r="B101" s="66"/>
      <c r="C101" s="69" t="s">
        <v>433</v>
      </c>
      <c r="D101" s="158">
        <f>D137</f>
        <v>0</v>
      </c>
      <c r="E101" s="158">
        <f t="shared" ref="E101:O101" si="19">E137</f>
        <v>0</v>
      </c>
      <c r="F101" s="158">
        <f t="shared" si="19"/>
        <v>0</v>
      </c>
      <c r="G101" s="158">
        <f t="shared" si="19"/>
        <v>0</v>
      </c>
      <c r="H101" s="158">
        <f t="shared" si="19"/>
        <v>0</v>
      </c>
      <c r="I101" s="158">
        <f t="shared" si="19"/>
        <v>0</v>
      </c>
      <c r="J101" s="158">
        <f t="shared" si="19"/>
        <v>0</v>
      </c>
      <c r="K101" s="158">
        <f t="shared" si="19"/>
        <v>0</v>
      </c>
      <c r="L101" s="158">
        <f t="shared" si="19"/>
        <v>0</v>
      </c>
      <c r="M101" s="158">
        <f t="shared" si="19"/>
        <v>0</v>
      </c>
      <c r="N101" s="158">
        <f t="shared" si="19"/>
        <v>0</v>
      </c>
      <c r="O101" s="158">
        <f t="shared" si="19"/>
        <v>0</v>
      </c>
      <c r="P101" s="193"/>
    </row>
    <row r="102" spans="1:16" s="50" customFormat="1" x14ac:dyDescent="0.25">
      <c r="A102" s="65"/>
      <c r="B102" s="66"/>
      <c r="C102" s="69" t="s">
        <v>390</v>
      </c>
      <c r="D102" s="158">
        <f>D108+D112+D114+D124+D126+D140</f>
        <v>5433914.8600000003</v>
      </c>
      <c r="E102" s="158">
        <f t="shared" ref="E102:O102" si="20">E108+E112+E114+E124+E126+E140</f>
        <v>5433914.8600000003</v>
      </c>
      <c r="F102" s="158">
        <f t="shared" si="20"/>
        <v>0</v>
      </c>
      <c r="G102" s="158">
        <f t="shared" si="20"/>
        <v>0</v>
      </c>
      <c r="H102" s="158">
        <f t="shared" si="20"/>
        <v>0</v>
      </c>
      <c r="I102" s="158">
        <f t="shared" si="20"/>
        <v>0</v>
      </c>
      <c r="J102" s="158">
        <f t="shared" si="20"/>
        <v>0</v>
      </c>
      <c r="K102" s="158">
        <f t="shared" si="20"/>
        <v>0</v>
      </c>
      <c r="L102" s="158">
        <f t="shared" si="20"/>
        <v>0</v>
      </c>
      <c r="M102" s="158">
        <f t="shared" si="20"/>
        <v>0</v>
      </c>
      <c r="N102" s="158">
        <f t="shared" si="20"/>
        <v>0</v>
      </c>
      <c r="O102" s="158">
        <f t="shared" si="20"/>
        <v>5433914.8600000003</v>
      </c>
      <c r="P102" s="193"/>
    </row>
    <row r="103" spans="1:16" s="50" customFormat="1" ht="291" hidden="1" customHeight="1" x14ac:dyDescent="0.25">
      <c r="A103" s="65"/>
      <c r="B103" s="66"/>
      <c r="C103" s="70" t="s">
        <v>549</v>
      </c>
      <c r="D103" s="158">
        <f>D133</f>
        <v>0</v>
      </c>
      <c r="E103" s="158">
        <f t="shared" ref="E103:O103" si="21">E133</f>
        <v>0</v>
      </c>
      <c r="F103" s="158">
        <f t="shared" si="21"/>
        <v>0</v>
      </c>
      <c r="G103" s="158">
        <f t="shared" si="21"/>
        <v>0</v>
      </c>
      <c r="H103" s="158">
        <f t="shared" si="21"/>
        <v>0</v>
      </c>
      <c r="I103" s="158">
        <f t="shared" si="21"/>
        <v>0</v>
      </c>
      <c r="J103" s="158">
        <f t="shared" si="21"/>
        <v>0</v>
      </c>
      <c r="K103" s="158">
        <f t="shared" si="21"/>
        <v>0</v>
      </c>
      <c r="L103" s="158">
        <f t="shared" si="21"/>
        <v>0</v>
      </c>
      <c r="M103" s="158">
        <f t="shared" si="21"/>
        <v>0</v>
      </c>
      <c r="N103" s="158">
        <f t="shared" si="21"/>
        <v>0</v>
      </c>
      <c r="O103" s="158">
        <f t="shared" si="21"/>
        <v>0</v>
      </c>
      <c r="P103" s="193"/>
    </row>
    <row r="104" spans="1:16" s="50" customFormat="1" ht="350.25" hidden="1" customHeight="1" x14ac:dyDescent="0.25">
      <c r="A104" s="65"/>
      <c r="B104" s="66"/>
      <c r="C104" s="70" t="s">
        <v>566</v>
      </c>
      <c r="D104" s="158">
        <f>D135</f>
        <v>0</v>
      </c>
      <c r="E104" s="158">
        <f t="shared" ref="E104:O104" si="22">E135</f>
        <v>0</v>
      </c>
      <c r="F104" s="158">
        <f t="shared" si="22"/>
        <v>0</v>
      </c>
      <c r="G104" s="158">
        <f t="shared" si="22"/>
        <v>0</v>
      </c>
      <c r="H104" s="158">
        <f t="shared" si="22"/>
        <v>0</v>
      </c>
      <c r="I104" s="158">
        <f t="shared" si="22"/>
        <v>0</v>
      </c>
      <c r="J104" s="158">
        <f t="shared" si="22"/>
        <v>0</v>
      </c>
      <c r="K104" s="158">
        <f t="shared" si="22"/>
        <v>0</v>
      </c>
      <c r="L104" s="158">
        <f t="shared" si="22"/>
        <v>0</v>
      </c>
      <c r="M104" s="158">
        <f t="shared" si="22"/>
        <v>0</v>
      </c>
      <c r="N104" s="158">
        <f t="shared" si="22"/>
        <v>0</v>
      </c>
      <c r="O104" s="158">
        <f t="shared" si="22"/>
        <v>0</v>
      </c>
      <c r="P104" s="193"/>
    </row>
    <row r="105" spans="1:16" ht="38.25" customHeight="1" x14ac:dyDescent="0.25">
      <c r="A105" s="37" t="s">
        <v>97</v>
      </c>
      <c r="B105" s="37" t="s">
        <v>51</v>
      </c>
      <c r="C105" s="3" t="s">
        <v>121</v>
      </c>
      <c r="D105" s="156">
        <f>'дод 3'!E174</f>
        <v>675400</v>
      </c>
      <c r="E105" s="156">
        <f>'дод 3'!F174</f>
        <v>675400</v>
      </c>
      <c r="F105" s="156">
        <f>'дод 3'!G174</f>
        <v>0</v>
      </c>
      <c r="G105" s="156">
        <f>'дод 3'!H174</f>
        <v>0</v>
      </c>
      <c r="H105" s="156">
        <f>'дод 3'!I174</f>
        <v>0</v>
      </c>
      <c r="I105" s="156">
        <f>'дод 3'!J174</f>
        <v>0</v>
      </c>
      <c r="J105" s="156">
        <f>'дод 3'!K174</f>
        <v>0</v>
      </c>
      <c r="K105" s="156">
        <f>'дод 3'!L174</f>
        <v>0</v>
      </c>
      <c r="L105" s="156">
        <f>'дод 3'!M174</f>
        <v>0</v>
      </c>
      <c r="M105" s="156">
        <f>'дод 3'!N174</f>
        <v>0</v>
      </c>
      <c r="N105" s="156">
        <f>'дод 3'!O174</f>
        <v>0</v>
      </c>
      <c r="O105" s="156">
        <f>'дод 3'!P174</f>
        <v>675400</v>
      </c>
      <c r="P105" s="193"/>
    </row>
    <row r="106" spans="1:16" ht="36.75" customHeight="1" x14ac:dyDescent="0.25">
      <c r="A106" s="37" t="s">
        <v>122</v>
      </c>
      <c r="B106" s="37" t="s">
        <v>53</v>
      </c>
      <c r="C106" s="3" t="s">
        <v>355</v>
      </c>
      <c r="D106" s="156">
        <f>'дод 3'!E175</f>
        <v>1023300</v>
      </c>
      <c r="E106" s="156">
        <f>'дод 3'!F175</f>
        <v>1023300</v>
      </c>
      <c r="F106" s="156">
        <f>'дод 3'!G175</f>
        <v>0</v>
      </c>
      <c r="G106" s="156">
        <f>'дод 3'!H175</f>
        <v>0</v>
      </c>
      <c r="H106" s="156">
        <f>'дод 3'!I175</f>
        <v>0</v>
      </c>
      <c r="I106" s="156">
        <f>'дод 3'!J175</f>
        <v>0</v>
      </c>
      <c r="J106" s="156">
        <f>'дод 3'!K175</f>
        <v>0</v>
      </c>
      <c r="K106" s="156">
        <f>'дод 3'!L175</f>
        <v>0</v>
      </c>
      <c r="L106" s="156">
        <f>'дод 3'!M175</f>
        <v>0</v>
      </c>
      <c r="M106" s="156">
        <f>'дод 3'!N175</f>
        <v>0</v>
      </c>
      <c r="N106" s="156">
        <f>'дод 3'!O175</f>
        <v>0</v>
      </c>
      <c r="O106" s="156">
        <f>'дод 3'!P175</f>
        <v>1023300</v>
      </c>
      <c r="P106" s="193"/>
    </row>
    <row r="107" spans="1:16" ht="47.25" x14ac:dyDescent="0.25">
      <c r="A107" s="37" t="s">
        <v>98</v>
      </c>
      <c r="B107" s="37" t="s">
        <v>53</v>
      </c>
      <c r="C107" s="3" t="s">
        <v>405</v>
      </c>
      <c r="D107" s="156">
        <f>'дод 3'!E176+'дод 3'!E21</f>
        <v>33513469.859999999</v>
      </c>
      <c r="E107" s="156">
        <f>'дод 3'!F176+'дод 3'!F21</f>
        <v>33513469.859999999</v>
      </c>
      <c r="F107" s="156">
        <f>'дод 3'!G176+'дод 3'!G21</f>
        <v>0</v>
      </c>
      <c r="G107" s="156">
        <f>'дод 3'!H176+'дод 3'!H21</f>
        <v>0</v>
      </c>
      <c r="H107" s="156">
        <f>'дод 3'!I176+'дод 3'!I21</f>
        <v>0</v>
      </c>
      <c r="I107" s="156">
        <f>'дод 3'!J176+'дод 3'!J21</f>
        <v>0</v>
      </c>
      <c r="J107" s="156">
        <f>'дод 3'!K176+'дод 3'!K21</f>
        <v>0</v>
      </c>
      <c r="K107" s="156">
        <f>'дод 3'!L176+'дод 3'!L21</f>
        <v>0</v>
      </c>
      <c r="L107" s="156">
        <f>'дод 3'!M176+'дод 3'!M21</f>
        <v>0</v>
      </c>
      <c r="M107" s="156">
        <f>'дод 3'!N176+'дод 3'!N21</f>
        <v>0</v>
      </c>
      <c r="N107" s="156">
        <f>'дод 3'!O176+'дод 3'!O21</f>
        <v>0</v>
      </c>
      <c r="O107" s="156">
        <f>'дод 3'!P176+'дод 3'!P21</f>
        <v>33513469.859999999</v>
      </c>
      <c r="P107" s="193"/>
    </row>
    <row r="108" spans="1:16" s="51" customFormat="1" ht="21.75" customHeight="1" x14ac:dyDescent="0.25">
      <c r="A108" s="71"/>
      <c r="B108" s="71"/>
      <c r="C108" s="72" t="s">
        <v>388</v>
      </c>
      <c r="D108" s="157">
        <f>'дод 3'!E177</f>
        <v>3941369.8600000003</v>
      </c>
      <c r="E108" s="157">
        <f>'дод 3'!F177</f>
        <v>3941369.8600000003</v>
      </c>
      <c r="F108" s="157">
        <f>'дод 3'!G177</f>
        <v>0</v>
      </c>
      <c r="G108" s="157">
        <f>'дод 3'!H177</f>
        <v>0</v>
      </c>
      <c r="H108" s="157">
        <f>'дод 3'!I177</f>
        <v>0</v>
      </c>
      <c r="I108" s="157">
        <f>'дод 3'!J177</f>
        <v>0</v>
      </c>
      <c r="J108" s="157">
        <f>'дод 3'!K177</f>
        <v>0</v>
      </c>
      <c r="K108" s="157">
        <f>'дод 3'!L177</f>
        <v>0</v>
      </c>
      <c r="L108" s="157">
        <f>'дод 3'!M177</f>
        <v>0</v>
      </c>
      <c r="M108" s="157">
        <f>'дод 3'!N177</f>
        <v>0</v>
      </c>
      <c r="N108" s="157">
        <f>'дод 3'!O177</f>
        <v>0</v>
      </c>
      <c r="O108" s="157">
        <f>'дод 3'!P177</f>
        <v>3941369.8600000003</v>
      </c>
      <c r="P108" s="193"/>
    </row>
    <row r="109" spans="1:16" ht="36" customHeight="1" x14ac:dyDescent="0.25">
      <c r="A109" s="37" t="s">
        <v>318</v>
      </c>
      <c r="B109" s="37" t="s">
        <v>53</v>
      </c>
      <c r="C109" s="3" t="s">
        <v>317</v>
      </c>
      <c r="D109" s="156">
        <f>'дод 3'!E178</f>
        <v>2000000</v>
      </c>
      <c r="E109" s="156">
        <f>'дод 3'!F178</f>
        <v>2000000</v>
      </c>
      <c r="F109" s="156">
        <f>'дод 3'!G178</f>
        <v>0</v>
      </c>
      <c r="G109" s="156">
        <f>'дод 3'!H178</f>
        <v>0</v>
      </c>
      <c r="H109" s="156">
        <f>'дод 3'!I178</f>
        <v>0</v>
      </c>
      <c r="I109" s="156">
        <f>'дод 3'!J178</f>
        <v>0</v>
      </c>
      <c r="J109" s="156">
        <f>'дод 3'!K178</f>
        <v>0</v>
      </c>
      <c r="K109" s="156">
        <f>'дод 3'!L178</f>
        <v>0</v>
      </c>
      <c r="L109" s="156">
        <f>'дод 3'!M178</f>
        <v>0</v>
      </c>
      <c r="M109" s="156">
        <f>'дод 3'!N178</f>
        <v>0</v>
      </c>
      <c r="N109" s="156">
        <f>'дод 3'!O178</f>
        <v>0</v>
      </c>
      <c r="O109" s="156">
        <f>'дод 3'!P178</f>
        <v>2000000</v>
      </c>
      <c r="P109" s="193"/>
    </row>
    <row r="110" spans="1:16" ht="44.25" customHeight="1" x14ac:dyDescent="0.25">
      <c r="A110" s="37" t="s">
        <v>123</v>
      </c>
      <c r="B110" s="37" t="s">
        <v>53</v>
      </c>
      <c r="C110" s="3" t="s">
        <v>19</v>
      </c>
      <c r="D110" s="156">
        <f>'дод 3'!E179+'дод 3'!E22</f>
        <v>56096800</v>
      </c>
      <c r="E110" s="156">
        <f>'дод 3'!F179+'дод 3'!F22</f>
        <v>56096800</v>
      </c>
      <c r="F110" s="156">
        <f>'дод 3'!G179+'дод 3'!G22</f>
        <v>0</v>
      </c>
      <c r="G110" s="156">
        <f>'дод 3'!H179+'дод 3'!H22</f>
        <v>0</v>
      </c>
      <c r="H110" s="156">
        <f>'дод 3'!I179+'дод 3'!I22</f>
        <v>0</v>
      </c>
      <c r="I110" s="156">
        <f>'дод 3'!J179+'дод 3'!J22</f>
        <v>0</v>
      </c>
      <c r="J110" s="156">
        <f>'дод 3'!K179+'дод 3'!K22</f>
        <v>0</v>
      </c>
      <c r="K110" s="156">
        <f>'дод 3'!L179+'дод 3'!L22</f>
        <v>0</v>
      </c>
      <c r="L110" s="156">
        <f>'дод 3'!M179+'дод 3'!M22</f>
        <v>0</v>
      </c>
      <c r="M110" s="156">
        <f>'дод 3'!N179+'дод 3'!N22</f>
        <v>0</v>
      </c>
      <c r="N110" s="156">
        <f>'дод 3'!O179+'дод 3'!O22</f>
        <v>0</v>
      </c>
      <c r="O110" s="156">
        <f>'дод 3'!P179+'дод 3'!P22</f>
        <v>56096800</v>
      </c>
      <c r="P110" s="193"/>
    </row>
    <row r="111" spans="1:16" ht="37.5" customHeight="1" x14ac:dyDescent="0.25">
      <c r="A111" s="37" t="s">
        <v>100</v>
      </c>
      <c r="B111" s="37" t="s">
        <v>53</v>
      </c>
      <c r="C111" s="3" t="s">
        <v>403</v>
      </c>
      <c r="D111" s="156">
        <f>'дод 3'!E180</f>
        <v>713800</v>
      </c>
      <c r="E111" s="156">
        <f>'дод 3'!F180</f>
        <v>713800</v>
      </c>
      <c r="F111" s="156">
        <f>'дод 3'!G180</f>
        <v>0</v>
      </c>
      <c r="G111" s="156">
        <f>'дод 3'!H180</f>
        <v>0</v>
      </c>
      <c r="H111" s="156">
        <f>'дод 3'!I180</f>
        <v>0</v>
      </c>
      <c r="I111" s="156">
        <f>'дод 3'!J180</f>
        <v>0</v>
      </c>
      <c r="J111" s="156">
        <f>'дод 3'!K180</f>
        <v>0</v>
      </c>
      <c r="K111" s="156">
        <f>'дод 3'!L180</f>
        <v>0</v>
      </c>
      <c r="L111" s="156">
        <f>'дод 3'!M180</f>
        <v>0</v>
      </c>
      <c r="M111" s="156">
        <f>'дод 3'!N180</f>
        <v>0</v>
      </c>
      <c r="N111" s="156">
        <f>'дод 3'!O180</f>
        <v>0</v>
      </c>
      <c r="O111" s="156">
        <f>'дод 3'!P180</f>
        <v>713800</v>
      </c>
      <c r="P111" s="193"/>
    </row>
    <row r="112" spans="1:16" s="51" customFormat="1" x14ac:dyDescent="0.25">
      <c r="A112" s="71"/>
      <c r="B112" s="71"/>
      <c r="C112" s="72" t="s">
        <v>388</v>
      </c>
      <c r="D112" s="157">
        <f>'дод 3'!E181</f>
        <v>713800</v>
      </c>
      <c r="E112" s="157">
        <f>'дод 3'!F181</f>
        <v>713800</v>
      </c>
      <c r="F112" s="157">
        <f>'дод 3'!G181</f>
        <v>0</v>
      </c>
      <c r="G112" s="157">
        <f>'дод 3'!H181</f>
        <v>0</v>
      </c>
      <c r="H112" s="157">
        <f>'дод 3'!I181</f>
        <v>0</v>
      </c>
      <c r="I112" s="157">
        <f>'дод 3'!J181</f>
        <v>0</v>
      </c>
      <c r="J112" s="157">
        <f>'дод 3'!K181</f>
        <v>0</v>
      </c>
      <c r="K112" s="157">
        <f>'дод 3'!L181</f>
        <v>0</v>
      </c>
      <c r="L112" s="157">
        <f>'дод 3'!M181</f>
        <v>0</v>
      </c>
      <c r="M112" s="157">
        <f>'дод 3'!N181</f>
        <v>0</v>
      </c>
      <c r="N112" s="157">
        <f>'дод 3'!O181</f>
        <v>0</v>
      </c>
      <c r="O112" s="157">
        <f>'дод 3'!P181</f>
        <v>713800</v>
      </c>
      <c r="P112" s="193"/>
    </row>
    <row r="113" spans="1:16" ht="40.5" customHeight="1" x14ac:dyDescent="0.25">
      <c r="A113" s="37" t="s">
        <v>310</v>
      </c>
      <c r="B113" s="37" t="s">
        <v>51</v>
      </c>
      <c r="C113" s="3" t="s">
        <v>404</v>
      </c>
      <c r="D113" s="156">
        <f>'дод 3'!E182</f>
        <v>260200</v>
      </c>
      <c r="E113" s="156">
        <f>'дод 3'!F182</f>
        <v>260200</v>
      </c>
      <c r="F113" s="156">
        <f>'дод 3'!G182</f>
        <v>0</v>
      </c>
      <c r="G113" s="156">
        <f>'дод 3'!H182</f>
        <v>0</v>
      </c>
      <c r="H113" s="156">
        <f>'дод 3'!I182</f>
        <v>0</v>
      </c>
      <c r="I113" s="156">
        <f>'дод 3'!J182</f>
        <v>0</v>
      </c>
      <c r="J113" s="156">
        <f>'дод 3'!K182</f>
        <v>0</v>
      </c>
      <c r="K113" s="156">
        <f>'дод 3'!L182</f>
        <v>0</v>
      </c>
      <c r="L113" s="156">
        <f>'дод 3'!M182</f>
        <v>0</v>
      </c>
      <c r="M113" s="156">
        <f>'дод 3'!N182</f>
        <v>0</v>
      </c>
      <c r="N113" s="156">
        <f>'дод 3'!O182</f>
        <v>0</v>
      </c>
      <c r="O113" s="156">
        <f>'дод 3'!P182</f>
        <v>260200</v>
      </c>
      <c r="P113" s="193"/>
    </row>
    <row r="114" spans="1:16" s="51" customFormat="1" x14ac:dyDescent="0.25">
      <c r="A114" s="71"/>
      <c r="B114" s="71"/>
      <c r="C114" s="72" t="s">
        <v>388</v>
      </c>
      <c r="D114" s="157">
        <f>'дод 3'!E183</f>
        <v>260200</v>
      </c>
      <c r="E114" s="157">
        <f>'дод 3'!F183</f>
        <v>260200</v>
      </c>
      <c r="F114" s="157">
        <f>'дод 3'!G183</f>
        <v>0</v>
      </c>
      <c r="G114" s="157">
        <f>'дод 3'!H183</f>
        <v>0</v>
      </c>
      <c r="H114" s="157">
        <f>'дод 3'!I183</f>
        <v>0</v>
      </c>
      <c r="I114" s="157">
        <f>'дод 3'!J183</f>
        <v>0</v>
      </c>
      <c r="J114" s="157">
        <f>'дод 3'!K183</f>
        <v>0</v>
      </c>
      <c r="K114" s="157">
        <f>'дод 3'!L183</f>
        <v>0</v>
      </c>
      <c r="L114" s="157">
        <f>'дод 3'!M183</f>
        <v>0</v>
      </c>
      <c r="M114" s="157">
        <f>'дод 3'!N183</f>
        <v>0</v>
      </c>
      <c r="N114" s="157">
        <f>'дод 3'!O183</f>
        <v>0</v>
      </c>
      <c r="O114" s="157">
        <f>'дод 3'!P183</f>
        <v>260200</v>
      </c>
      <c r="P114" s="193"/>
    </row>
    <row r="115" spans="1:16" ht="63.75" customHeight="1" x14ac:dyDescent="0.25">
      <c r="A115" s="37" t="s">
        <v>101</v>
      </c>
      <c r="B115" s="37" t="s">
        <v>49</v>
      </c>
      <c r="C115" s="3" t="s">
        <v>29</v>
      </c>
      <c r="D115" s="156">
        <f>'дод 3'!E184</f>
        <v>20984700</v>
      </c>
      <c r="E115" s="156">
        <f>'дод 3'!F184</f>
        <v>20984700</v>
      </c>
      <c r="F115" s="156">
        <f>'дод 3'!G184</f>
        <v>15797400</v>
      </c>
      <c r="G115" s="156">
        <f>'дод 3'!H184</f>
        <v>658300</v>
      </c>
      <c r="H115" s="156">
        <f>'дод 3'!I184</f>
        <v>0</v>
      </c>
      <c r="I115" s="156">
        <f>'дод 3'!J184</f>
        <v>596200</v>
      </c>
      <c r="J115" s="156">
        <f>'дод 3'!K184</f>
        <v>500000</v>
      </c>
      <c r="K115" s="156">
        <f>'дод 3'!L184</f>
        <v>96200</v>
      </c>
      <c r="L115" s="156">
        <f>'дод 3'!M184</f>
        <v>78600</v>
      </c>
      <c r="M115" s="156">
        <f>'дод 3'!N184</f>
        <v>0</v>
      </c>
      <c r="N115" s="156">
        <f>'дод 3'!O184</f>
        <v>500000</v>
      </c>
      <c r="O115" s="156">
        <f>'дод 3'!P184</f>
        <v>21580900</v>
      </c>
      <c r="P115" s="193"/>
    </row>
    <row r="116" spans="1:16" ht="69.75" customHeight="1" x14ac:dyDescent="0.25">
      <c r="A116" s="37" t="s">
        <v>327</v>
      </c>
      <c r="B116" s="37" t="s">
        <v>99</v>
      </c>
      <c r="C116" s="36" t="s">
        <v>328</v>
      </c>
      <c r="D116" s="156">
        <f>SUM('дод 3'!E214)</f>
        <v>227280</v>
      </c>
      <c r="E116" s="156">
        <f>SUM('дод 3'!F214)</f>
        <v>227280</v>
      </c>
      <c r="F116" s="156">
        <f>SUM('дод 3'!G214)</f>
        <v>0</v>
      </c>
      <c r="G116" s="156">
        <f>SUM('дод 3'!H214)</f>
        <v>0</v>
      </c>
      <c r="H116" s="156">
        <f>SUM('дод 3'!I214)</f>
        <v>0</v>
      </c>
      <c r="I116" s="156">
        <f>SUM('дод 3'!J214)</f>
        <v>0</v>
      </c>
      <c r="J116" s="156">
        <f>SUM('дод 3'!K214)</f>
        <v>0</v>
      </c>
      <c r="K116" s="156">
        <f>SUM('дод 3'!L214)</f>
        <v>0</v>
      </c>
      <c r="L116" s="156">
        <f>SUM('дод 3'!M214)</f>
        <v>0</v>
      </c>
      <c r="M116" s="156">
        <f>SUM('дод 3'!N214)</f>
        <v>0</v>
      </c>
      <c r="N116" s="156">
        <f>SUM('дод 3'!O214)</f>
        <v>0</v>
      </c>
      <c r="O116" s="156">
        <f>SUM('дод 3'!P214)</f>
        <v>227280</v>
      </c>
      <c r="P116" s="193"/>
    </row>
    <row r="117" spans="1:16" s="51" customFormat="1" ht="36" customHeight="1" x14ac:dyDescent="0.25">
      <c r="A117" s="37" t="s">
        <v>102</v>
      </c>
      <c r="B117" s="37" t="s">
        <v>99</v>
      </c>
      <c r="C117" s="3" t="s">
        <v>30</v>
      </c>
      <c r="D117" s="156">
        <f>'дод 3'!E215</f>
        <v>195460</v>
      </c>
      <c r="E117" s="156">
        <f>'дод 3'!F215</f>
        <v>195460</v>
      </c>
      <c r="F117" s="156">
        <f>'дод 3'!G215</f>
        <v>0</v>
      </c>
      <c r="G117" s="156">
        <f>'дод 3'!H215</f>
        <v>0</v>
      </c>
      <c r="H117" s="156">
        <f>'дод 3'!I215</f>
        <v>0</v>
      </c>
      <c r="I117" s="156">
        <f>'дод 3'!J215</f>
        <v>0</v>
      </c>
      <c r="J117" s="156">
        <f>'дод 3'!K215</f>
        <v>0</v>
      </c>
      <c r="K117" s="156">
        <f>'дод 3'!L215</f>
        <v>0</v>
      </c>
      <c r="L117" s="156">
        <f>'дод 3'!M215</f>
        <v>0</v>
      </c>
      <c r="M117" s="156">
        <f>'дод 3'!N215</f>
        <v>0</v>
      </c>
      <c r="N117" s="156">
        <f>'дод 3'!O215</f>
        <v>0</v>
      </c>
      <c r="O117" s="156">
        <f>'дод 3'!P215</f>
        <v>195460</v>
      </c>
      <c r="P117" s="193"/>
    </row>
    <row r="118" spans="1:16" s="51" customFormat="1" ht="38.25" customHeight="1" x14ac:dyDescent="0.25">
      <c r="A118" s="37" t="s">
        <v>124</v>
      </c>
      <c r="B118" s="37" t="s">
        <v>99</v>
      </c>
      <c r="C118" s="3" t="s">
        <v>595</v>
      </c>
      <c r="D118" s="156">
        <f>'дод 3'!E23</f>
        <v>3552000</v>
      </c>
      <c r="E118" s="156">
        <f>'дод 3'!F23</f>
        <v>3552000</v>
      </c>
      <c r="F118" s="156">
        <f>'дод 3'!G23</f>
        <v>2624000</v>
      </c>
      <c r="G118" s="156">
        <f>'дод 3'!H23</f>
        <v>84700</v>
      </c>
      <c r="H118" s="156">
        <f>'дод 3'!I23</f>
        <v>0</v>
      </c>
      <c r="I118" s="156">
        <f>'дод 3'!J23</f>
        <v>200000</v>
      </c>
      <c r="J118" s="156">
        <f>'дод 3'!K23</f>
        <v>200000</v>
      </c>
      <c r="K118" s="156">
        <f>'дод 3'!L23</f>
        <v>0</v>
      </c>
      <c r="L118" s="156">
        <f>'дод 3'!M23</f>
        <v>0</v>
      </c>
      <c r="M118" s="156">
        <f>'дод 3'!N23</f>
        <v>0</v>
      </c>
      <c r="N118" s="156">
        <f>'дод 3'!O23</f>
        <v>200000</v>
      </c>
      <c r="O118" s="156">
        <f>'дод 3'!P23</f>
        <v>3752000</v>
      </c>
      <c r="P118" s="193"/>
    </row>
    <row r="119" spans="1:16" s="51" customFormat="1" ht="55.5" customHeight="1" x14ac:dyDescent="0.25">
      <c r="A119" s="40" t="s">
        <v>106</v>
      </c>
      <c r="B119" s="40" t="s">
        <v>99</v>
      </c>
      <c r="C119" s="3" t="s">
        <v>335</v>
      </c>
      <c r="D119" s="156">
        <f>'дод 3'!E24</f>
        <v>2009310</v>
      </c>
      <c r="E119" s="156">
        <f>'дод 3'!F24</f>
        <v>2009310</v>
      </c>
      <c r="F119" s="156">
        <f>'дод 3'!G24</f>
        <v>0</v>
      </c>
      <c r="G119" s="156">
        <f>'дод 3'!H24</f>
        <v>0</v>
      </c>
      <c r="H119" s="156">
        <f>'дод 3'!I24</f>
        <v>0</v>
      </c>
      <c r="I119" s="156">
        <f>'дод 3'!J24</f>
        <v>0</v>
      </c>
      <c r="J119" s="156">
        <f>'дод 3'!K24</f>
        <v>0</v>
      </c>
      <c r="K119" s="156">
        <f>'дод 3'!L24</f>
        <v>0</v>
      </c>
      <c r="L119" s="156">
        <f>'дод 3'!M24</f>
        <v>0</v>
      </c>
      <c r="M119" s="156">
        <f>'дод 3'!N24</f>
        <v>0</v>
      </c>
      <c r="N119" s="156">
        <f>'дод 3'!O24</f>
        <v>0</v>
      </c>
      <c r="O119" s="156">
        <f>'дод 3'!P24</f>
        <v>2009310</v>
      </c>
      <c r="P119" s="193"/>
    </row>
    <row r="120" spans="1:16" s="51" customFormat="1" ht="26.25" customHeight="1" x14ac:dyDescent="0.25">
      <c r="A120" s="40">
        <v>3133</v>
      </c>
      <c r="B120" s="40">
        <v>1040</v>
      </c>
      <c r="C120" s="3" t="s">
        <v>578</v>
      </c>
      <c r="D120" s="156">
        <f>'дод 3'!E25</f>
        <v>5884800</v>
      </c>
      <c r="E120" s="156">
        <f>'дод 3'!F25</f>
        <v>5884800</v>
      </c>
      <c r="F120" s="156">
        <f>'дод 3'!G25</f>
        <v>2768700</v>
      </c>
      <c r="G120" s="156">
        <f>'дод 3'!H25</f>
        <v>779400</v>
      </c>
      <c r="H120" s="156">
        <f>'дод 3'!I25</f>
        <v>0</v>
      </c>
      <c r="I120" s="156">
        <f>'дод 3'!J25</f>
        <v>1235000</v>
      </c>
      <c r="J120" s="156">
        <f>'дод 3'!K25</f>
        <v>1100000</v>
      </c>
      <c r="K120" s="156">
        <f>'дод 3'!L25</f>
        <v>105558</v>
      </c>
      <c r="L120" s="156">
        <f>'дод 3'!M25</f>
        <v>0</v>
      </c>
      <c r="M120" s="156">
        <f>'дод 3'!N25</f>
        <v>45558</v>
      </c>
      <c r="N120" s="156">
        <f>'дод 3'!O25</f>
        <v>1129442</v>
      </c>
      <c r="O120" s="156">
        <f>'дод 3'!P25</f>
        <v>7119800</v>
      </c>
      <c r="P120" s="193"/>
    </row>
    <row r="121" spans="1:16" ht="69" customHeight="1" x14ac:dyDescent="0.25">
      <c r="A121" s="37" t="s">
        <v>107</v>
      </c>
      <c r="B121" s="37" t="s">
        <v>99</v>
      </c>
      <c r="C121" s="6" t="s">
        <v>20</v>
      </c>
      <c r="D121" s="156">
        <f>'дод 3'!E26+'дод 3'!E114+'дод 3'!E185</f>
        <v>9089400</v>
      </c>
      <c r="E121" s="156">
        <f>'дод 3'!F26+'дод 3'!F114+'дод 3'!F185</f>
        <v>9089400</v>
      </c>
      <c r="F121" s="156">
        <f>'дод 3'!G26+'дод 3'!G114+'дод 3'!G185</f>
        <v>0</v>
      </c>
      <c r="G121" s="156">
        <f>'дод 3'!H26+'дод 3'!H114+'дод 3'!H185</f>
        <v>0</v>
      </c>
      <c r="H121" s="156">
        <f>'дод 3'!I26+'дод 3'!I114+'дод 3'!I185</f>
        <v>0</v>
      </c>
      <c r="I121" s="156">
        <f>'дод 3'!J26+'дод 3'!J114+'дод 3'!J185</f>
        <v>0</v>
      </c>
      <c r="J121" s="156">
        <f>'дод 3'!K26+'дод 3'!K114+'дод 3'!K185</f>
        <v>0</v>
      </c>
      <c r="K121" s="156">
        <f>'дод 3'!L26+'дод 3'!L114+'дод 3'!L185</f>
        <v>0</v>
      </c>
      <c r="L121" s="156">
        <f>'дод 3'!M26+'дод 3'!M114+'дод 3'!M185</f>
        <v>0</v>
      </c>
      <c r="M121" s="156">
        <f>'дод 3'!N26+'дод 3'!N114+'дод 3'!N185</f>
        <v>0</v>
      </c>
      <c r="N121" s="156">
        <f>'дод 3'!O26+'дод 3'!O114+'дод 3'!O185</f>
        <v>0</v>
      </c>
      <c r="O121" s="156">
        <f>'дод 3'!P26+'дод 3'!P114+'дод 3'!P185</f>
        <v>9089400</v>
      </c>
      <c r="P121" s="193"/>
    </row>
    <row r="122" spans="1:16" ht="78.75" x14ac:dyDescent="0.25">
      <c r="A122" s="37" t="s">
        <v>108</v>
      </c>
      <c r="B122" s="37">
        <v>1010</v>
      </c>
      <c r="C122" s="3" t="s">
        <v>281</v>
      </c>
      <c r="D122" s="156">
        <f>'дод 3'!E186</f>
        <v>5461975</v>
      </c>
      <c r="E122" s="156">
        <f>'дод 3'!F186</f>
        <v>5461975</v>
      </c>
      <c r="F122" s="156">
        <f>'дод 3'!G186</f>
        <v>0</v>
      </c>
      <c r="G122" s="156">
        <f>'дод 3'!H186</f>
        <v>0</v>
      </c>
      <c r="H122" s="156">
        <f>'дод 3'!I186</f>
        <v>0</v>
      </c>
      <c r="I122" s="156">
        <f>'дод 3'!J186</f>
        <v>0</v>
      </c>
      <c r="J122" s="156">
        <f>'дод 3'!K186</f>
        <v>0</v>
      </c>
      <c r="K122" s="156">
        <f>'дод 3'!L186</f>
        <v>0</v>
      </c>
      <c r="L122" s="156">
        <f>'дод 3'!M186</f>
        <v>0</v>
      </c>
      <c r="M122" s="156">
        <f>'дод 3'!N186</f>
        <v>0</v>
      </c>
      <c r="N122" s="156">
        <f>'дод 3'!O186</f>
        <v>0</v>
      </c>
      <c r="O122" s="156">
        <f>'дод 3'!P186</f>
        <v>5461975</v>
      </c>
      <c r="P122" s="193"/>
    </row>
    <row r="123" spans="1:16" s="51" customFormat="1" ht="63" customHeight="1" x14ac:dyDescent="0.25">
      <c r="A123" s="37" t="s">
        <v>311</v>
      </c>
      <c r="B123" s="37">
        <v>1010</v>
      </c>
      <c r="C123" s="3" t="s">
        <v>399</v>
      </c>
      <c r="D123" s="156">
        <f>'дод 3'!E187</f>
        <v>213745</v>
      </c>
      <c r="E123" s="156">
        <f>'дод 3'!F187</f>
        <v>213745</v>
      </c>
      <c r="F123" s="156">
        <f>'дод 3'!G187</f>
        <v>0</v>
      </c>
      <c r="G123" s="156">
        <f>'дод 3'!H187</f>
        <v>0</v>
      </c>
      <c r="H123" s="156">
        <f>'дод 3'!I187</f>
        <v>0</v>
      </c>
      <c r="I123" s="156">
        <f>'дод 3'!J187</f>
        <v>0</v>
      </c>
      <c r="J123" s="156">
        <f>'дод 3'!K187</f>
        <v>0</v>
      </c>
      <c r="K123" s="156">
        <f>'дод 3'!L187</f>
        <v>0</v>
      </c>
      <c r="L123" s="156">
        <f>'дод 3'!M187</f>
        <v>0</v>
      </c>
      <c r="M123" s="156">
        <f>'дод 3'!N187</f>
        <v>0</v>
      </c>
      <c r="N123" s="156">
        <f>'дод 3'!O187</f>
        <v>0</v>
      </c>
      <c r="O123" s="156">
        <f>'дод 3'!P187</f>
        <v>213745</v>
      </c>
      <c r="P123" s="193"/>
    </row>
    <row r="124" spans="1:16" s="51" customFormat="1" ht="15.75" customHeight="1" x14ac:dyDescent="0.25">
      <c r="A124" s="71"/>
      <c r="B124" s="71"/>
      <c r="C124" s="72" t="s">
        <v>388</v>
      </c>
      <c r="D124" s="157">
        <f>'дод 3'!E188</f>
        <v>213745</v>
      </c>
      <c r="E124" s="157">
        <f>'дод 3'!F188</f>
        <v>213745</v>
      </c>
      <c r="F124" s="157">
        <f>'дод 3'!G188</f>
        <v>0</v>
      </c>
      <c r="G124" s="157">
        <f>'дод 3'!H188</f>
        <v>0</v>
      </c>
      <c r="H124" s="157">
        <f>'дод 3'!I188</f>
        <v>0</v>
      </c>
      <c r="I124" s="157">
        <f>'дод 3'!J188</f>
        <v>0</v>
      </c>
      <c r="J124" s="157">
        <f>'дод 3'!K188</f>
        <v>0</v>
      </c>
      <c r="K124" s="157">
        <f>'дод 3'!L188</f>
        <v>0</v>
      </c>
      <c r="L124" s="157">
        <f>'дод 3'!M188</f>
        <v>0</v>
      </c>
      <c r="M124" s="157">
        <f>'дод 3'!N188</f>
        <v>0</v>
      </c>
      <c r="N124" s="157">
        <f>'дод 3'!O188</f>
        <v>0</v>
      </c>
      <c r="O124" s="157">
        <f>'дод 3'!P188</f>
        <v>213745</v>
      </c>
      <c r="P124" s="193"/>
    </row>
    <row r="125" spans="1:16" s="51" customFormat="1" ht="36" hidden="1" customHeight="1" x14ac:dyDescent="0.25">
      <c r="A125" s="37" t="s">
        <v>312</v>
      </c>
      <c r="B125" s="37">
        <v>1010</v>
      </c>
      <c r="C125" s="3" t="s">
        <v>400</v>
      </c>
      <c r="D125" s="156">
        <f>'дод 3'!E189</f>
        <v>0</v>
      </c>
      <c r="E125" s="156">
        <f>'дод 3'!F189</f>
        <v>0</v>
      </c>
      <c r="F125" s="156">
        <f>'дод 3'!G189</f>
        <v>0</v>
      </c>
      <c r="G125" s="156">
        <f>'дод 3'!H189</f>
        <v>0</v>
      </c>
      <c r="H125" s="156">
        <f>'дод 3'!I189</f>
        <v>0</v>
      </c>
      <c r="I125" s="156">
        <f>'дод 3'!J189</f>
        <v>0</v>
      </c>
      <c r="J125" s="156">
        <f>'дод 3'!K189</f>
        <v>0</v>
      </c>
      <c r="K125" s="156">
        <f>'дод 3'!L189</f>
        <v>0</v>
      </c>
      <c r="L125" s="156">
        <f>'дод 3'!M189</f>
        <v>0</v>
      </c>
      <c r="M125" s="156">
        <f>'дод 3'!N189</f>
        <v>0</v>
      </c>
      <c r="N125" s="156">
        <f>'дод 3'!O189</f>
        <v>0</v>
      </c>
      <c r="O125" s="156">
        <f>'дод 3'!P189</f>
        <v>0</v>
      </c>
      <c r="P125" s="193"/>
    </row>
    <row r="126" spans="1:16" s="51" customFormat="1" ht="15.75" hidden="1" customHeight="1" x14ac:dyDescent="0.25">
      <c r="A126" s="71"/>
      <c r="B126" s="71"/>
      <c r="C126" s="72" t="s">
        <v>388</v>
      </c>
      <c r="D126" s="157">
        <f>'дод 3'!E190</f>
        <v>0</v>
      </c>
      <c r="E126" s="157">
        <f>'дод 3'!F190</f>
        <v>0</v>
      </c>
      <c r="F126" s="157">
        <f>'дод 3'!G190</f>
        <v>0</v>
      </c>
      <c r="G126" s="157">
        <f>'дод 3'!H190</f>
        <v>0</v>
      </c>
      <c r="H126" s="157">
        <f>'дод 3'!I190</f>
        <v>0</v>
      </c>
      <c r="I126" s="157">
        <f>'дод 3'!J190</f>
        <v>0</v>
      </c>
      <c r="J126" s="157">
        <f>'дод 3'!K190</f>
        <v>0</v>
      </c>
      <c r="K126" s="157">
        <f>'дод 3'!L190</f>
        <v>0</v>
      </c>
      <c r="L126" s="157">
        <f>'дод 3'!M190</f>
        <v>0</v>
      </c>
      <c r="M126" s="157">
        <f>'дод 3'!N190</f>
        <v>0</v>
      </c>
      <c r="N126" s="157">
        <f>'дод 3'!O190</f>
        <v>0</v>
      </c>
      <c r="O126" s="157">
        <f>'дод 3'!P190</f>
        <v>0</v>
      </c>
      <c r="P126" s="193"/>
    </row>
    <row r="127" spans="1:16" ht="72.75" customHeight="1" x14ac:dyDescent="0.25">
      <c r="A127" s="37" t="s">
        <v>103</v>
      </c>
      <c r="B127" s="37" t="s">
        <v>52</v>
      </c>
      <c r="C127" s="3" t="s">
        <v>336</v>
      </c>
      <c r="D127" s="156">
        <f>'дод 3'!E191</f>
        <v>318346</v>
      </c>
      <c r="E127" s="156">
        <f>'дод 3'!F191</f>
        <v>318346</v>
      </c>
      <c r="F127" s="156">
        <f>'дод 3'!G191</f>
        <v>0</v>
      </c>
      <c r="G127" s="156">
        <f>'дод 3'!H191</f>
        <v>0</v>
      </c>
      <c r="H127" s="156">
        <f>'дод 3'!I191</f>
        <v>0</v>
      </c>
      <c r="I127" s="156">
        <f>'дод 3'!J191</f>
        <v>0</v>
      </c>
      <c r="J127" s="156">
        <f>'дод 3'!K191</f>
        <v>0</v>
      </c>
      <c r="K127" s="156">
        <f>'дод 3'!L191</f>
        <v>0</v>
      </c>
      <c r="L127" s="156">
        <f>'дод 3'!M191</f>
        <v>0</v>
      </c>
      <c r="M127" s="156">
        <f>'дод 3'!N191</f>
        <v>0</v>
      </c>
      <c r="N127" s="156">
        <f>'дод 3'!O191</f>
        <v>0</v>
      </c>
      <c r="O127" s="156">
        <f>'дод 3'!P191</f>
        <v>318346</v>
      </c>
      <c r="P127" s="193"/>
    </row>
    <row r="128" spans="1:16" s="51" customFormat="1" ht="34.5" customHeight="1" x14ac:dyDescent="0.25">
      <c r="A128" s="37" t="s">
        <v>282</v>
      </c>
      <c r="B128" s="37" t="s">
        <v>51</v>
      </c>
      <c r="C128" s="3" t="s">
        <v>18</v>
      </c>
      <c r="D128" s="156">
        <f>'дод 3'!E192</f>
        <v>2522957</v>
      </c>
      <c r="E128" s="156">
        <f>'дод 3'!F192</f>
        <v>2522957</v>
      </c>
      <c r="F128" s="156">
        <f>'дод 3'!G192</f>
        <v>0</v>
      </c>
      <c r="G128" s="156">
        <f>'дод 3'!H192</f>
        <v>0</v>
      </c>
      <c r="H128" s="156">
        <f>'дод 3'!I192</f>
        <v>0</v>
      </c>
      <c r="I128" s="156">
        <f>'дод 3'!J192</f>
        <v>0</v>
      </c>
      <c r="J128" s="156">
        <f>'дод 3'!K192</f>
        <v>0</v>
      </c>
      <c r="K128" s="156">
        <f>'дод 3'!L192</f>
        <v>0</v>
      </c>
      <c r="L128" s="156">
        <f>'дод 3'!M192</f>
        <v>0</v>
      </c>
      <c r="M128" s="156">
        <f>'дод 3'!N192</f>
        <v>0</v>
      </c>
      <c r="N128" s="156">
        <f>'дод 3'!O192</f>
        <v>0</v>
      </c>
      <c r="O128" s="156">
        <f>'дод 3'!P192</f>
        <v>2522957</v>
      </c>
      <c r="P128" s="193">
        <v>56</v>
      </c>
    </row>
    <row r="129" spans="1:16" s="51" customFormat="1" ht="51" customHeight="1" x14ac:dyDescent="0.25">
      <c r="A129" s="37" t="s">
        <v>283</v>
      </c>
      <c r="B129" s="37" t="s">
        <v>51</v>
      </c>
      <c r="C129" s="57" t="s">
        <v>485</v>
      </c>
      <c r="D129" s="156">
        <f>'дод 3'!E193</f>
        <v>2390210</v>
      </c>
      <c r="E129" s="156">
        <f>'дод 3'!F193</f>
        <v>2390210</v>
      </c>
      <c r="F129" s="156">
        <f>'дод 3'!G193</f>
        <v>0</v>
      </c>
      <c r="G129" s="156">
        <f>'дод 3'!H193</f>
        <v>0</v>
      </c>
      <c r="H129" s="156">
        <f>'дод 3'!I193</f>
        <v>0</v>
      </c>
      <c r="I129" s="156">
        <f>'дод 3'!J193</f>
        <v>0</v>
      </c>
      <c r="J129" s="156">
        <f>'дод 3'!K193</f>
        <v>0</v>
      </c>
      <c r="K129" s="156">
        <f>'дод 3'!L193</f>
        <v>0</v>
      </c>
      <c r="L129" s="156">
        <f>'дод 3'!M193</f>
        <v>0</v>
      </c>
      <c r="M129" s="156">
        <f>'дод 3'!N193</f>
        <v>0</v>
      </c>
      <c r="N129" s="156">
        <f>'дод 3'!O193</f>
        <v>0</v>
      </c>
      <c r="O129" s="156">
        <f>'дод 3'!P193</f>
        <v>2390210</v>
      </c>
      <c r="P129" s="193"/>
    </row>
    <row r="130" spans="1:16" ht="36.75" customHeight="1" x14ac:dyDescent="0.25">
      <c r="A130" s="37" t="s">
        <v>104</v>
      </c>
      <c r="B130" s="37" t="s">
        <v>55</v>
      </c>
      <c r="C130" s="3" t="s">
        <v>337</v>
      </c>
      <c r="D130" s="156">
        <f>'дод 3'!E194</f>
        <v>96800</v>
      </c>
      <c r="E130" s="156">
        <f>'дод 3'!F194</f>
        <v>96800</v>
      </c>
      <c r="F130" s="156">
        <f>'дод 3'!G194</f>
        <v>0</v>
      </c>
      <c r="G130" s="156">
        <f>'дод 3'!H194</f>
        <v>0</v>
      </c>
      <c r="H130" s="156">
        <f>'дод 3'!I194</f>
        <v>0</v>
      </c>
      <c r="I130" s="156">
        <f>'дод 3'!J194</f>
        <v>0</v>
      </c>
      <c r="J130" s="156">
        <f>'дод 3'!K194</f>
        <v>0</v>
      </c>
      <c r="K130" s="156">
        <f>'дод 3'!L194</f>
        <v>0</v>
      </c>
      <c r="L130" s="156">
        <f>'дод 3'!M194</f>
        <v>0</v>
      </c>
      <c r="M130" s="156">
        <f>'дод 3'!N194</f>
        <v>0</v>
      </c>
      <c r="N130" s="156">
        <f>'дод 3'!O194</f>
        <v>0</v>
      </c>
      <c r="O130" s="156">
        <f>'дод 3'!P194</f>
        <v>96800</v>
      </c>
      <c r="P130" s="193"/>
    </row>
    <row r="131" spans="1:16" ht="20.25" customHeight="1" x14ac:dyDescent="0.25">
      <c r="A131" s="37" t="s">
        <v>284</v>
      </c>
      <c r="B131" s="37" t="s">
        <v>105</v>
      </c>
      <c r="C131" s="3" t="s">
        <v>36</v>
      </c>
      <c r="D131" s="156">
        <f>'дод 3'!E195+'дод 3'!E240</f>
        <v>250000</v>
      </c>
      <c r="E131" s="156">
        <f>'дод 3'!F195+'дод 3'!F240</f>
        <v>250000</v>
      </c>
      <c r="F131" s="156">
        <f>'дод 3'!G195+'дод 3'!G240</f>
        <v>40900</v>
      </c>
      <c r="G131" s="156">
        <f>'дод 3'!H195+'дод 3'!H240</f>
        <v>0</v>
      </c>
      <c r="H131" s="156">
        <f>'дод 3'!I195+'дод 3'!I240</f>
        <v>0</v>
      </c>
      <c r="I131" s="156">
        <f>'дод 3'!J195+'дод 3'!J240</f>
        <v>0</v>
      </c>
      <c r="J131" s="156">
        <f>'дод 3'!K195+'дод 3'!K240</f>
        <v>0</v>
      </c>
      <c r="K131" s="156">
        <f>'дод 3'!L195+'дод 3'!L240</f>
        <v>0</v>
      </c>
      <c r="L131" s="156">
        <f>'дод 3'!M195+'дод 3'!M240</f>
        <v>0</v>
      </c>
      <c r="M131" s="156">
        <f>'дод 3'!N195+'дод 3'!N240</f>
        <v>0</v>
      </c>
      <c r="N131" s="156">
        <f>'дод 3'!O195+'дод 3'!O240</f>
        <v>0</v>
      </c>
      <c r="O131" s="156">
        <f>'дод 3'!P195+'дод 3'!P240</f>
        <v>250000</v>
      </c>
      <c r="P131" s="193"/>
    </row>
    <row r="132" spans="1:16" ht="240.75" hidden="1" customHeight="1" x14ac:dyDescent="0.25">
      <c r="A132" s="37">
        <v>3221</v>
      </c>
      <c r="B132" s="55" t="s">
        <v>52</v>
      </c>
      <c r="C132" s="36" t="s">
        <v>550</v>
      </c>
      <c r="D132" s="156">
        <f>'дод 3'!E196</f>
        <v>0</v>
      </c>
      <c r="E132" s="156">
        <f>'дод 3'!F196</f>
        <v>0</v>
      </c>
      <c r="F132" s="156">
        <f>'дод 3'!G196</f>
        <v>0</v>
      </c>
      <c r="G132" s="156">
        <f>'дод 3'!H196</f>
        <v>0</v>
      </c>
      <c r="H132" s="156">
        <f>'дод 3'!I196</f>
        <v>0</v>
      </c>
      <c r="I132" s="156">
        <f>'дод 3'!J196</f>
        <v>0</v>
      </c>
      <c r="J132" s="156">
        <f>'дод 3'!K196</f>
        <v>0</v>
      </c>
      <c r="K132" s="156">
        <f>'дод 3'!L196</f>
        <v>0</v>
      </c>
      <c r="L132" s="156">
        <f>'дод 3'!M196</f>
        <v>0</v>
      </c>
      <c r="M132" s="156">
        <f>'дод 3'!N196</f>
        <v>0</v>
      </c>
      <c r="N132" s="156">
        <f>'дод 3'!O196</f>
        <v>0</v>
      </c>
      <c r="O132" s="156">
        <f>'дод 3'!P196</f>
        <v>0</v>
      </c>
      <c r="P132" s="193"/>
    </row>
    <row r="133" spans="1:16" s="51" customFormat="1" ht="267.75" hidden="1" customHeight="1" x14ac:dyDescent="0.25">
      <c r="A133" s="71"/>
      <c r="B133" s="81"/>
      <c r="C133" s="79" t="s">
        <v>549</v>
      </c>
      <c r="D133" s="157">
        <f>'дод 3'!E197</f>
        <v>0</v>
      </c>
      <c r="E133" s="157">
        <f>'дод 3'!F197</f>
        <v>0</v>
      </c>
      <c r="F133" s="157">
        <f>'дод 3'!G197</f>
        <v>0</v>
      </c>
      <c r="G133" s="157">
        <f>'дод 3'!H197</f>
        <v>0</v>
      </c>
      <c r="H133" s="157">
        <f>'дод 3'!I197</f>
        <v>0</v>
      </c>
      <c r="I133" s="157">
        <f>'дод 3'!J197</f>
        <v>0</v>
      </c>
      <c r="J133" s="157">
        <f>'дод 3'!K197</f>
        <v>0</v>
      </c>
      <c r="K133" s="157">
        <f>'дод 3'!L197</f>
        <v>0</v>
      </c>
      <c r="L133" s="157">
        <f>'дод 3'!M197</f>
        <v>0</v>
      </c>
      <c r="M133" s="157">
        <f>'дод 3'!N197</f>
        <v>0</v>
      </c>
      <c r="N133" s="157">
        <f>'дод 3'!O197</f>
        <v>0</v>
      </c>
      <c r="O133" s="157">
        <f>'дод 3'!P197</f>
        <v>0</v>
      </c>
      <c r="P133" s="193"/>
    </row>
    <row r="134" spans="1:16" s="51" customFormat="1" ht="293.25" hidden="1" customHeight="1" x14ac:dyDescent="0.25">
      <c r="A134" s="42">
        <v>3222</v>
      </c>
      <c r="B134" s="89" t="s">
        <v>52</v>
      </c>
      <c r="C134" s="36" t="s">
        <v>571</v>
      </c>
      <c r="D134" s="156">
        <f>'дод 3'!E198</f>
        <v>0</v>
      </c>
      <c r="E134" s="156">
        <f>'дод 3'!F198</f>
        <v>0</v>
      </c>
      <c r="F134" s="156">
        <f>'дод 3'!G198</f>
        <v>0</v>
      </c>
      <c r="G134" s="156">
        <f>'дод 3'!H198</f>
        <v>0</v>
      </c>
      <c r="H134" s="156">
        <f>'дод 3'!I198</f>
        <v>0</v>
      </c>
      <c r="I134" s="156">
        <f>'дод 3'!J198</f>
        <v>0</v>
      </c>
      <c r="J134" s="156">
        <f>'дод 3'!K198</f>
        <v>0</v>
      </c>
      <c r="K134" s="156">
        <f>'дод 3'!L198</f>
        <v>0</v>
      </c>
      <c r="L134" s="156">
        <f>'дод 3'!M198</f>
        <v>0</v>
      </c>
      <c r="M134" s="156">
        <f>'дод 3'!N198</f>
        <v>0</v>
      </c>
      <c r="N134" s="156">
        <f>'дод 3'!O198</f>
        <v>0</v>
      </c>
      <c r="O134" s="156">
        <f>'дод 3'!P198</f>
        <v>0</v>
      </c>
      <c r="P134" s="193"/>
    </row>
    <row r="135" spans="1:16" s="51" customFormat="1" ht="333.75" hidden="1" customHeight="1" x14ac:dyDescent="0.25">
      <c r="A135" s="71"/>
      <c r="B135" s="81"/>
      <c r="C135" s="79" t="s">
        <v>566</v>
      </c>
      <c r="D135" s="157">
        <f>'дод 3'!E199</f>
        <v>0</v>
      </c>
      <c r="E135" s="157">
        <f>'дод 3'!F199</f>
        <v>0</v>
      </c>
      <c r="F135" s="157">
        <f>'дод 3'!G199</f>
        <v>0</v>
      </c>
      <c r="G135" s="157">
        <f>'дод 3'!H199</f>
        <v>0</v>
      </c>
      <c r="H135" s="157">
        <f>'дод 3'!I199</f>
        <v>0</v>
      </c>
      <c r="I135" s="157">
        <f>'дод 3'!J199</f>
        <v>0</v>
      </c>
      <c r="J135" s="157">
        <f>'дод 3'!K199</f>
        <v>0</v>
      </c>
      <c r="K135" s="157">
        <f>'дод 3'!L199</f>
        <v>0</v>
      </c>
      <c r="L135" s="157">
        <f>'дод 3'!M199</f>
        <v>0</v>
      </c>
      <c r="M135" s="157">
        <f>'дод 3'!N199</f>
        <v>0</v>
      </c>
      <c r="N135" s="157">
        <f>'дод 3'!O199</f>
        <v>0</v>
      </c>
      <c r="O135" s="157">
        <f>'дод 3'!P199</f>
        <v>0</v>
      </c>
      <c r="P135" s="193"/>
    </row>
    <row r="136" spans="1:16" ht="204.75" hidden="1" customHeight="1" x14ac:dyDescent="0.25">
      <c r="A136" s="37">
        <v>3223</v>
      </c>
      <c r="B136" s="55" t="s">
        <v>52</v>
      </c>
      <c r="C136" s="36" t="s">
        <v>432</v>
      </c>
      <c r="D136" s="156">
        <f>'дод 3'!E200</f>
        <v>0</v>
      </c>
      <c r="E136" s="156">
        <f>'дод 3'!F200</f>
        <v>0</v>
      </c>
      <c r="F136" s="156">
        <f>'дод 3'!G200</f>
        <v>0</v>
      </c>
      <c r="G136" s="156">
        <f>'дод 3'!H200</f>
        <v>0</v>
      </c>
      <c r="H136" s="156">
        <f>'дод 3'!I200</f>
        <v>0</v>
      </c>
      <c r="I136" s="156">
        <f>'дод 3'!J200</f>
        <v>0</v>
      </c>
      <c r="J136" s="156">
        <f>'дод 3'!K200</f>
        <v>0</v>
      </c>
      <c r="K136" s="156">
        <f>'дод 3'!L200</f>
        <v>0</v>
      </c>
      <c r="L136" s="156">
        <f>'дод 3'!M200</f>
        <v>0</v>
      </c>
      <c r="M136" s="156">
        <f>'дод 3'!N200</f>
        <v>0</v>
      </c>
      <c r="N136" s="156">
        <f>'дод 3'!O200</f>
        <v>0</v>
      </c>
      <c r="O136" s="156">
        <f>'дод 3'!P200</f>
        <v>0</v>
      </c>
      <c r="P136" s="193"/>
    </row>
    <row r="137" spans="1:16" s="51" customFormat="1" ht="252" hidden="1" customHeight="1" x14ac:dyDescent="0.25">
      <c r="A137" s="71"/>
      <c r="B137" s="81"/>
      <c r="C137" s="79" t="s">
        <v>433</v>
      </c>
      <c r="D137" s="157">
        <f>'дод 3'!E201</f>
        <v>0</v>
      </c>
      <c r="E137" s="157">
        <f>'дод 3'!F201</f>
        <v>0</v>
      </c>
      <c r="F137" s="157">
        <f>'дод 3'!G201</f>
        <v>0</v>
      </c>
      <c r="G137" s="157">
        <f>'дод 3'!H201</f>
        <v>0</v>
      </c>
      <c r="H137" s="157">
        <f>'дод 3'!I201</f>
        <v>0</v>
      </c>
      <c r="I137" s="157">
        <f>'дод 3'!J201</f>
        <v>0</v>
      </c>
      <c r="J137" s="157">
        <f>'дод 3'!K201</f>
        <v>0</v>
      </c>
      <c r="K137" s="157">
        <f>'дод 3'!L201</f>
        <v>0</v>
      </c>
      <c r="L137" s="157">
        <f>'дод 3'!M201</f>
        <v>0</v>
      </c>
      <c r="M137" s="157">
        <f>'дод 3'!N201</f>
        <v>0</v>
      </c>
      <c r="N137" s="157">
        <f>'дод 3'!O201</f>
        <v>0</v>
      </c>
      <c r="O137" s="157">
        <f>'дод 3'!P201</f>
        <v>0</v>
      </c>
      <c r="P137" s="193"/>
    </row>
    <row r="138" spans="1:16" s="51" customFormat="1" ht="32.25" customHeight="1" x14ac:dyDescent="0.25">
      <c r="A138" s="37" t="s">
        <v>285</v>
      </c>
      <c r="B138" s="37" t="s">
        <v>55</v>
      </c>
      <c r="C138" s="3" t="s">
        <v>287</v>
      </c>
      <c r="D138" s="156">
        <f>'дод 3'!E202+'дод 3'!E27</f>
        <v>6300200</v>
      </c>
      <c r="E138" s="156">
        <f>'дод 3'!F202+'дод 3'!F27</f>
        <v>6300200</v>
      </c>
      <c r="F138" s="156">
        <f>'дод 3'!G202+'дод 3'!G27</f>
        <v>3649000</v>
      </c>
      <c r="G138" s="156">
        <f>'дод 3'!H202+'дод 3'!H27</f>
        <v>605900</v>
      </c>
      <c r="H138" s="156">
        <f>'дод 3'!I202+'дод 3'!I27</f>
        <v>0</v>
      </c>
      <c r="I138" s="156">
        <f>'дод 3'!J202+'дод 3'!J27</f>
        <v>0</v>
      </c>
      <c r="J138" s="156">
        <f>'дод 3'!K202+'дод 3'!K27</f>
        <v>0</v>
      </c>
      <c r="K138" s="156">
        <f>'дод 3'!L202+'дод 3'!L27</f>
        <v>0</v>
      </c>
      <c r="L138" s="156">
        <f>'дод 3'!M202+'дод 3'!M27</f>
        <v>0</v>
      </c>
      <c r="M138" s="156">
        <f>'дод 3'!N202+'дод 3'!N27</f>
        <v>0</v>
      </c>
      <c r="N138" s="156">
        <f>'дод 3'!O202+'дод 3'!O27</f>
        <v>0</v>
      </c>
      <c r="O138" s="156">
        <f>'дод 3'!P202+'дод 3'!P27</f>
        <v>6300200</v>
      </c>
      <c r="P138" s="193"/>
    </row>
    <row r="139" spans="1:16" s="51" customFormat="1" ht="31.5" customHeight="1" x14ac:dyDescent="0.25">
      <c r="A139" s="37" t="s">
        <v>286</v>
      </c>
      <c r="B139" s="37" t="s">
        <v>55</v>
      </c>
      <c r="C139" s="3" t="s">
        <v>496</v>
      </c>
      <c r="D139" s="156">
        <f>'дод 3'!E28+'дод 3'!E115+'дод 3'!E203+'дод 3'!E216</f>
        <v>88545895</v>
      </c>
      <c r="E139" s="156">
        <f>'дод 3'!F28+'дод 3'!F115+'дод 3'!F203+'дод 3'!F216</f>
        <v>88545895</v>
      </c>
      <c r="F139" s="156">
        <f>'дод 3'!G28+'дод 3'!G115+'дод 3'!G203+'дод 3'!G216</f>
        <v>0</v>
      </c>
      <c r="G139" s="156">
        <f>'дод 3'!H28+'дод 3'!H115+'дод 3'!H203+'дод 3'!H216</f>
        <v>0</v>
      </c>
      <c r="H139" s="156">
        <f>'дод 3'!I28+'дод 3'!I115+'дод 3'!I203+'дод 3'!I216</f>
        <v>0</v>
      </c>
      <c r="I139" s="156">
        <f>'дод 3'!J28+'дод 3'!J115+'дод 3'!J203+'дод 3'!J216</f>
        <v>72000</v>
      </c>
      <c r="J139" s="156">
        <f>'дод 3'!K28+'дод 3'!K115+'дод 3'!K203+'дод 3'!K216</f>
        <v>72000</v>
      </c>
      <c r="K139" s="156">
        <f>'дод 3'!L28+'дод 3'!L115+'дод 3'!L203+'дод 3'!L216</f>
        <v>0</v>
      </c>
      <c r="L139" s="156">
        <f>'дод 3'!M28+'дод 3'!M115+'дод 3'!M203+'дод 3'!M216</f>
        <v>0</v>
      </c>
      <c r="M139" s="156">
        <f>'дод 3'!N28+'дод 3'!N115+'дод 3'!N203+'дод 3'!N216</f>
        <v>0</v>
      </c>
      <c r="N139" s="156">
        <f>'дод 3'!O28+'дод 3'!O115+'дод 3'!O203+'дод 3'!O216</f>
        <v>72000</v>
      </c>
      <c r="O139" s="156">
        <f>'дод 3'!P28+'дод 3'!P115+'дод 3'!P203+'дод 3'!P216</f>
        <v>88617895</v>
      </c>
      <c r="P139" s="193"/>
    </row>
    <row r="140" spans="1:16" s="51" customFormat="1" x14ac:dyDescent="0.25">
      <c r="A140" s="71"/>
      <c r="B140" s="71"/>
      <c r="C140" s="72" t="s">
        <v>388</v>
      </c>
      <c r="D140" s="157">
        <f>'дод 3'!E204</f>
        <v>304800</v>
      </c>
      <c r="E140" s="157">
        <f>'дод 3'!F204</f>
        <v>304800</v>
      </c>
      <c r="F140" s="157">
        <f>'дод 3'!G204</f>
        <v>0</v>
      </c>
      <c r="G140" s="157">
        <f>'дод 3'!H204</f>
        <v>0</v>
      </c>
      <c r="H140" s="157">
        <f>'дод 3'!I204</f>
        <v>0</v>
      </c>
      <c r="I140" s="157">
        <f>'дод 3'!J204</f>
        <v>0</v>
      </c>
      <c r="J140" s="157">
        <f>'дод 3'!K204</f>
        <v>0</v>
      </c>
      <c r="K140" s="157">
        <f>'дод 3'!L204</f>
        <v>0</v>
      </c>
      <c r="L140" s="157">
        <f>'дод 3'!M204</f>
        <v>0</v>
      </c>
      <c r="M140" s="157">
        <f>'дод 3'!N204</f>
        <v>0</v>
      </c>
      <c r="N140" s="157">
        <f>'дод 3'!O204</f>
        <v>0</v>
      </c>
      <c r="O140" s="157">
        <f>'дод 3'!P204</f>
        <v>304800</v>
      </c>
      <c r="P140" s="193"/>
    </row>
    <row r="141" spans="1:16" s="49" customFormat="1" ht="19.5" customHeight="1" x14ac:dyDescent="0.25">
      <c r="A141" s="38" t="s">
        <v>70</v>
      </c>
      <c r="B141" s="41"/>
      <c r="C141" s="2" t="s">
        <v>71</v>
      </c>
      <c r="D141" s="47">
        <f t="shared" ref="D141:O141" si="23">D142+D143+D144+D145</f>
        <v>38772638</v>
      </c>
      <c r="E141" s="47">
        <f t="shared" si="23"/>
        <v>38772638</v>
      </c>
      <c r="F141" s="47">
        <f t="shared" si="23"/>
        <v>24551085</v>
      </c>
      <c r="G141" s="47">
        <f t="shared" si="23"/>
        <v>3246650</v>
      </c>
      <c r="H141" s="47">
        <f t="shared" si="23"/>
        <v>0</v>
      </c>
      <c r="I141" s="47">
        <f t="shared" si="23"/>
        <v>484000</v>
      </c>
      <c r="J141" s="47">
        <f t="shared" si="23"/>
        <v>450000</v>
      </c>
      <c r="K141" s="47">
        <f t="shared" si="23"/>
        <v>34000</v>
      </c>
      <c r="L141" s="47">
        <f t="shared" si="23"/>
        <v>14560</v>
      </c>
      <c r="M141" s="47">
        <f t="shared" si="23"/>
        <v>3300</v>
      </c>
      <c r="N141" s="47">
        <f t="shared" si="23"/>
        <v>450000</v>
      </c>
      <c r="O141" s="47">
        <f t="shared" si="23"/>
        <v>39256638</v>
      </c>
      <c r="P141" s="193"/>
    </row>
    <row r="142" spans="1:16" ht="22.5" customHeight="1" x14ac:dyDescent="0.25">
      <c r="A142" s="37" t="s">
        <v>72</v>
      </c>
      <c r="B142" s="37" t="s">
        <v>73</v>
      </c>
      <c r="C142" s="3" t="s">
        <v>15</v>
      </c>
      <c r="D142" s="156">
        <f>'дод 3'!E223</f>
        <v>25433800</v>
      </c>
      <c r="E142" s="156">
        <f>'дод 3'!F223</f>
        <v>25433800</v>
      </c>
      <c r="F142" s="156">
        <f>'дод 3'!G223</f>
        <v>17662700</v>
      </c>
      <c r="G142" s="156">
        <f>'дод 3'!H223</f>
        <v>2568100</v>
      </c>
      <c r="H142" s="156">
        <f>'дод 3'!I223</f>
        <v>0</v>
      </c>
      <c r="I142" s="156">
        <f>'дод 3'!J223</f>
        <v>28000</v>
      </c>
      <c r="J142" s="156">
        <f>'дод 3'!K223</f>
        <v>0</v>
      </c>
      <c r="K142" s="156">
        <f>'дод 3'!L223</f>
        <v>28000</v>
      </c>
      <c r="L142" s="156">
        <f>'дод 3'!M223</f>
        <v>14560</v>
      </c>
      <c r="M142" s="156">
        <f>'дод 3'!N223</f>
        <v>0</v>
      </c>
      <c r="N142" s="156">
        <f>'дод 3'!O223</f>
        <v>0</v>
      </c>
      <c r="O142" s="156">
        <f>'дод 3'!P223</f>
        <v>25461800</v>
      </c>
      <c r="P142" s="193"/>
    </row>
    <row r="143" spans="1:16" ht="33.75" customHeight="1" x14ac:dyDescent="0.25">
      <c r="A143" s="37" t="s">
        <v>314</v>
      </c>
      <c r="B143" s="37" t="s">
        <v>315</v>
      </c>
      <c r="C143" s="3" t="s">
        <v>316</v>
      </c>
      <c r="D143" s="156">
        <f>'дод 3'!E29+'дод 3'!E224</f>
        <v>4681038</v>
      </c>
      <c r="E143" s="156">
        <f>'дод 3'!F29+'дод 3'!F224</f>
        <v>4681038</v>
      </c>
      <c r="F143" s="156">
        <f>'дод 3'!G29+'дод 3'!G224</f>
        <v>3173985</v>
      </c>
      <c r="G143" s="156">
        <f>'дод 3'!H29+'дод 3'!H224</f>
        <v>454450</v>
      </c>
      <c r="H143" s="156">
        <f>'дод 3'!I29+'дод 3'!I224</f>
        <v>0</v>
      </c>
      <c r="I143" s="156">
        <f>'дод 3'!J29+'дод 3'!J224</f>
        <v>456000</v>
      </c>
      <c r="J143" s="156">
        <f>'дод 3'!K29+'дод 3'!K224</f>
        <v>450000</v>
      </c>
      <c r="K143" s="156">
        <f>'дод 3'!L29+'дод 3'!L224</f>
        <v>6000</v>
      </c>
      <c r="L143" s="156">
        <f>'дод 3'!M29+'дод 3'!M224</f>
        <v>0</v>
      </c>
      <c r="M143" s="156">
        <f>'дод 3'!N29+'дод 3'!N224</f>
        <v>3300</v>
      </c>
      <c r="N143" s="156">
        <f>'дод 3'!O29+'дод 3'!O224</f>
        <v>450000</v>
      </c>
      <c r="O143" s="156">
        <f>'дод 3'!P29+'дод 3'!P224</f>
        <v>5137038</v>
      </c>
      <c r="P143" s="193"/>
    </row>
    <row r="144" spans="1:16" s="51" customFormat="1" ht="37.5" customHeight="1" x14ac:dyDescent="0.25">
      <c r="A144" s="37" t="s">
        <v>288</v>
      </c>
      <c r="B144" s="37" t="s">
        <v>74</v>
      </c>
      <c r="C144" s="3" t="s">
        <v>338</v>
      </c>
      <c r="D144" s="156">
        <f>'дод 3'!E30+'дод 3'!E225</f>
        <v>5483500</v>
      </c>
      <c r="E144" s="156">
        <f>'дод 3'!F30+'дод 3'!F225</f>
        <v>5483500</v>
      </c>
      <c r="F144" s="156">
        <f>'дод 3'!G30+'дод 3'!G225</f>
        <v>3714400</v>
      </c>
      <c r="G144" s="156">
        <f>'дод 3'!H30+'дод 3'!H225</f>
        <v>224100</v>
      </c>
      <c r="H144" s="156">
        <f>'дод 3'!I30+'дод 3'!I225</f>
        <v>0</v>
      </c>
      <c r="I144" s="156">
        <f>'дод 3'!J30+'дод 3'!J225</f>
        <v>0</v>
      </c>
      <c r="J144" s="156">
        <f>'дод 3'!K30+'дод 3'!K225</f>
        <v>0</v>
      </c>
      <c r="K144" s="156">
        <f>'дод 3'!L30+'дод 3'!L225</f>
        <v>0</v>
      </c>
      <c r="L144" s="156">
        <f>'дод 3'!M30+'дод 3'!M225</f>
        <v>0</v>
      </c>
      <c r="M144" s="156">
        <f>'дод 3'!N30+'дод 3'!N225</f>
        <v>0</v>
      </c>
      <c r="N144" s="156">
        <f>'дод 3'!O30+'дод 3'!O225</f>
        <v>0</v>
      </c>
      <c r="O144" s="156">
        <f>'дод 3'!P30+'дод 3'!P225</f>
        <v>5483500</v>
      </c>
      <c r="P144" s="193"/>
    </row>
    <row r="145" spans="1:16" s="51" customFormat="1" ht="22.5" customHeight="1" x14ac:dyDescent="0.25">
      <c r="A145" s="37" t="s">
        <v>289</v>
      </c>
      <c r="B145" s="37" t="s">
        <v>74</v>
      </c>
      <c r="C145" s="3" t="s">
        <v>290</v>
      </c>
      <c r="D145" s="156">
        <f>'дод 3'!E31+'дод 3'!E226</f>
        <v>3174300</v>
      </c>
      <c r="E145" s="156">
        <f>'дод 3'!F31+'дод 3'!F226</f>
        <v>3174300</v>
      </c>
      <c r="F145" s="156">
        <f>'дод 3'!G31+'дод 3'!G226</f>
        <v>0</v>
      </c>
      <c r="G145" s="156">
        <f>'дод 3'!H31+'дод 3'!H226</f>
        <v>0</v>
      </c>
      <c r="H145" s="156">
        <f>'дод 3'!I31+'дод 3'!I226</f>
        <v>0</v>
      </c>
      <c r="I145" s="156">
        <f>'дод 3'!J31+'дод 3'!J226</f>
        <v>0</v>
      </c>
      <c r="J145" s="156">
        <f>'дод 3'!K31+'дод 3'!K226</f>
        <v>0</v>
      </c>
      <c r="K145" s="156">
        <f>'дод 3'!L31+'дод 3'!L226</f>
        <v>0</v>
      </c>
      <c r="L145" s="156">
        <f>'дод 3'!M31+'дод 3'!M226</f>
        <v>0</v>
      </c>
      <c r="M145" s="156">
        <f>'дод 3'!N31+'дод 3'!N226</f>
        <v>0</v>
      </c>
      <c r="N145" s="156">
        <f>'дод 3'!O31+'дод 3'!O226</f>
        <v>0</v>
      </c>
      <c r="O145" s="156">
        <f>'дод 3'!P31+'дод 3'!P226</f>
        <v>3174300</v>
      </c>
      <c r="P145" s="193"/>
    </row>
    <row r="146" spans="1:16" s="49" customFormat="1" ht="21.75" customHeight="1" x14ac:dyDescent="0.25">
      <c r="A146" s="38" t="s">
        <v>77</v>
      </c>
      <c r="B146" s="41"/>
      <c r="C146" s="2" t="s">
        <v>589</v>
      </c>
      <c r="D146" s="47">
        <f t="shared" ref="D146:O146" si="24">D148+D149+D150+D152+D153+D154</f>
        <v>72889000</v>
      </c>
      <c r="E146" s="47">
        <f t="shared" si="24"/>
        <v>72889000</v>
      </c>
      <c r="F146" s="47">
        <f t="shared" si="24"/>
        <v>26901100</v>
      </c>
      <c r="G146" s="47">
        <f t="shared" si="24"/>
        <v>2482900</v>
      </c>
      <c r="H146" s="47">
        <f t="shared" si="24"/>
        <v>0</v>
      </c>
      <c r="I146" s="47">
        <f t="shared" si="24"/>
        <v>10786660</v>
      </c>
      <c r="J146" s="47">
        <f t="shared" si="24"/>
        <v>10350000</v>
      </c>
      <c r="K146" s="47">
        <f t="shared" si="24"/>
        <v>436660</v>
      </c>
      <c r="L146" s="47">
        <f t="shared" si="24"/>
        <v>288239</v>
      </c>
      <c r="M146" s="47">
        <f t="shared" si="24"/>
        <v>62532</v>
      </c>
      <c r="N146" s="47">
        <f t="shared" si="24"/>
        <v>10350000</v>
      </c>
      <c r="O146" s="47">
        <f t="shared" si="24"/>
        <v>83675660</v>
      </c>
      <c r="P146" s="193"/>
    </row>
    <row r="147" spans="1:16" s="49" customFormat="1" ht="21.75" hidden="1" customHeight="1" x14ac:dyDescent="0.25">
      <c r="A147" s="38"/>
      <c r="B147" s="41"/>
      <c r="C147" s="70" t="s">
        <v>390</v>
      </c>
      <c r="D147" s="158">
        <f>D151</f>
        <v>0</v>
      </c>
      <c r="E147" s="158">
        <f t="shared" ref="E147:O147" si="25">E151</f>
        <v>0</v>
      </c>
      <c r="F147" s="158">
        <f t="shared" si="25"/>
        <v>0</v>
      </c>
      <c r="G147" s="158">
        <f t="shared" si="25"/>
        <v>0</v>
      </c>
      <c r="H147" s="158">
        <f t="shared" si="25"/>
        <v>0</v>
      </c>
      <c r="I147" s="158">
        <f t="shared" si="25"/>
        <v>0</v>
      </c>
      <c r="J147" s="158">
        <f t="shared" si="25"/>
        <v>0</v>
      </c>
      <c r="K147" s="158">
        <f t="shared" si="25"/>
        <v>0</v>
      </c>
      <c r="L147" s="158">
        <f t="shared" si="25"/>
        <v>0</v>
      </c>
      <c r="M147" s="158">
        <f t="shared" si="25"/>
        <v>0</v>
      </c>
      <c r="N147" s="158">
        <f t="shared" si="25"/>
        <v>0</v>
      </c>
      <c r="O147" s="158">
        <f t="shared" si="25"/>
        <v>0</v>
      </c>
      <c r="P147" s="193"/>
    </row>
    <row r="148" spans="1:16" s="51" customFormat="1" ht="37.5" customHeight="1" x14ac:dyDescent="0.25">
      <c r="A148" s="37" t="s">
        <v>78</v>
      </c>
      <c r="B148" s="37" t="s">
        <v>79</v>
      </c>
      <c r="C148" s="3" t="s">
        <v>21</v>
      </c>
      <c r="D148" s="156">
        <f>'дод 3'!E32</f>
        <v>750000</v>
      </c>
      <c r="E148" s="156">
        <f>'дод 3'!F32</f>
        <v>750000</v>
      </c>
      <c r="F148" s="156">
        <f>'дод 3'!G32</f>
        <v>0</v>
      </c>
      <c r="G148" s="156">
        <f>'дод 3'!H32</f>
        <v>0</v>
      </c>
      <c r="H148" s="156">
        <f>'дод 3'!I32</f>
        <v>0</v>
      </c>
      <c r="I148" s="156">
        <f>'дод 3'!J32</f>
        <v>0</v>
      </c>
      <c r="J148" s="156">
        <f>'дод 3'!K32</f>
        <v>0</v>
      </c>
      <c r="K148" s="156">
        <f>'дод 3'!L32</f>
        <v>0</v>
      </c>
      <c r="L148" s="156">
        <f>'дод 3'!M32</f>
        <v>0</v>
      </c>
      <c r="M148" s="156">
        <f>'дод 3'!N32</f>
        <v>0</v>
      </c>
      <c r="N148" s="156">
        <f>'дод 3'!O32</f>
        <v>0</v>
      </c>
      <c r="O148" s="156">
        <f>'дод 3'!P32</f>
        <v>750000</v>
      </c>
      <c r="P148" s="193"/>
    </row>
    <row r="149" spans="1:16" s="51" customFormat="1" ht="34.5" customHeight="1" x14ac:dyDescent="0.25">
      <c r="A149" s="37" t="s">
        <v>80</v>
      </c>
      <c r="B149" s="37" t="s">
        <v>79</v>
      </c>
      <c r="C149" s="3" t="s">
        <v>16</v>
      </c>
      <c r="D149" s="156">
        <f>'дод 3'!E33</f>
        <v>750000</v>
      </c>
      <c r="E149" s="156">
        <f>'дод 3'!F33</f>
        <v>750000</v>
      </c>
      <c r="F149" s="156">
        <f>'дод 3'!G33</f>
        <v>0</v>
      </c>
      <c r="G149" s="156">
        <f>'дод 3'!H33</f>
        <v>0</v>
      </c>
      <c r="H149" s="156">
        <f>'дод 3'!I33</f>
        <v>0</v>
      </c>
      <c r="I149" s="156">
        <f>'дод 3'!J33</f>
        <v>0</v>
      </c>
      <c r="J149" s="156">
        <f>'дод 3'!K33</f>
        <v>0</v>
      </c>
      <c r="K149" s="156">
        <f>'дод 3'!L33</f>
        <v>0</v>
      </c>
      <c r="L149" s="156">
        <f>'дод 3'!M33</f>
        <v>0</v>
      </c>
      <c r="M149" s="156">
        <f>'дод 3'!N33</f>
        <v>0</v>
      </c>
      <c r="N149" s="156">
        <f>'дод 3'!O33</f>
        <v>0</v>
      </c>
      <c r="O149" s="156">
        <f>'дод 3'!P33</f>
        <v>750000</v>
      </c>
      <c r="P149" s="193"/>
    </row>
    <row r="150" spans="1:16" s="51" customFormat="1" ht="36.75" customHeight="1" x14ac:dyDescent="0.25">
      <c r="A150" s="37" t="s">
        <v>114</v>
      </c>
      <c r="B150" s="37" t="s">
        <v>79</v>
      </c>
      <c r="C150" s="3" t="s">
        <v>563</v>
      </c>
      <c r="D150" s="156">
        <f>'дод 3'!E34+'дод 3'!E116</f>
        <v>32404200</v>
      </c>
      <c r="E150" s="156">
        <f>'дод 3'!F34+'дод 3'!F116</f>
        <v>32404200</v>
      </c>
      <c r="F150" s="156">
        <f>'дод 3'!G34+'дод 3'!G116</f>
        <v>23747000</v>
      </c>
      <c r="G150" s="156">
        <f>'дод 3'!H34+'дод 3'!H116</f>
        <v>1852500</v>
      </c>
      <c r="H150" s="156">
        <f>'дод 3'!I34+'дод 3'!I116</f>
        <v>0</v>
      </c>
      <c r="I150" s="156">
        <f>'дод 3'!J34+'дод 3'!J116</f>
        <v>350000</v>
      </c>
      <c r="J150" s="156">
        <f>'дод 3'!K34+'дод 3'!K116</f>
        <v>350000</v>
      </c>
      <c r="K150" s="156">
        <f>'дод 3'!L34+'дод 3'!L116</f>
        <v>0</v>
      </c>
      <c r="L150" s="156">
        <f>'дод 3'!M34+'дод 3'!M116</f>
        <v>0</v>
      </c>
      <c r="M150" s="156">
        <f>'дод 3'!N34+'дод 3'!N116</f>
        <v>0</v>
      </c>
      <c r="N150" s="156">
        <f>'дод 3'!O34+'дод 3'!O116</f>
        <v>350000</v>
      </c>
      <c r="O150" s="156">
        <f>'дод 3'!P34+'дод 3'!P116</f>
        <v>32754200</v>
      </c>
      <c r="P150" s="193"/>
    </row>
    <row r="151" spans="1:16" s="51" customFormat="1" ht="25.5" hidden="1" customHeight="1" x14ac:dyDescent="0.25">
      <c r="A151" s="37"/>
      <c r="B151" s="37"/>
      <c r="C151" s="79" t="s">
        <v>390</v>
      </c>
      <c r="D151" s="157">
        <f>'дод 3'!E117</f>
        <v>0</v>
      </c>
      <c r="E151" s="157">
        <f>'дод 3'!F117</f>
        <v>0</v>
      </c>
      <c r="F151" s="157">
        <f>'дод 3'!G117</f>
        <v>0</v>
      </c>
      <c r="G151" s="157">
        <f>'дод 3'!H117</f>
        <v>0</v>
      </c>
      <c r="H151" s="157">
        <f>'дод 3'!I117</f>
        <v>0</v>
      </c>
      <c r="I151" s="157">
        <f>'дод 3'!J117</f>
        <v>0</v>
      </c>
      <c r="J151" s="157">
        <f>'дод 3'!K117</f>
        <v>0</v>
      </c>
      <c r="K151" s="157">
        <f>'дод 3'!L117</f>
        <v>0</v>
      </c>
      <c r="L151" s="157">
        <f>'дод 3'!M117</f>
        <v>0</v>
      </c>
      <c r="M151" s="157">
        <f>'дод 3'!N117</f>
        <v>0</v>
      </c>
      <c r="N151" s="157">
        <f>'дод 3'!O117</f>
        <v>0</v>
      </c>
      <c r="O151" s="157">
        <f>'дод 3'!P117</f>
        <v>0</v>
      </c>
      <c r="P151" s="193"/>
    </row>
    <row r="152" spans="1:16" s="51" customFormat="1" ht="38.25" customHeight="1" x14ac:dyDescent="0.25">
      <c r="A152" s="37" t="s">
        <v>115</v>
      </c>
      <c r="B152" s="37" t="s">
        <v>79</v>
      </c>
      <c r="C152" s="3" t="s">
        <v>22</v>
      </c>
      <c r="D152" s="156">
        <f>'дод 3'!E35</f>
        <v>15560000</v>
      </c>
      <c r="E152" s="156">
        <f>'дод 3'!F35</f>
        <v>15560000</v>
      </c>
      <c r="F152" s="156">
        <f>'дод 3'!G35</f>
        <v>0</v>
      </c>
      <c r="G152" s="156">
        <f>'дод 3'!H35</f>
        <v>0</v>
      </c>
      <c r="H152" s="156">
        <f>'дод 3'!I35</f>
        <v>0</v>
      </c>
      <c r="I152" s="156">
        <f>'дод 3'!J35</f>
        <v>0</v>
      </c>
      <c r="J152" s="156">
        <f>'дод 3'!K35</f>
        <v>0</v>
      </c>
      <c r="K152" s="156">
        <f>'дод 3'!L35</f>
        <v>0</v>
      </c>
      <c r="L152" s="156">
        <f>'дод 3'!M35</f>
        <v>0</v>
      </c>
      <c r="M152" s="156">
        <f>'дод 3'!N35</f>
        <v>0</v>
      </c>
      <c r="N152" s="156">
        <f>'дод 3'!O35</f>
        <v>0</v>
      </c>
      <c r="O152" s="156">
        <f>'дод 3'!P35</f>
        <v>15560000</v>
      </c>
      <c r="P152" s="193"/>
    </row>
    <row r="153" spans="1:16" s="51" customFormat="1" ht="54" customHeight="1" x14ac:dyDescent="0.25">
      <c r="A153" s="37" t="s">
        <v>111</v>
      </c>
      <c r="B153" s="37" t="s">
        <v>79</v>
      </c>
      <c r="C153" s="3" t="s">
        <v>596</v>
      </c>
      <c r="D153" s="156">
        <f>'дод 3'!E36</f>
        <v>5512100</v>
      </c>
      <c r="E153" s="156">
        <f>'дод 3'!F36</f>
        <v>5512100</v>
      </c>
      <c r="F153" s="156">
        <f>'дод 3'!G36</f>
        <v>3154100</v>
      </c>
      <c r="G153" s="156">
        <f>'дод 3'!H36</f>
        <v>630400</v>
      </c>
      <c r="H153" s="156">
        <f>'дод 3'!I36</f>
        <v>0</v>
      </c>
      <c r="I153" s="156">
        <f>'дод 3'!J36</f>
        <v>10436660</v>
      </c>
      <c r="J153" s="156">
        <f>'дод 3'!K36</f>
        <v>10000000</v>
      </c>
      <c r="K153" s="156">
        <f>'дод 3'!L36</f>
        <v>436660</v>
      </c>
      <c r="L153" s="156">
        <f>'дод 3'!M36</f>
        <v>288239</v>
      </c>
      <c r="M153" s="156">
        <f>'дод 3'!N36</f>
        <v>62532</v>
      </c>
      <c r="N153" s="156">
        <f>'дод 3'!O36</f>
        <v>10000000</v>
      </c>
      <c r="O153" s="156">
        <f>'дод 3'!P36</f>
        <v>15948760</v>
      </c>
      <c r="P153" s="193"/>
    </row>
    <row r="154" spans="1:16" s="51" customFormat="1" ht="46.5" customHeight="1" x14ac:dyDescent="0.25">
      <c r="A154" s="37" t="s">
        <v>113</v>
      </c>
      <c r="B154" s="37" t="s">
        <v>79</v>
      </c>
      <c r="C154" s="3" t="s">
        <v>112</v>
      </c>
      <c r="D154" s="156">
        <f>'дод 3'!E37</f>
        <v>17912700</v>
      </c>
      <c r="E154" s="156">
        <f>'дод 3'!F37</f>
        <v>17912700</v>
      </c>
      <c r="F154" s="156">
        <f>'дод 3'!G37</f>
        <v>0</v>
      </c>
      <c r="G154" s="156">
        <f>'дод 3'!H37</f>
        <v>0</v>
      </c>
      <c r="H154" s="156">
        <f>'дод 3'!I37</f>
        <v>0</v>
      </c>
      <c r="I154" s="156">
        <f>'дод 3'!J37</f>
        <v>0</v>
      </c>
      <c r="J154" s="156">
        <f>'дод 3'!K37</f>
        <v>0</v>
      </c>
      <c r="K154" s="156">
        <f>'дод 3'!L37</f>
        <v>0</v>
      </c>
      <c r="L154" s="156">
        <f>'дод 3'!M37</f>
        <v>0</v>
      </c>
      <c r="M154" s="156">
        <f>'дод 3'!N37</f>
        <v>0</v>
      </c>
      <c r="N154" s="156">
        <f>'дод 3'!O37</f>
        <v>0</v>
      </c>
      <c r="O154" s="156">
        <f>'дод 3'!P37</f>
        <v>17912700</v>
      </c>
      <c r="P154" s="193"/>
    </row>
    <row r="155" spans="1:16" s="49" customFormat="1" ht="26.25" customHeight="1" x14ac:dyDescent="0.25">
      <c r="A155" s="38" t="s">
        <v>65</v>
      </c>
      <c r="B155" s="41"/>
      <c r="C155" s="2" t="s">
        <v>66</v>
      </c>
      <c r="D155" s="47">
        <f>D157+D158+D160+D161+D162+D163+D165+D167+D168+D164+D159</f>
        <v>415645334</v>
      </c>
      <c r="E155" s="47">
        <f t="shared" ref="E155:O155" si="26">E157+E158+E160+E161+E162+E163+E165+E167+E168+E164+E159</f>
        <v>232843760</v>
      </c>
      <c r="F155" s="47">
        <f t="shared" si="26"/>
        <v>0</v>
      </c>
      <c r="G155" s="47">
        <f t="shared" si="26"/>
        <v>44470000</v>
      </c>
      <c r="H155" s="47">
        <f t="shared" si="26"/>
        <v>182801574</v>
      </c>
      <c r="I155" s="47">
        <f t="shared" si="26"/>
        <v>130672753</v>
      </c>
      <c r="J155" s="47">
        <f t="shared" si="26"/>
        <v>128690000</v>
      </c>
      <c r="K155" s="47">
        <f t="shared" si="26"/>
        <v>1779900</v>
      </c>
      <c r="L155" s="47">
        <f t="shared" si="26"/>
        <v>0</v>
      </c>
      <c r="M155" s="47">
        <f t="shared" si="26"/>
        <v>0</v>
      </c>
      <c r="N155" s="47">
        <f t="shared" si="26"/>
        <v>128892853</v>
      </c>
      <c r="O155" s="47">
        <f t="shared" si="26"/>
        <v>546318087</v>
      </c>
      <c r="P155" s="193"/>
    </row>
    <row r="156" spans="1:16" s="50" customFormat="1" ht="113.25" hidden="1" customHeight="1" x14ac:dyDescent="0.25">
      <c r="A156" s="65"/>
      <c r="B156" s="66"/>
      <c r="C156" s="122" t="s">
        <v>572</v>
      </c>
      <c r="D156" s="158">
        <f>D166</f>
        <v>0</v>
      </c>
      <c r="E156" s="158">
        <f t="shared" ref="E156:O156" si="27">E166</f>
        <v>0</v>
      </c>
      <c r="F156" s="158">
        <f t="shared" si="27"/>
        <v>0</v>
      </c>
      <c r="G156" s="158">
        <f t="shared" si="27"/>
        <v>0</v>
      </c>
      <c r="H156" s="158">
        <f t="shared" si="27"/>
        <v>0</v>
      </c>
      <c r="I156" s="158">
        <f t="shared" si="27"/>
        <v>0</v>
      </c>
      <c r="J156" s="158">
        <f t="shared" si="27"/>
        <v>0</v>
      </c>
      <c r="K156" s="158">
        <f t="shared" si="27"/>
        <v>0</v>
      </c>
      <c r="L156" s="158">
        <f t="shared" si="27"/>
        <v>0</v>
      </c>
      <c r="M156" s="158">
        <f t="shared" si="27"/>
        <v>0</v>
      </c>
      <c r="N156" s="158">
        <f t="shared" si="27"/>
        <v>0</v>
      </c>
      <c r="O156" s="158">
        <f t="shared" si="27"/>
        <v>0</v>
      </c>
      <c r="P156" s="193"/>
    </row>
    <row r="157" spans="1:16" s="51" customFormat="1" ht="31.5" x14ac:dyDescent="0.25">
      <c r="A157" s="37" t="s">
        <v>125</v>
      </c>
      <c r="B157" s="37" t="s">
        <v>67</v>
      </c>
      <c r="C157" s="3" t="s">
        <v>126</v>
      </c>
      <c r="D157" s="156">
        <f>'дод 3'!E241</f>
        <v>0</v>
      </c>
      <c r="E157" s="156">
        <f>'дод 3'!F241</f>
        <v>0</v>
      </c>
      <c r="F157" s="156">
        <f>'дод 3'!G241</f>
        <v>0</v>
      </c>
      <c r="G157" s="156">
        <f>'дод 3'!H241</f>
        <v>0</v>
      </c>
      <c r="H157" s="156">
        <f>'дод 3'!I241</f>
        <v>0</v>
      </c>
      <c r="I157" s="156">
        <f>'дод 3'!J241</f>
        <v>5560000</v>
      </c>
      <c r="J157" s="156">
        <f>'дод 3'!K241</f>
        <v>5560000</v>
      </c>
      <c r="K157" s="156">
        <f>'дод 3'!L241</f>
        <v>0</v>
      </c>
      <c r="L157" s="156">
        <f>'дод 3'!M241</f>
        <v>0</v>
      </c>
      <c r="M157" s="156">
        <f>'дод 3'!N241</f>
        <v>0</v>
      </c>
      <c r="N157" s="156">
        <f>'дод 3'!O241</f>
        <v>5560000</v>
      </c>
      <c r="O157" s="156">
        <f>'дод 3'!P241</f>
        <v>5560000</v>
      </c>
      <c r="P157" s="193"/>
    </row>
    <row r="158" spans="1:16" s="51" customFormat="1" ht="36.75" customHeight="1" x14ac:dyDescent="0.25">
      <c r="A158" s="37" t="s">
        <v>127</v>
      </c>
      <c r="B158" s="37" t="s">
        <v>69</v>
      </c>
      <c r="C158" s="3" t="s">
        <v>144</v>
      </c>
      <c r="D158" s="156">
        <f>'дод 3'!E242</f>
        <v>5620000</v>
      </c>
      <c r="E158" s="156">
        <f>'дод 3'!F242</f>
        <v>420000</v>
      </c>
      <c r="F158" s="156">
        <f>'дод 3'!G242</f>
        <v>0</v>
      </c>
      <c r="G158" s="156">
        <f>'дод 3'!H242</f>
        <v>0</v>
      </c>
      <c r="H158" s="156">
        <f>'дод 3'!I242</f>
        <v>5200000</v>
      </c>
      <c r="I158" s="156">
        <f>'дод 3'!J242</f>
        <v>0</v>
      </c>
      <c r="J158" s="156">
        <f>'дод 3'!K242</f>
        <v>0</v>
      </c>
      <c r="K158" s="156">
        <f>'дод 3'!L242</f>
        <v>0</v>
      </c>
      <c r="L158" s="156">
        <f>'дод 3'!M242</f>
        <v>0</v>
      </c>
      <c r="M158" s="156">
        <f>'дод 3'!N242</f>
        <v>0</v>
      </c>
      <c r="N158" s="156">
        <f>'дод 3'!O242</f>
        <v>0</v>
      </c>
      <c r="O158" s="156">
        <f>'дод 3'!P242</f>
        <v>5620000</v>
      </c>
      <c r="P158" s="193"/>
    </row>
    <row r="159" spans="1:16" s="51" customFormat="1" ht="36.75" customHeight="1" x14ac:dyDescent="0.25">
      <c r="A159" s="37">
        <v>6014</v>
      </c>
      <c r="B159" s="37" t="s">
        <v>69</v>
      </c>
      <c r="C159" s="3" t="s">
        <v>622</v>
      </c>
      <c r="D159" s="156">
        <f>'дод 3'!E243</f>
        <v>300000</v>
      </c>
      <c r="E159" s="156">
        <f>'дод 3'!F243</f>
        <v>300000</v>
      </c>
      <c r="F159" s="156">
        <f>'дод 3'!G243</f>
        <v>0</v>
      </c>
      <c r="G159" s="156">
        <f>'дод 3'!H243</f>
        <v>0</v>
      </c>
      <c r="H159" s="156">
        <f>'дод 3'!I243</f>
        <v>0</v>
      </c>
      <c r="I159" s="156">
        <f>'дод 3'!J243</f>
        <v>0</v>
      </c>
      <c r="J159" s="156">
        <f>'дод 3'!K243</f>
        <v>0</v>
      </c>
      <c r="K159" s="156">
        <f>'дод 3'!L243</f>
        <v>0</v>
      </c>
      <c r="L159" s="156">
        <f>'дод 3'!M243</f>
        <v>0</v>
      </c>
      <c r="M159" s="156">
        <f>'дод 3'!N243</f>
        <v>0</v>
      </c>
      <c r="N159" s="156">
        <f>'дод 3'!O243</f>
        <v>0</v>
      </c>
      <c r="O159" s="156">
        <f>'дод 3'!P243</f>
        <v>300000</v>
      </c>
      <c r="P159" s="193"/>
    </row>
    <row r="160" spans="1:16" s="51" customFormat="1" ht="33" customHeight="1" x14ac:dyDescent="0.25">
      <c r="A160" s="40" t="s">
        <v>257</v>
      </c>
      <c r="B160" s="40" t="s">
        <v>69</v>
      </c>
      <c r="C160" s="3" t="s">
        <v>258</v>
      </c>
      <c r="D160" s="156">
        <f>'дод 3'!E244</f>
        <v>100000</v>
      </c>
      <c r="E160" s="156">
        <f>'дод 3'!F244</f>
        <v>100000</v>
      </c>
      <c r="F160" s="156">
        <f>'дод 3'!G244</f>
        <v>0</v>
      </c>
      <c r="G160" s="156">
        <f>'дод 3'!H244</f>
        <v>0</v>
      </c>
      <c r="H160" s="156">
        <f>'дод 3'!I244</f>
        <v>0</v>
      </c>
      <c r="I160" s="156">
        <f>'дод 3'!J244</f>
        <v>14472274</v>
      </c>
      <c r="J160" s="156">
        <f>'дод 3'!K244</f>
        <v>14380000</v>
      </c>
      <c r="K160" s="156">
        <f>'дод 3'!L244</f>
        <v>0</v>
      </c>
      <c r="L160" s="156">
        <f>'дод 3'!M244</f>
        <v>0</v>
      </c>
      <c r="M160" s="156">
        <f>'дод 3'!N244</f>
        <v>0</v>
      </c>
      <c r="N160" s="156">
        <f>'дод 3'!O244</f>
        <v>14472274</v>
      </c>
      <c r="O160" s="156">
        <f>'дод 3'!P244</f>
        <v>14572274</v>
      </c>
      <c r="P160" s="193"/>
    </row>
    <row r="161" spans="1:16" s="51" customFormat="1" ht="33" customHeight="1" x14ac:dyDescent="0.25">
      <c r="A161" s="37" t="s">
        <v>260</v>
      </c>
      <c r="B161" s="37" t="s">
        <v>69</v>
      </c>
      <c r="C161" s="3" t="s">
        <v>339</v>
      </c>
      <c r="D161" s="156">
        <f>'дод 3'!E245</f>
        <v>110000</v>
      </c>
      <c r="E161" s="156">
        <f>'дод 3'!F245</f>
        <v>110000</v>
      </c>
      <c r="F161" s="156">
        <f>'дод 3'!G245</f>
        <v>0</v>
      </c>
      <c r="G161" s="156">
        <f>'дод 3'!H245</f>
        <v>0</v>
      </c>
      <c r="H161" s="156">
        <f>'дод 3'!I245</f>
        <v>0</v>
      </c>
      <c r="I161" s="156">
        <f>'дод 3'!J245</f>
        <v>0</v>
      </c>
      <c r="J161" s="156">
        <f>'дод 3'!K245</f>
        <v>0</v>
      </c>
      <c r="K161" s="156">
        <f>'дод 3'!L245</f>
        <v>0</v>
      </c>
      <c r="L161" s="156">
        <f>'дод 3'!M245</f>
        <v>0</v>
      </c>
      <c r="M161" s="156">
        <f>'дод 3'!N245</f>
        <v>0</v>
      </c>
      <c r="N161" s="156">
        <f>'дод 3'!O245</f>
        <v>0</v>
      </c>
      <c r="O161" s="156">
        <f>'дод 3'!P245</f>
        <v>110000</v>
      </c>
      <c r="P161" s="193"/>
    </row>
    <row r="162" spans="1:16" s="51" customFormat="1" ht="52.5" customHeight="1" x14ac:dyDescent="0.25">
      <c r="A162" s="37" t="s">
        <v>68</v>
      </c>
      <c r="B162" s="37" t="s">
        <v>69</v>
      </c>
      <c r="C162" s="3" t="s">
        <v>130</v>
      </c>
      <c r="D162" s="156">
        <f>'дод 3'!E246</f>
        <v>350000</v>
      </c>
      <c r="E162" s="156">
        <f>'дод 3'!F246</f>
        <v>0</v>
      </c>
      <c r="F162" s="156">
        <f>'дод 3'!G246</f>
        <v>0</v>
      </c>
      <c r="G162" s="156">
        <f>'дод 3'!H246</f>
        <v>0</v>
      </c>
      <c r="H162" s="156">
        <f>'дод 3'!I246</f>
        <v>350000</v>
      </c>
      <c r="I162" s="156">
        <f>'дод 3'!J246</f>
        <v>0</v>
      </c>
      <c r="J162" s="156">
        <f>'дод 3'!K246</f>
        <v>0</v>
      </c>
      <c r="K162" s="156">
        <f>'дод 3'!L246</f>
        <v>0</v>
      </c>
      <c r="L162" s="156">
        <f>'дод 3'!M246</f>
        <v>0</v>
      </c>
      <c r="M162" s="156">
        <f>'дод 3'!N246</f>
        <v>0</v>
      </c>
      <c r="N162" s="156">
        <f>'дод 3'!O246</f>
        <v>0</v>
      </c>
      <c r="O162" s="156">
        <f>'дод 3'!P246</f>
        <v>350000</v>
      </c>
      <c r="P162" s="193"/>
    </row>
    <row r="163" spans="1:16" ht="24" customHeight="1" x14ac:dyDescent="0.25">
      <c r="A163" s="37" t="s">
        <v>128</v>
      </c>
      <c r="B163" s="37" t="s">
        <v>69</v>
      </c>
      <c r="C163" s="3" t="s">
        <v>129</v>
      </c>
      <c r="D163" s="156">
        <f>'дод 3'!E247+'дод 3'!E292</f>
        <v>203981000</v>
      </c>
      <c r="E163" s="156">
        <f>'дод 3'!F247+'дод 3'!F292</f>
        <v>203767000</v>
      </c>
      <c r="F163" s="156">
        <f>'дод 3'!G247+'дод 3'!G292</f>
        <v>0</v>
      </c>
      <c r="G163" s="156">
        <f>'дод 3'!H247+'дод 3'!H292</f>
        <v>44410000</v>
      </c>
      <c r="H163" s="156">
        <f>'дод 3'!I247+'дод 3'!I292</f>
        <v>214000</v>
      </c>
      <c r="I163" s="156">
        <f>'дод 3'!J247+'дод 3'!J292</f>
        <v>108750000</v>
      </c>
      <c r="J163" s="156">
        <f>'дод 3'!K247+'дод 3'!K292</f>
        <v>108750000</v>
      </c>
      <c r="K163" s="156">
        <f>'дод 3'!L247+'дод 3'!L292</f>
        <v>0</v>
      </c>
      <c r="L163" s="156">
        <f>'дод 3'!M247+'дод 3'!M292</f>
        <v>0</v>
      </c>
      <c r="M163" s="156">
        <f>'дод 3'!N247+'дод 3'!N292</f>
        <v>0</v>
      </c>
      <c r="N163" s="156">
        <f>'дод 3'!O247+'дод 3'!O292</f>
        <v>108750000</v>
      </c>
      <c r="O163" s="156">
        <f>'дод 3'!P247+'дод 3'!P292</f>
        <v>312731000</v>
      </c>
      <c r="P163" s="193"/>
    </row>
    <row r="164" spans="1:16" ht="94.5" x14ac:dyDescent="0.25">
      <c r="A164" s="37">
        <v>6071</v>
      </c>
      <c r="B164" s="56" t="s">
        <v>307</v>
      </c>
      <c r="C164" s="11" t="s">
        <v>582</v>
      </c>
      <c r="D164" s="156">
        <f>'дод 3'!E250</f>
        <v>176937574</v>
      </c>
      <c r="E164" s="156">
        <f>'дод 3'!F250</f>
        <v>0</v>
      </c>
      <c r="F164" s="156">
        <f>'дод 3'!G250</f>
        <v>0</v>
      </c>
      <c r="G164" s="156">
        <f>'дод 3'!H250</f>
        <v>0</v>
      </c>
      <c r="H164" s="156">
        <f>'дод 3'!I250</f>
        <v>176937574</v>
      </c>
      <c r="I164" s="156">
        <f>'дод 3'!J250</f>
        <v>0</v>
      </c>
      <c r="J164" s="156">
        <f>'дод 3'!K250</f>
        <v>0</v>
      </c>
      <c r="K164" s="156">
        <f>'дод 3'!L250</f>
        <v>0</v>
      </c>
      <c r="L164" s="156">
        <f>'дод 3'!M250</f>
        <v>0</v>
      </c>
      <c r="M164" s="156">
        <f>'дод 3'!N250</f>
        <v>0</v>
      </c>
      <c r="N164" s="156">
        <f>'дод 3'!O250</f>
        <v>0</v>
      </c>
      <c r="O164" s="156">
        <f>'дод 3'!P250</f>
        <v>176937574</v>
      </c>
      <c r="P164" s="193"/>
    </row>
    <row r="165" spans="1:16" ht="83.25" hidden="1" customHeight="1" x14ac:dyDescent="0.25">
      <c r="A165" s="37">
        <v>6083</v>
      </c>
      <c r="B165" s="55" t="s">
        <v>67</v>
      </c>
      <c r="C165" s="11" t="s">
        <v>428</v>
      </c>
      <c r="D165" s="156">
        <f>'дод 3'!E217+'дод 3'!E248</f>
        <v>0</v>
      </c>
      <c r="E165" s="156">
        <f>'дод 3'!F217+'дод 3'!F248</f>
        <v>0</v>
      </c>
      <c r="F165" s="156">
        <f>'дод 3'!G217+'дод 3'!G248</f>
        <v>0</v>
      </c>
      <c r="G165" s="156">
        <f>'дод 3'!H217+'дод 3'!H248</f>
        <v>0</v>
      </c>
      <c r="H165" s="156">
        <f>'дод 3'!I217+'дод 3'!I248</f>
        <v>0</v>
      </c>
      <c r="I165" s="156">
        <f>'дод 3'!J217+'дод 3'!J248</f>
        <v>0</v>
      </c>
      <c r="J165" s="156">
        <f>'дод 3'!K217+'дод 3'!K248</f>
        <v>0</v>
      </c>
      <c r="K165" s="156">
        <f>'дод 3'!L217+'дод 3'!L248</f>
        <v>0</v>
      </c>
      <c r="L165" s="156">
        <f>'дод 3'!M217+'дод 3'!M248</f>
        <v>0</v>
      </c>
      <c r="M165" s="156">
        <f>'дод 3'!N217+'дод 3'!N248</f>
        <v>0</v>
      </c>
      <c r="N165" s="156">
        <f>'дод 3'!O217+'дод 3'!O248</f>
        <v>0</v>
      </c>
      <c r="O165" s="156">
        <f>'дод 3'!P217+'дод 3'!P248</f>
        <v>0</v>
      </c>
    </row>
    <row r="166" spans="1:16" s="51" customFormat="1" ht="126" hidden="1" customHeight="1" x14ac:dyDescent="0.25">
      <c r="A166" s="71"/>
      <c r="B166" s="81"/>
      <c r="C166" s="82" t="s">
        <v>572</v>
      </c>
      <c r="D166" s="157">
        <f>'дод 3'!E218+'дод 3'!E249</f>
        <v>0</v>
      </c>
      <c r="E166" s="157">
        <f>'дод 3'!F218+'дод 3'!F249</f>
        <v>0</v>
      </c>
      <c r="F166" s="157">
        <f>'дод 3'!G218+'дод 3'!G249</f>
        <v>0</v>
      </c>
      <c r="G166" s="157">
        <f>'дод 3'!H218+'дод 3'!H249</f>
        <v>0</v>
      </c>
      <c r="H166" s="157">
        <f>'дод 3'!I218+'дод 3'!I249</f>
        <v>0</v>
      </c>
      <c r="I166" s="157">
        <f>'дод 3'!J218+'дод 3'!J249</f>
        <v>0</v>
      </c>
      <c r="J166" s="157">
        <f>'дод 3'!K218+'дод 3'!K249</f>
        <v>0</v>
      </c>
      <c r="K166" s="157">
        <f>'дод 3'!L218+'дод 3'!L249</f>
        <v>0</v>
      </c>
      <c r="L166" s="157">
        <f>'дод 3'!M218+'дод 3'!M249</f>
        <v>0</v>
      </c>
      <c r="M166" s="157">
        <f>'дод 3'!N218+'дод 3'!N249</f>
        <v>0</v>
      </c>
      <c r="N166" s="157">
        <f>'дод 3'!O218+'дод 3'!O249</f>
        <v>0</v>
      </c>
      <c r="O166" s="157">
        <f>'дод 3'!P218+'дод 3'!P249</f>
        <v>0</v>
      </c>
      <c r="P166" s="175"/>
    </row>
    <row r="167" spans="1:16" s="51" customFormat="1" ht="54" customHeight="1" x14ac:dyDescent="0.25">
      <c r="A167" s="37" t="s">
        <v>132</v>
      </c>
      <c r="B167" s="42" t="s">
        <v>67</v>
      </c>
      <c r="C167" s="3" t="s">
        <v>597</v>
      </c>
      <c r="D167" s="156">
        <f>'дод 3'!E293</f>
        <v>0</v>
      </c>
      <c r="E167" s="156">
        <f>'дод 3'!F293</f>
        <v>0</v>
      </c>
      <c r="F167" s="156">
        <f>'дод 3'!G293</f>
        <v>0</v>
      </c>
      <c r="G167" s="156">
        <f>'дод 3'!H293</f>
        <v>0</v>
      </c>
      <c r="H167" s="156">
        <f>'дод 3'!I293</f>
        <v>0</v>
      </c>
      <c r="I167" s="156">
        <f>'дод 3'!J293</f>
        <v>110579</v>
      </c>
      <c r="J167" s="156">
        <f>'дод 3'!K293</f>
        <v>0</v>
      </c>
      <c r="K167" s="156">
        <f>'дод 3'!L293</f>
        <v>0</v>
      </c>
      <c r="L167" s="156">
        <f>'дод 3'!M293</f>
        <v>0</v>
      </c>
      <c r="M167" s="156">
        <f>'дод 3'!N293</f>
        <v>0</v>
      </c>
      <c r="N167" s="156">
        <f>'дод 3'!O293</f>
        <v>110579</v>
      </c>
      <c r="O167" s="156">
        <f>'дод 3'!P293</f>
        <v>110579</v>
      </c>
      <c r="P167" s="193">
        <v>57</v>
      </c>
    </row>
    <row r="168" spans="1:16" ht="36" customHeight="1" x14ac:dyDescent="0.25">
      <c r="A168" s="37" t="s">
        <v>138</v>
      </c>
      <c r="B168" s="42" t="s">
        <v>307</v>
      </c>
      <c r="C168" s="3" t="s">
        <v>139</v>
      </c>
      <c r="D168" s="156">
        <f>'дод 3'!E251+'дод 3'!E312</f>
        <v>28246760</v>
      </c>
      <c r="E168" s="156">
        <f>'дод 3'!F251+'дод 3'!F312</f>
        <v>28146760</v>
      </c>
      <c r="F168" s="156">
        <f>'дод 3'!G251+'дод 3'!G312</f>
        <v>0</v>
      </c>
      <c r="G168" s="156">
        <f>'дод 3'!H251+'дод 3'!H312</f>
        <v>60000</v>
      </c>
      <c r="H168" s="156">
        <f>'дод 3'!I251+'дод 3'!I312</f>
        <v>100000</v>
      </c>
      <c r="I168" s="156">
        <f>'дод 3'!J251+'дод 3'!J312</f>
        <v>1779900</v>
      </c>
      <c r="J168" s="156">
        <f>'дод 3'!K251+'дод 3'!K312</f>
        <v>0</v>
      </c>
      <c r="K168" s="156">
        <f>'дод 3'!L251+'дод 3'!L312</f>
        <v>1779900</v>
      </c>
      <c r="L168" s="156">
        <f>'дод 3'!M251+'дод 3'!M312</f>
        <v>0</v>
      </c>
      <c r="M168" s="156">
        <f>'дод 3'!N251+'дод 3'!N312</f>
        <v>0</v>
      </c>
      <c r="N168" s="156">
        <f>'дод 3'!O251+'дод 3'!O312</f>
        <v>0</v>
      </c>
      <c r="O168" s="156">
        <f>'дод 3'!P251+'дод 3'!P312</f>
        <v>30026660</v>
      </c>
      <c r="P168" s="193"/>
    </row>
    <row r="169" spans="1:16" s="49" customFormat="1" ht="21.75" customHeight="1" x14ac:dyDescent="0.25">
      <c r="A169" s="38" t="s">
        <v>133</v>
      </c>
      <c r="B169" s="41"/>
      <c r="C169" s="2" t="s">
        <v>401</v>
      </c>
      <c r="D169" s="47">
        <f>D174+D176+D196+D212+D214+D226</f>
        <v>87756903</v>
      </c>
      <c r="E169" s="47">
        <f>E174+E176+E196+E212+E214+E226</f>
        <v>17744757</v>
      </c>
      <c r="F169" s="47">
        <f t="shared" ref="F169:O169" si="28">F174+F176+F196+F212+F214+F226</f>
        <v>0</v>
      </c>
      <c r="G169" s="47">
        <f t="shared" si="28"/>
        <v>0</v>
      </c>
      <c r="H169" s="47">
        <f t="shared" si="28"/>
        <v>70012146</v>
      </c>
      <c r="I169" s="47">
        <f t="shared" si="28"/>
        <v>504773585.52999997</v>
      </c>
      <c r="J169" s="47">
        <f t="shared" si="28"/>
        <v>497417493</v>
      </c>
      <c r="K169" s="47">
        <f t="shared" si="28"/>
        <v>1453302.53</v>
      </c>
      <c r="L169" s="47">
        <f t="shared" si="28"/>
        <v>0</v>
      </c>
      <c r="M169" s="47">
        <f t="shared" si="28"/>
        <v>0</v>
      </c>
      <c r="N169" s="47">
        <f t="shared" si="28"/>
        <v>503320283</v>
      </c>
      <c r="O169" s="47">
        <f t="shared" si="28"/>
        <v>592530488.52999997</v>
      </c>
      <c r="P169" s="193"/>
    </row>
    <row r="170" spans="1:16" s="50" customFormat="1" ht="47.25" hidden="1" customHeight="1" x14ac:dyDescent="0.25">
      <c r="A170" s="65"/>
      <c r="B170" s="66"/>
      <c r="C170" s="69" t="s">
        <v>383</v>
      </c>
      <c r="D170" s="158">
        <f>D177</f>
        <v>0</v>
      </c>
      <c r="E170" s="158">
        <f t="shared" ref="E170:O170" si="29">E177</f>
        <v>0</v>
      </c>
      <c r="F170" s="158">
        <f t="shared" si="29"/>
        <v>0</v>
      </c>
      <c r="G170" s="158">
        <f t="shared" si="29"/>
        <v>0</v>
      </c>
      <c r="H170" s="158">
        <f t="shared" si="29"/>
        <v>0</v>
      </c>
      <c r="I170" s="158">
        <f t="shared" si="29"/>
        <v>0</v>
      </c>
      <c r="J170" s="158">
        <f t="shared" si="29"/>
        <v>0</v>
      </c>
      <c r="K170" s="158">
        <f t="shared" si="29"/>
        <v>0</v>
      </c>
      <c r="L170" s="158">
        <f t="shared" si="29"/>
        <v>0</v>
      </c>
      <c r="M170" s="158">
        <f t="shared" si="29"/>
        <v>0</v>
      </c>
      <c r="N170" s="158">
        <f t="shared" si="29"/>
        <v>0</v>
      </c>
      <c r="O170" s="158">
        <f t="shared" si="29"/>
        <v>0</v>
      </c>
      <c r="P170" s="193"/>
    </row>
    <row r="171" spans="1:16" s="50" customFormat="1" ht="110.25" hidden="1" customHeight="1" x14ac:dyDescent="0.25">
      <c r="A171" s="65"/>
      <c r="B171" s="66"/>
      <c r="C171" s="69" t="s">
        <v>391</v>
      </c>
      <c r="D171" s="158">
        <f>D197</f>
        <v>0</v>
      </c>
      <c r="E171" s="158">
        <f t="shared" ref="E171:N171" si="30">E197</f>
        <v>0</v>
      </c>
      <c r="F171" s="158">
        <f t="shared" si="30"/>
        <v>0</v>
      </c>
      <c r="G171" s="158">
        <f t="shared" si="30"/>
        <v>0</v>
      </c>
      <c r="H171" s="158">
        <f t="shared" si="30"/>
        <v>0</v>
      </c>
      <c r="I171" s="158">
        <f t="shared" si="30"/>
        <v>0</v>
      </c>
      <c r="J171" s="158">
        <f t="shared" si="30"/>
        <v>0</v>
      </c>
      <c r="K171" s="158">
        <f t="shared" si="30"/>
        <v>0</v>
      </c>
      <c r="L171" s="158">
        <f t="shared" si="30"/>
        <v>0</v>
      </c>
      <c r="M171" s="158">
        <f t="shared" si="30"/>
        <v>0</v>
      </c>
      <c r="N171" s="158">
        <f t="shared" si="30"/>
        <v>0</v>
      </c>
      <c r="O171" s="158">
        <f t="shared" ref="O171" si="31">O197</f>
        <v>0</v>
      </c>
      <c r="P171" s="193"/>
    </row>
    <row r="172" spans="1:16" s="50" customFormat="1" ht="15.75" hidden="1" customHeight="1" x14ac:dyDescent="0.25">
      <c r="A172" s="65"/>
      <c r="B172" s="66"/>
      <c r="C172" s="70" t="s">
        <v>390</v>
      </c>
      <c r="D172" s="158">
        <f>D178+D199</f>
        <v>0</v>
      </c>
      <c r="E172" s="158">
        <f t="shared" ref="E172:O172" si="32">E178+E199</f>
        <v>0</v>
      </c>
      <c r="F172" s="158">
        <f t="shared" si="32"/>
        <v>0</v>
      </c>
      <c r="G172" s="158">
        <f t="shared" si="32"/>
        <v>0</v>
      </c>
      <c r="H172" s="158">
        <f t="shared" si="32"/>
        <v>0</v>
      </c>
      <c r="I172" s="158">
        <f t="shared" si="32"/>
        <v>0</v>
      </c>
      <c r="J172" s="158">
        <f t="shared" si="32"/>
        <v>0</v>
      </c>
      <c r="K172" s="158">
        <f t="shared" si="32"/>
        <v>0</v>
      </c>
      <c r="L172" s="158">
        <f t="shared" si="32"/>
        <v>0</v>
      </c>
      <c r="M172" s="158">
        <f t="shared" si="32"/>
        <v>0</v>
      </c>
      <c r="N172" s="158">
        <f t="shared" si="32"/>
        <v>0</v>
      </c>
      <c r="O172" s="158">
        <f t="shared" si="32"/>
        <v>0</v>
      </c>
      <c r="P172" s="193"/>
    </row>
    <row r="173" spans="1:16" s="50" customFormat="1" ht="18" customHeight="1" x14ac:dyDescent="0.25">
      <c r="A173" s="65"/>
      <c r="B173" s="65"/>
      <c r="C173" s="75" t="s">
        <v>413</v>
      </c>
      <c r="D173" s="158">
        <f>D215</f>
        <v>0</v>
      </c>
      <c r="E173" s="158">
        <f t="shared" ref="E173:O173" si="33">E215</f>
        <v>0</v>
      </c>
      <c r="F173" s="158">
        <f t="shared" si="33"/>
        <v>0</v>
      </c>
      <c r="G173" s="158">
        <f t="shared" si="33"/>
        <v>0</v>
      </c>
      <c r="H173" s="158">
        <f t="shared" si="33"/>
        <v>0</v>
      </c>
      <c r="I173" s="158">
        <f t="shared" si="33"/>
        <v>180458652</v>
      </c>
      <c r="J173" s="158">
        <f t="shared" si="33"/>
        <v>180458652</v>
      </c>
      <c r="K173" s="158">
        <f t="shared" si="33"/>
        <v>0</v>
      </c>
      <c r="L173" s="158">
        <f t="shared" si="33"/>
        <v>0</v>
      </c>
      <c r="M173" s="158">
        <f t="shared" si="33"/>
        <v>0</v>
      </c>
      <c r="N173" s="158">
        <f t="shared" si="33"/>
        <v>180458652</v>
      </c>
      <c r="O173" s="158">
        <f t="shared" si="33"/>
        <v>180458652</v>
      </c>
      <c r="P173" s="193"/>
    </row>
    <row r="174" spans="1:16" s="49" customFormat="1" x14ac:dyDescent="0.25">
      <c r="A174" s="38" t="s">
        <v>140</v>
      </c>
      <c r="B174" s="41"/>
      <c r="C174" s="2" t="s">
        <v>141</v>
      </c>
      <c r="D174" s="47">
        <f t="shared" ref="D174:O174" si="34">D175</f>
        <v>990000</v>
      </c>
      <c r="E174" s="47">
        <f t="shared" si="34"/>
        <v>990000</v>
      </c>
      <c r="F174" s="47">
        <f t="shared" si="34"/>
        <v>0</v>
      </c>
      <c r="G174" s="47">
        <f t="shared" si="34"/>
        <v>0</v>
      </c>
      <c r="H174" s="47">
        <f t="shared" si="34"/>
        <v>0</v>
      </c>
      <c r="I174" s="47">
        <f t="shared" si="34"/>
        <v>0</v>
      </c>
      <c r="J174" s="47">
        <f t="shared" si="34"/>
        <v>0</v>
      </c>
      <c r="K174" s="47">
        <f t="shared" si="34"/>
        <v>0</v>
      </c>
      <c r="L174" s="47">
        <f t="shared" si="34"/>
        <v>0</v>
      </c>
      <c r="M174" s="47">
        <f t="shared" si="34"/>
        <v>0</v>
      </c>
      <c r="N174" s="47">
        <f t="shared" si="34"/>
        <v>0</v>
      </c>
      <c r="O174" s="47">
        <f t="shared" si="34"/>
        <v>990000</v>
      </c>
      <c r="P174" s="193"/>
    </row>
    <row r="175" spans="1:16" ht="24" customHeight="1" x14ac:dyDescent="0.25">
      <c r="A175" s="37" t="s">
        <v>134</v>
      </c>
      <c r="B175" s="37" t="s">
        <v>82</v>
      </c>
      <c r="C175" s="3" t="s">
        <v>340</v>
      </c>
      <c r="D175" s="156">
        <f>'дод 3'!E323</f>
        <v>990000</v>
      </c>
      <c r="E175" s="156">
        <f>'дод 3'!F323</f>
        <v>990000</v>
      </c>
      <c r="F175" s="156">
        <f>'дод 3'!G323</f>
        <v>0</v>
      </c>
      <c r="G175" s="156">
        <f>'дод 3'!H323</f>
        <v>0</v>
      </c>
      <c r="H175" s="156">
        <f>'дод 3'!I323</f>
        <v>0</v>
      </c>
      <c r="I175" s="156">
        <f>'дод 3'!J323</f>
        <v>0</v>
      </c>
      <c r="J175" s="156">
        <f>'дод 3'!K323</f>
        <v>0</v>
      </c>
      <c r="K175" s="156">
        <f>'дод 3'!L323</f>
        <v>0</v>
      </c>
      <c r="L175" s="156">
        <f>'дод 3'!M323</f>
        <v>0</v>
      </c>
      <c r="M175" s="156">
        <f>'дод 3'!N323</f>
        <v>0</v>
      </c>
      <c r="N175" s="156">
        <f>'дод 3'!O323</f>
        <v>0</v>
      </c>
      <c r="O175" s="156">
        <f>'дод 3'!P323</f>
        <v>990000</v>
      </c>
      <c r="P175" s="193"/>
    </row>
    <row r="176" spans="1:16" s="49" customFormat="1" x14ac:dyDescent="0.25">
      <c r="A176" s="38" t="s">
        <v>96</v>
      </c>
      <c r="B176" s="38"/>
      <c r="C176" s="13" t="s">
        <v>590</v>
      </c>
      <c r="D176" s="47">
        <f>D179+D180+D182+D183+D184+D185+D186+D187+D188+D189+D191+D193+D195</f>
        <v>3397500</v>
      </c>
      <c r="E176" s="47">
        <f t="shared" ref="E176:O176" si="35">E179+E180+E182+E183+E184+E185+E186+E187+E188+E189+E191+E193+E195</f>
        <v>247500</v>
      </c>
      <c r="F176" s="47">
        <f t="shared" si="35"/>
        <v>0</v>
      </c>
      <c r="G176" s="47">
        <f t="shared" si="35"/>
        <v>0</v>
      </c>
      <c r="H176" s="47">
        <f t="shared" si="35"/>
        <v>3150000</v>
      </c>
      <c r="I176" s="47">
        <f t="shared" si="35"/>
        <v>245069647</v>
      </c>
      <c r="J176" s="47">
        <f>J179+J180+J182+J183+J184+J185+J186+J187+J188+J189+J191+J193+J195</f>
        <v>245069647</v>
      </c>
      <c r="K176" s="47">
        <f t="shared" si="35"/>
        <v>0</v>
      </c>
      <c r="L176" s="47">
        <f t="shared" si="35"/>
        <v>0</v>
      </c>
      <c r="M176" s="47">
        <f t="shared" si="35"/>
        <v>0</v>
      </c>
      <c r="N176" s="47">
        <f t="shared" si="35"/>
        <v>245069647</v>
      </c>
      <c r="O176" s="47">
        <f t="shared" si="35"/>
        <v>248467147</v>
      </c>
      <c r="P176" s="193"/>
    </row>
    <row r="177" spans="1:16" s="50" customFormat="1" ht="53.25" hidden="1" customHeight="1" x14ac:dyDescent="0.25">
      <c r="A177" s="65"/>
      <c r="B177" s="65"/>
      <c r="C177" s="69" t="s">
        <v>383</v>
      </c>
      <c r="D177" s="158">
        <f>D192</f>
        <v>0</v>
      </c>
      <c r="E177" s="158">
        <f t="shared" ref="E177:O177" si="36">E192</f>
        <v>0</v>
      </c>
      <c r="F177" s="158">
        <f t="shared" si="36"/>
        <v>0</v>
      </c>
      <c r="G177" s="158">
        <f t="shared" si="36"/>
        <v>0</v>
      </c>
      <c r="H177" s="158">
        <f t="shared" si="36"/>
        <v>0</v>
      </c>
      <c r="I177" s="158">
        <f t="shared" si="36"/>
        <v>0</v>
      </c>
      <c r="J177" s="158">
        <f t="shared" si="36"/>
        <v>0</v>
      </c>
      <c r="K177" s="158">
        <f t="shared" si="36"/>
        <v>0</v>
      </c>
      <c r="L177" s="158">
        <f t="shared" si="36"/>
        <v>0</v>
      </c>
      <c r="M177" s="158">
        <f t="shared" si="36"/>
        <v>0</v>
      </c>
      <c r="N177" s="158">
        <f t="shared" si="36"/>
        <v>0</v>
      </c>
      <c r="O177" s="158">
        <f t="shared" si="36"/>
        <v>0</v>
      </c>
      <c r="P177" s="193"/>
    </row>
    <row r="178" spans="1:16" s="50" customFormat="1" ht="15.75" hidden="1" customHeight="1" x14ac:dyDescent="0.25">
      <c r="A178" s="65"/>
      <c r="B178" s="65"/>
      <c r="C178" s="70" t="s">
        <v>390</v>
      </c>
      <c r="D178" s="158">
        <f>D181+D194</f>
        <v>0</v>
      </c>
      <c r="E178" s="158">
        <f t="shared" ref="E178:O178" si="37">E181+E194</f>
        <v>0</v>
      </c>
      <c r="F178" s="158">
        <f t="shared" si="37"/>
        <v>0</v>
      </c>
      <c r="G178" s="158">
        <f t="shared" si="37"/>
        <v>0</v>
      </c>
      <c r="H178" s="158">
        <f t="shared" si="37"/>
        <v>0</v>
      </c>
      <c r="I178" s="158">
        <f t="shared" si="37"/>
        <v>0</v>
      </c>
      <c r="J178" s="158">
        <f>J181+J194</f>
        <v>0</v>
      </c>
      <c r="K178" s="158">
        <f t="shared" si="37"/>
        <v>0</v>
      </c>
      <c r="L178" s="158">
        <f t="shared" si="37"/>
        <v>0</v>
      </c>
      <c r="M178" s="158">
        <f t="shared" si="37"/>
        <v>0</v>
      </c>
      <c r="N178" s="158">
        <f t="shared" si="37"/>
        <v>0</v>
      </c>
      <c r="O178" s="158">
        <f t="shared" si="37"/>
        <v>0</v>
      </c>
      <c r="P178" s="193"/>
    </row>
    <row r="179" spans="1:16" ht="33" customHeight="1" x14ac:dyDescent="0.25">
      <c r="A179" s="40" t="s">
        <v>269</v>
      </c>
      <c r="B179" s="40" t="s">
        <v>110</v>
      </c>
      <c r="C179" s="6" t="s">
        <v>528</v>
      </c>
      <c r="D179" s="156">
        <f>'дод 3'!E294+'дод 3'!E252</f>
        <v>0</v>
      </c>
      <c r="E179" s="156">
        <f>'дод 3'!F294+'дод 3'!F252</f>
        <v>0</v>
      </c>
      <c r="F179" s="156">
        <f>'дод 3'!G294+'дод 3'!G252</f>
        <v>0</v>
      </c>
      <c r="G179" s="156">
        <f>'дод 3'!H294+'дод 3'!H252</f>
        <v>0</v>
      </c>
      <c r="H179" s="156">
        <f>'дод 3'!I294+'дод 3'!I252</f>
        <v>0</v>
      </c>
      <c r="I179" s="156">
        <f>'дод 3'!J294+'дод 3'!J252</f>
        <v>115149212</v>
      </c>
      <c r="J179" s="156">
        <f>'дод 3'!K294+'дод 3'!K252</f>
        <v>115149212</v>
      </c>
      <c r="K179" s="156">
        <f>'дод 3'!L294+'дод 3'!L252</f>
        <v>0</v>
      </c>
      <c r="L179" s="156">
        <f>'дод 3'!M294+'дод 3'!M252</f>
        <v>0</v>
      </c>
      <c r="M179" s="156">
        <f>'дод 3'!N294+'дод 3'!N252</f>
        <v>0</v>
      </c>
      <c r="N179" s="156">
        <f>'дод 3'!O294+'дод 3'!O252</f>
        <v>115149212</v>
      </c>
      <c r="O179" s="156">
        <f>'дод 3'!P294+'дод 3'!P252</f>
        <v>115149212</v>
      </c>
      <c r="P179" s="193"/>
    </row>
    <row r="180" spans="1:16" s="51" customFormat="1" ht="18.75" x14ac:dyDescent="0.25">
      <c r="A180" s="40" t="s">
        <v>274</v>
      </c>
      <c r="B180" s="40" t="s">
        <v>110</v>
      </c>
      <c r="C180" s="6" t="s">
        <v>524</v>
      </c>
      <c r="D180" s="156">
        <f>'дод 3'!E118+'дод 3'!E295</f>
        <v>0</v>
      </c>
      <c r="E180" s="156">
        <f>'дод 3'!F118+'дод 3'!F295</f>
        <v>0</v>
      </c>
      <c r="F180" s="156">
        <f>'дод 3'!G118+'дод 3'!G295</f>
        <v>0</v>
      </c>
      <c r="G180" s="156">
        <f>'дод 3'!H118+'дод 3'!H295</f>
        <v>0</v>
      </c>
      <c r="H180" s="156">
        <f>'дод 3'!I118+'дод 3'!I295</f>
        <v>0</v>
      </c>
      <c r="I180" s="156">
        <f>'дод 3'!J118+'дод 3'!J295</f>
        <v>7500000</v>
      </c>
      <c r="J180" s="156">
        <f>'дод 3'!K118+'дод 3'!K295</f>
        <v>7500000</v>
      </c>
      <c r="K180" s="156">
        <f>'дод 3'!L118+'дод 3'!L295</f>
        <v>0</v>
      </c>
      <c r="L180" s="156">
        <f>'дод 3'!M118+'дод 3'!M295</f>
        <v>0</v>
      </c>
      <c r="M180" s="156">
        <f>'дод 3'!N118+'дод 3'!N295</f>
        <v>0</v>
      </c>
      <c r="N180" s="156">
        <f>'дод 3'!O118+'дод 3'!O295</f>
        <v>7500000</v>
      </c>
      <c r="O180" s="156">
        <f>'дод 3'!P118+'дод 3'!P295</f>
        <v>7500000</v>
      </c>
      <c r="P180" s="193"/>
    </row>
    <row r="181" spans="1:16" s="51" customFormat="1" ht="21.75" hidden="1" customHeight="1" x14ac:dyDescent="0.25">
      <c r="A181" s="74"/>
      <c r="B181" s="74"/>
      <c r="C181" s="79" t="s">
        <v>390</v>
      </c>
      <c r="D181" s="157">
        <f>'дод 3'!E119</f>
        <v>0</v>
      </c>
      <c r="E181" s="157">
        <f>'дод 3'!F119</f>
        <v>0</v>
      </c>
      <c r="F181" s="157">
        <f>'дод 3'!G119</f>
        <v>0</v>
      </c>
      <c r="G181" s="157">
        <f>'дод 3'!H119</f>
        <v>0</v>
      </c>
      <c r="H181" s="157">
        <f>'дод 3'!I119</f>
        <v>0</v>
      </c>
      <c r="I181" s="157">
        <f>'дод 3'!J119</f>
        <v>0</v>
      </c>
      <c r="J181" s="157">
        <f>'дод 3'!K119</f>
        <v>0</v>
      </c>
      <c r="K181" s="157">
        <f>'дод 3'!L119</f>
        <v>0</v>
      </c>
      <c r="L181" s="157">
        <f>'дод 3'!M119</f>
        <v>0</v>
      </c>
      <c r="M181" s="157">
        <f>'дод 3'!N119</f>
        <v>0</v>
      </c>
      <c r="N181" s="157">
        <f>'дод 3'!O119</f>
        <v>0</v>
      </c>
      <c r="O181" s="157">
        <f>'дод 3'!P119</f>
        <v>0</v>
      </c>
      <c r="P181" s="193"/>
    </row>
    <row r="182" spans="1:16" s="51" customFormat="1" ht="24" customHeight="1" x14ac:dyDescent="0.25">
      <c r="A182" s="40" t="s">
        <v>276</v>
      </c>
      <c r="B182" s="40" t="s">
        <v>110</v>
      </c>
      <c r="C182" s="6" t="s">
        <v>525</v>
      </c>
      <c r="D182" s="156">
        <f>'дод 3'!E296+'дод 3'!E156</f>
        <v>0</v>
      </c>
      <c r="E182" s="156">
        <f>'дод 3'!F296+'дод 3'!F156</f>
        <v>0</v>
      </c>
      <c r="F182" s="156">
        <f>'дод 3'!G296+'дод 3'!G156</f>
        <v>0</v>
      </c>
      <c r="G182" s="156">
        <f>'дод 3'!H296+'дод 3'!H156</f>
        <v>0</v>
      </c>
      <c r="H182" s="156">
        <f>'дод 3'!I296+'дод 3'!I156</f>
        <v>0</v>
      </c>
      <c r="I182" s="156">
        <f>'дод 3'!J296+'дод 3'!J156</f>
        <v>3000000</v>
      </c>
      <c r="J182" s="156">
        <f>'дод 3'!K296+'дод 3'!K156</f>
        <v>3000000</v>
      </c>
      <c r="K182" s="156">
        <f>'дод 3'!L296+'дод 3'!L156</f>
        <v>0</v>
      </c>
      <c r="L182" s="156">
        <f>'дод 3'!M296+'дод 3'!M156</f>
        <v>0</v>
      </c>
      <c r="M182" s="156">
        <f>'дод 3'!N296+'дод 3'!N156</f>
        <v>0</v>
      </c>
      <c r="N182" s="156">
        <f>'дод 3'!O296+'дод 3'!O156</f>
        <v>3000000</v>
      </c>
      <c r="O182" s="156">
        <f>'дод 3'!P296+'дод 3'!P156</f>
        <v>3000000</v>
      </c>
      <c r="P182" s="193"/>
    </row>
    <row r="183" spans="1:16" s="51" customFormat="1" ht="22.5" hidden="1" customHeight="1" x14ac:dyDescent="0.25">
      <c r="A183" s="40">
        <v>7323</v>
      </c>
      <c r="B183" s="67" t="s">
        <v>110</v>
      </c>
      <c r="C183" s="113" t="s">
        <v>526</v>
      </c>
      <c r="D183" s="156">
        <f>'дод 3'!E205+'дод 3'!E38</f>
        <v>0</v>
      </c>
      <c r="E183" s="156">
        <f>'дод 3'!F205+'дод 3'!F38</f>
        <v>0</v>
      </c>
      <c r="F183" s="156">
        <f>'дод 3'!G205+'дод 3'!G38</f>
        <v>0</v>
      </c>
      <c r="G183" s="156">
        <f>'дод 3'!H205+'дод 3'!H38</f>
        <v>0</v>
      </c>
      <c r="H183" s="156">
        <f>'дод 3'!I205+'дод 3'!I38</f>
        <v>0</v>
      </c>
      <c r="I183" s="156">
        <f>'дод 3'!J205+'дод 3'!J38</f>
        <v>0</v>
      </c>
      <c r="J183" s="156">
        <f>'дод 3'!K205+'дод 3'!K38</f>
        <v>0</v>
      </c>
      <c r="K183" s="156">
        <f>'дод 3'!L205+'дод 3'!L38</f>
        <v>0</v>
      </c>
      <c r="L183" s="156">
        <f>'дод 3'!M205+'дод 3'!M38</f>
        <v>0</v>
      </c>
      <c r="M183" s="156">
        <f>'дод 3'!N205+'дод 3'!N38</f>
        <v>0</v>
      </c>
      <c r="N183" s="156">
        <f>'дод 3'!O205+'дод 3'!O38</f>
        <v>0</v>
      </c>
      <c r="O183" s="156">
        <f>'дод 3'!P205+'дод 3'!P38</f>
        <v>0</v>
      </c>
      <c r="P183" s="193"/>
    </row>
    <row r="184" spans="1:16" s="51" customFormat="1" ht="19.5" customHeight="1" x14ac:dyDescent="0.25">
      <c r="A184" s="40">
        <v>7324</v>
      </c>
      <c r="B184" s="67" t="s">
        <v>110</v>
      </c>
      <c r="C184" s="6" t="s">
        <v>527</v>
      </c>
      <c r="D184" s="156">
        <f>'дод 3'!E227+'дод 3'!E297</f>
        <v>0</v>
      </c>
      <c r="E184" s="156">
        <f>'дод 3'!F227+'дод 3'!F297</f>
        <v>0</v>
      </c>
      <c r="F184" s="156">
        <f>'дод 3'!G227+'дод 3'!G297</f>
        <v>0</v>
      </c>
      <c r="G184" s="156">
        <f>'дод 3'!H227+'дод 3'!H297</f>
        <v>0</v>
      </c>
      <c r="H184" s="156">
        <f>'дод 3'!I227+'дод 3'!I297</f>
        <v>0</v>
      </c>
      <c r="I184" s="156">
        <f>'дод 3'!J227+'дод 3'!J297</f>
        <v>300000</v>
      </c>
      <c r="J184" s="156">
        <f>'дод 3'!K227+'дод 3'!K297</f>
        <v>300000</v>
      </c>
      <c r="K184" s="156">
        <f>'дод 3'!L227+'дод 3'!L297</f>
        <v>0</v>
      </c>
      <c r="L184" s="156">
        <f>'дод 3'!M227+'дод 3'!M297</f>
        <v>0</v>
      </c>
      <c r="M184" s="156">
        <f>'дод 3'!N227+'дод 3'!N297</f>
        <v>0</v>
      </c>
      <c r="N184" s="156">
        <f>'дод 3'!O227+'дод 3'!O297</f>
        <v>300000</v>
      </c>
      <c r="O184" s="156">
        <f>'дод 3'!P227+'дод 3'!P297</f>
        <v>300000</v>
      </c>
      <c r="P184" s="193"/>
    </row>
    <row r="185" spans="1:16" s="51" customFormat="1" ht="41.25" customHeight="1" x14ac:dyDescent="0.25">
      <c r="A185" s="40">
        <v>7325</v>
      </c>
      <c r="B185" s="67" t="s">
        <v>110</v>
      </c>
      <c r="C185" s="6" t="s">
        <v>522</v>
      </c>
      <c r="D185" s="156">
        <f>'дод 3'!E298+'дод 3'!E39</f>
        <v>0</v>
      </c>
      <c r="E185" s="156">
        <f>'дод 3'!F298+'дод 3'!F39</f>
        <v>0</v>
      </c>
      <c r="F185" s="156">
        <f>'дод 3'!G298+'дод 3'!G39</f>
        <v>0</v>
      </c>
      <c r="G185" s="156">
        <f>'дод 3'!H298+'дод 3'!H39</f>
        <v>0</v>
      </c>
      <c r="H185" s="156">
        <f>'дод 3'!I298+'дод 3'!I39</f>
        <v>0</v>
      </c>
      <c r="I185" s="156">
        <f>'дод 3'!J298+'дод 3'!J39</f>
        <v>20150000</v>
      </c>
      <c r="J185" s="156">
        <f>'дод 3'!K298+'дод 3'!K39</f>
        <v>20150000</v>
      </c>
      <c r="K185" s="156">
        <f>'дод 3'!L298+'дод 3'!L39</f>
        <v>0</v>
      </c>
      <c r="L185" s="156">
        <f>'дод 3'!M298+'дод 3'!M39</f>
        <v>0</v>
      </c>
      <c r="M185" s="156">
        <f>'дод 3'!N298+'дод 3'!N39</f>
        <v>0</v>
      </c>
      <c r="N185" s="156">
        <f>'дод 3'!O298+'дод 3'!O39</f>
        <v>20150000</v>
      </c>
      <c r="O185" s="156">
        <f>'дод 3'!P298+'дод 3'!P39</f>
        <v>20150000</v>
      </c>
      <c r="P185" s="193"/>
    </row>
    <row r="186" spans="1:16" ht="21.75" customHeight="1" x14ac:dyDescent="0.25">
      <c r="A186" s="40" t="s">
        <v>271</v>
      </c>
      <c r="B186" s="40" t="s">
        <v>110</v>
      </c>
      <c r="C186" s="6" t="s">
        <v>523</v>
      </c>
      <c r="D186" s="156">
        <f>'дод 3'!E299+'дод 3'!E253+'дод 3'!E40</f>
        <v>0</v>
      </c>
      <c r="E186" s="156">
        <f>'дод 3'!F299+'дод 3'!F253+'дод 3'!F40</f>
        <v>0</v>
      </c>
      <c r="F186" s="156">
        <f>'дод 3'!G299+'дод 3'!G253+'дод 3'!G40</f>
        <v>0</v>
      </c>
      <c r="G186" s="156">
        <f>'дод 3'!H299+'дод 3'!H253+'дод 3'!H40</f>
        <v>0</v>
      </c>
      <c r="H186" s="156">
        <f>'дод 3'!I299+'дод 3'!I253+'дод 3'!I40</f>
        <v>0</v>
      </c>
      <c r="I186" s="156">
        <f>'дод 3'!J299+'дод 3'!J253+'дод 3'!J40</f>
        <v>63489651</v>
      </c>
      <c r="J186" s="156">
        <f>'дод 3'!K299+'дод 3'!K253+'дод 3'!K40</f>
        <v>63489651</v>
      </c>
      <c r="K186" s="156">
        <f>'дод 3'!L299+'дод 3'!L253+'дод 3'!L40</f>
        <v>0</v>
      </c>
      <c r="L186" s="156">
        <f>'дод 3'!M299+'дод 3'!M253+'дод 3'!M40</f>
        <v>0</v>
      </c>
      <c r="M186" s="156">
        <f>'дод 3'!N299+'дод 3'!N253+'дод 3'!N40</f>
        <v>0</v>
      </c>
      <c r="N186" s="156">
        <f>'дод 3'!O299+'дод 3'!O253+'дод 3'!O40</f>
        <v>63489651</v>
      </c>
      <c r="O186" s="156">
        <f>'дод 3'!P299+'дод 3'!P253+'дод 3'!P40</f>
        <v>63489651</v>
      </c>
      <c r="P186" s="193"/>
    </row>
    <row r="187" spans="1:16" ht="31.5" customHeight="1" x14ac:dyDescent="0.25">
      <c r="A187" s="37" t="s">
        <v>135</v>
      </c>
      <c r="B187" s="37" t="s">
        <v>110</v>
      </c>
      <c r="C187" s="3" t="s">
        <v>1</v>
      </c>
      <c r="D187" s="156">
        <f>'дод 3'!E254+'дод 3'!E300+'дод 3'!E313</f>
        <v>247500</v>
      </c>
      <c r="E187" s="156">
        <f>'дод 3'!F254+'дод 3'!F300+'дод 3'!F313</f>
        <v>247500</v>
      </c>
      <c r="F187" s="156">
        <f>'дод 3'!G254+'дод 3'!G300+'дод 3'!G313</f>
        <v>0</v>
      </c>
      <c r="G187" s="156">
        <f>'дод 3'!H254+'дод 3'!H300+'дод 3'!H313</f>
        <v>0</v>
      </c>
      <c r="H187" s="156">
        <f>'дод 3'!I254+'дод 3'!I300+'дод 3'!I313</f>
        <v>0</v>
      </c>
      <c r="I187" s="156">
        <f>'дод 3'!J254+'дод 3'!J300+'дод 3'!J313</f>
        <v>500000</v>
      </c>
      <c r="J187" s="156">
        <f>'дод 3'!K254+'дод 3'!K300+'дод 3'!K313</f>
        <v>500000</v>
      </c>
      <c r="K187" s="156">
        <f>'дод 3'!L254+'дод 3'!L300+'дод 3'!L313</f>
        <v>0</v>
      </c>
      <c r="L187" s="156">
        <f>'дод 3'!M254+'дод 3'!M300+'дод 3'!M313</f>
        <v>0</v>
      </c>
      <c r="M187" s="156">
        <f>'дод 3'!N254+'дод 3'!N300+'дод 3'!N313</f>
        <v>0</v>
      </c>
      <c r="N187" s="156">
        <f>'дод 3'!O254+'дод 3'!O300+'дод 3'!O313</f>
        <v>500000</v>
      </c>
      <c r="O187" s="156">
        <f>'дод 3'!P254+'дод 3'!P300+'дод 3'!P313</f>
        <v>747500</v>
      </c>
      <c r="P187" s="193"/>
    </row>
    <row r="188" spans="1:16" ht="35.25" hidden="1" customHeight="1" x14ac:dyDescent="0.25">
      <c r="A188" s="55" t="s">
        <v>446</v>
      </c>
      <c r="B188" s="55" t="s">
        <v>110</v>
      </c>
      <c r="C188" s="3" t="s">
        <v>447</v>
      </c>
      <c r="D188" s="156">
        <f>'дод 3'!E314</f>
        <v>0</v>
      </c>
      <c r="E188" s="156">
        <f>'дод 3'!F314</f>
        <v>0</v>
      </c>
      <c r="F188" s="156">
        <f>'дод 3'!G314</f>
        <v>0</v>
      </c>
      <c r="G188" s="156">
        <f>'дод 3'!H314</f>
        <v>0</v>
      </c>
      <c r="H188" s="156">
        <f>'дод 3'!I314</f>
        <v>0</v>
      </c>
      <c r="I188" s="156">
        <f>'дод 3'!J314</f>
        <v>0</v>
      </c>
      <c r="J188" s="156">
        <f>'дод 3'!K314</f>
        <v>0</v>
      </c>
      <c r="K188" s="156">
        <f>'дод 3'!L314</f>
        <v>0</v>
      </c>
      <c r="L188" s="156">
        <f>'дод 3'!M314</f>
        <v>0</v>
      </c>
      <c r="M188" s="156">
        <f>'дод 3'!N314</f>
        <v>0</v>
      </c>
      <c r="N188" s="156">
        <f>'дод 3'!O314</f>
        <v>0</v>
      </c>
      <c r="O188" s="156">
        <f>'дод 3'!P314</f>
        <v>0</v>
      </c>
      <c r="P188" s="193"/>
    </row>
    <row r="189" spans="1:16" ht="51.75" customHeight="1" x14ac:dyDescent="0.25">
      <c r="A189" s="37">
        <v>7361</v>
      </c>
      <c r="B189" s="37" t="s">
        <v>81</v>
      </c>
      <c r="C189" s="3" t="s">
        <v>367</v>
      </c>
      <c r="D189" s="156">
        <f>'дод 3'!E255+'дод 3'!E301+'дод 3'!E157</f>
        <v>0</v>
      </c>
      <c r="E189" s="156">
        <f>'дод 3'!F255+'дод 3'!F301+'дод 3'!F157</f>
        <v>0</v>
      </c>
      <c r="F189" s="156">
        <f>'дод 3'!G255+'дод 3'!G301+'дод 3'!G157</f>
        <v>0</v>
      </c>
      <c r="G189" s="156">
        <f>'дод 3'!H255+'дод 3'!H301+'дод 3'!H157</f>
        <v>0</v>
      </c>
      <c r="H189" s="156">
        <f>'дод 3'!I255+'дод 3'!I301+'дод 3'!I157</f>
        <v>0</v>
      </c>
      <c r="I189" s="156">
        <f>'дод 3'!J255+'дод 3'!J301+'дод 3'!J157</f>
        <v>28980784</v>
      </c>
      <c r="J189" s="156">
        <f>'дод 3'!K255+'дод 3'!K301+'дод 3'!K157</f>
        <v>28980784</v>
      </c>
      <c r="K189" s="156">
        <f>'дод 3'!L255+'дод 3'!L301+'дод 3'!L157</f>
        <v>0</v>
      </c>
      <c r="L189" s="156">
        <f>'дод 3'!M255+'дод 3'!M301+'дод 3'!M157</f>
        <v>0</v>
      </c>
      <c r="M189" s="156">
        <f>'дод 3'!N255+'дод 3'!N301+'дод 3'!N157</f>
        <v>0</v>
      </c>
      <c r="N189" s="156">
        <f>'дод 3'!O255+'дод 3'!O301+'дод 3'!O157</f>
        <v>28980784</v>
      </c>
      <c r="O189" s="156">
        <f>'дод 3'!P255+'дод 3'!P301+'дод 3'!P157</f>
        <v>28980784</v>
      </c>
      <c r="P189" s="193"/>
    </row>
    <row r="190" spans="1:16" s="51" customFormat="1" ht="46.5" hidden="1" customHeight="1" x14ac:dyDescent="0.25">
      <c r="A190" s="37">
        <v>7362</v>
      </c>
      <c r="B190" s="37" t="s">
        <v>81</v>
      </c>
      <c r="C190" s="3" t="s">
        <v>359</v>
      </c>
      <c r="D190" s="156">
        <f>'дод 3'!E256</f>
        <v>0</v>
      </c>
      <c r="E190" s="156">
        <f>'дод 3'!F256</f>
        <v>0</v>
      </c>
      <c r="F190" s="156">
        <f>'дод 3'!G256</f>
        <v>0</v>
      </c>
      <c r="G190" s="156">
        <f>'дод 3'!H256</f>
        <v>0</v>
      </c>
      <c r="H190" s="156">
        <f>'дод 3'!I256</f>
        <v>0</v>
      </c>
      <c r="I190" s="156">
        <f>'дод 3'!J256</f>
        <v>0</v>
      </c>
      <c r="J190" s="156">
        <f>'дод 3'!K256</f>
        <v>0</v>
      </c>
      <c r="K190" s="156">
        <f>'дод 3'!L256</f>
        <v>0</v>
      </c>
      <c r="L190" s="156">
        <f>'дод 3'!M256</f>
        <v>0</v>
      </c>
      <c r="M190" s="156">
        <f>'дод 3'!N256</f>
        <v>0</v>
      </c>
      <c r="N190" s="156">
        <f>'дод 3'!O256</f>
        <v>0</v>
      </c>
      <c r="O190" s="156">
        <f>'дод 3'!P256</f>
        <v>0</v>
      </c>
      <c r="P190" s="193"/>
    </row>
    <row r="191" spans="1:16" s="51" customFormat="1" ht="47.25" x14ac:dyDescent="0.25">
      <c r="A191" s="37">
        <v>7363</v>
      </c>
      <c r="B191" s="56" t="s">
        <v>81</v>
      </c>
      <c r="C191" s="57" t="s">
        <v>604</v>
      </c>
      <c r="D191" s="156">
        <f>'дод 3'!E257+'дод 3'!E120+'дод 3'!E158+'дод 3'!E302</f>
        <v>0</v>
      </c>
      <c r="E191" s="156">
        <f>'дод 3'!F257+'дод 3'!F120+'дод 3'!F158+'дод 3'!F302</f>
        <v>0</v>
      </c>
      <c r="F191" s="156">
        <f>'дод 3'!G257+'дод 3'!G120+'дод 3'!G158+'дод 3'!G302</f>
        <v>0</v>
      </c>
      <c r="G191" s="156">
        <f>'дод 3'!H257+'дод 3'!H120+'дод 3'!H158+'дод 3'!H302</f>
        <v>0</v>
      </c>
      <c r="H191" s="156">
        <f>'дод 3'!I257+'дод 3'!I120+'дод 3'!I158+'дод 3'!I302</f>
        <v>0</v>
      </c>
      <c r="I191" s="156">
        <f>'дод 3'!J257+'дод 3'!J120+'дод 3'!J158+'дод 3'!J302</f>
        <v>6000000</v>
      </c>
      <c r="J191" s="156">
        <f>'дод 3'!K257+'дод 3'!K120+'дод 3'!K158+'дод 3'!K302</f>
        <v>6000000</v>
      </c>
      <c r="K191" s="156">
        <f>'дод 3'!L257+'дод 3'!L120+'дод 3'!L158+'дод 3'!L302</f>
        <v>0</v>
      </c>
      <c r="L191" s="156">
        <f>'дод 3'!M257+'дод 3'!M120+'дод 3'!M158+'дод 3'!M302</f>
        <v>0</v>
      </c>
      <c r="M191" s="156">
        <f>'дод 3'!N257+'дод 3'!N120+'дод 3'!N158+'дод 3'!N302</f>
        <v>0</v>
      </c>
      <c r="N191" s="156">
        <f>'дод 3'!O257+'дод 3'!O120+'дод 3'!O158+'дод 3'!O302</f>
        <v>6000000</v>
      </c>
      <c r="O191" s="156">
        <f>'дод 3'!P257+'дод 3'!P120+'дод 3'!P158+'дод 3'!P302</f>
        <v>6000000</v>
      </c>
      <c r="P191" s="193"/>
    </row>
    <row r="192" spans="1:16" s="51" customFormat="1" ht="47.25" hidden="1" customHeight="1" x14ac:dyDescent="0.25">
      <c r="A192" s="71"/>
      <c r="B192" s="76"/>
      <c r="C192" s="72" t="s">
        <v>383</v>
      </c>
      <c r="D192" s="157">
        <f>'дод 3'!E121+'дод 3'!E159+'дод 3'!E258+'дод 3'!E303</f>
        <v>0</v>
      </c>
      <c r="E192" s="157">
        <f>'дод 3'!F121+'дод 3'!F159+'дод 3'!F258+'дод 3'!F303</f>
        <v>0</v>
      </c>
      <c r="F192" s="157">
        <f>'дод 3'!G121+'дод 3'!G159+'дод 3'!G258+'дод 3'!G303</f>
        <v>0</v>
      </c>
      <c r="G192" s="157">
        <f>'дод 3'!H121+'дод 3'!H159+'дод 3'!H258+'дод 3'!H303</f>
        <v>0</v>
      </c>
      <c r="H192" s="157">
        <f>'дод 3'!I121+'дод 3'!I159+'дод 3'!I258+'дод 3'!I303</f>
        <v>0</v>
      </c>
      <c r="I192" s="157">
        <f>'дод 3'!J121+'дод 3'!J159+'дод 3'!J258+'дод 3'!J303</f>
        <v>0</v>
      </c>
      <c r="J192" s="157">
        <f>'дод 3'!K121+'дод 3'!K159+'дод 3'!K258+'дод 3'!K303</f>
        <v>0</v>
      </c>
      <c r="K192" s="157">
        <f>'дод 3'!L121+'дод 3'!L159+'дод 3'!L258+'дод 3'!L303</f>
        <v>0</v>
      </c>
      <c r="L192" s="157">
        <f>'дод 3'!M121+'дод 3'!M159+'дод 3'!M258+'дод 3'!M303</f>
        <v>0</v>
      </c>
      <c r="M192" s="157">
        <f>'дод 3'!N121+'дод 3'!N159+'дод 3'!N258+'дод 3'!N303</f>
        <v>0</v>
      </c>
      <c r="N192" s="157">
        <f>'дод 3'!O121+'дод 3'!O159+'дод 3'!O258+'дод 3'!O303</f>
        <v>0</v>
      </c>
      <c r="O192" s="157">
        <f>'дод 3'!P121+'дод 3'!P159+'дод 3'!P258+'дод 3'!P303</f>
        <v>0</v>
      </c>
      <c r="P192" s="193"/>
    </row>
    <row r="193" spans="1:16" ht="31.5" hidden="1" customHeight="1" x14ac:dyDescent="0.25">
      <c r="A193" s="37">
        <v>7368</v>
      </c>
      <c r="B193" s="37" t="s">
        <v>81</v>
      </c>
      <c r="C193" s="36" t="s">
        <v>557</v>
      </c>
      <c r="D193" s="156">
        <f>'дод 3'!E259</f>
        <v>0</v>
      </c>
      <c r="E193" s="156">
        <f>'дод 3'!F259</f>
        <v>0</v>
      </c>
      <c r="F193" s="156">
        <f>'дод 3'!G259</f>
        <v>0</v>
      </c>
      <c r="G193" s="156">
        <f>'дод 3'!H259</f>
        <v>0</v>
      </c>
      <c r="H193" s="156">
        <f>'дод 3'!I259</f>
        <v>0</v>
      </c>
      <c r="I193" s="156">
        <f>'дод 3'!J259</f>
        <v>0</v>
      </c>
      <c r="J193" s="156">
        <f>'дод 3'!K259</f>
        <v>0</v>
      </c>
      <c r="K193" s="156">
        <f>'дод 3'!L259</f>
        <v>0</v>
      </c>
      <c r="L193" s="156">
        <f>'дод 3'!M259</f>
        <v>0</v>
      </c>
      <c r="M193" s="156">
        <f>'дод 3'!N259</f>
        <v>0</v>
      </c>
      <c r="N193" s="156">
        <f>'дод 3'!O259</f>
        <v>0</v>
      </c>
      <c r="O193" s="156">
        <f>'дод 3'!P259</f>
        <v>0</v>
      </c>
      <c r="P193" s="193"/>
    </row>
    <row r="194" spans="1:16" s="51" customFormat="1" ht="15.75" hidden="1" customHeight="1" x14ac:dyDescent="0.25">
      <c r="A194" s="71"/>
      <c r="B194" s="76"/>
      <c r="C194" s="77" t="s">
        <v>388</v>
      </c>
      <c r="D194" s="157">
        <f>'дод 3'!E260</f>
        <v>0</v>
      </c>
      <c r="E194" s="157">
        <f>'дод 3'!F260</f>
        <v>0</v>
      </c>
      <c r="F194" s="157">
        <f>'дод 3'!G260</f>
        <v>0</v>
      </c>
      <c r="G194" s="157">
        <f>'дод 3'!H260</f>
        <v>0</v>
      </c>
      <c r="H194" s="157">
        <f>'дод 3'!I260</f>
        <v>0</v>
      </c>
      <c r="I194" s="157">
        <f>'дод 3'!J260</f>
        <v>0</v>
      </c>
      <c r="J194" s="157">
        <f>'дод 3'!K260</f>
        <v>0</v>
      </c>
      <c r="K194" s="157">
        <f>'дод 3'!L260</f>
        <v>0</v>
      </c>
      <c r="L194" s="157">
        <f>'дод 3'!M260</f>
        <v>0</v>
      </c>
      <c r="M194" s="157">
        <f>'дод 3'!N260</f>
        <v>0</v>
      </c>
      <c r="N194" s="157">
        <f>'дод 3'!O260</f>
        <v>0</v>
      </c>
      <c r="O194" s="157">
        <f>'дод 3'!P260</f>
        <v>0</v>
      </c>
      <c r="P194" s="193"/>
    </row>
    <row r="195" spans="1:16" s="51" customFormat="1" ht="31.5" x14ac:dyDescent="0.25">
      <c r="A195" s="37">
        <v>7370</v>
      </c>
      <c r="B195" s="56" t="s">
        <v>81</v>
      </c>
      <c r="C195" s="57" t="s">
        <v>421</v>
      </c>
      <c r="D195" s="156">
        <f>'дод 3'!E304+'дод 3'!E315</f>
        <v>3150000</v>
      </c>
      <c r="E195" s="156">
        <f>'дод 3'!F304+'дод 3'!F315</f>
        <v>0</v>
      </c>
      <c r="F195" s="156">
        <f>'дод 3'!G304+'дод 3'!G315</f>
        <v>0</v>
      </c>
      <c r="G195" s="156">
        <f>'дод 3'!H304+'дод 3'!H315</f>
        <v>0</v>
      </c>
      <c r="H195" s="156">
        <f>'дод 3'!I304+'дод 3'!I315</f>
        <v>3150000</v>
      </c>
      <c r="I195" s="156">
        <f>'дод 3'!J304+'дод 3'!J315</f>
        <v>0</v>
      </c>
      <c r="J195" s="156">
        <f>'дод 3'!K304+'дод 3'!K315</f>
        <v>0</v>
      </c>
      <c r="K195" s="156">
        <f>'дод 3'!L304+'дод 3'!L315</f>
        <v>0</v>
      </c>
      <c r="L195" s="156">
        <f>'дод 3'!M304+'дод 3'!M315</f>
        <v>0</v>
      </c>
      <c r="M195" s="156">
        <f>'дод 3'!N304+'дод 3'!N315</f>
        <v>0</v>
      </c>
      <c r="N195" s="156">
        <f>'дод 3'!O304+'дод 3'!O315</f>
        <v>0</v>
      </c>
      <c r="O195" s="156">
        <f>'дод 3'!P304+'дод 3'!P315</f>
        <v>3150000</v>
      </c>
      <c r="P195" s="193"/>
    </row>
    <row r="196" spans="1:16" s="49" customFormat="1" ht="34.5" customHeight="1" x14ac:dyDescent="0.25">
      <c r="A196" s="38" t="s">
        <v>84</v>
      </c>
      <c r="B196" s="41"/>
      <c r="C196" s="2" t="s">
        <v>591</v>
      </c>
      <c r="D196" s="47">
        <f>D200+D201+D202+D203+D207+D208+D210</f>
        <v>66447626</v>
      </c>
      <c r="E196" s="47">
        <f t="shared" ref="E196:O196" si="38">E200+E201+E202+E203+E207+E208+E210</f>
        <v>2585480</v>
      </c>
      <c r="F196" s="47">
        <f t="shared" si="38"/>
        <v>0</v>
      </c>
      <c r="G196" s="47">
        <f t="shared" si="38"/>
        <v>0</v>
      </c>
      <c r="H196" s="47">
        <f t="shared" si="38"/>
        <v>63862146</v>
      </c>
      <c r="I196" s="47">
        <f t="shared" si="38"/>
        <v>0</v>
      </c>
      <c r="J196" s="47">
        <f t="shared" si="38"/>
        <v>0</v>
      </c>
      <c r="K196" s="47">
        <f t="shared" si="38"/>
        <v>0</v>
      </c>
      <c r="L196" s="47">
        <f t="shared" si="38"/>
        <v>0</v>
      </c>
      <c r="M196" s="47">
        <f t="shared" si="38"/>
        <v>0</v>
      </c>
      <c r="N196" s="47">
        <f t="shared" si="38"/>
        <v>0</v>
      </c>
      <c r="O196" s="47">
        <f t="shared" si="38"/>
        <v>66447626</v>
      </c>
      <c r="P196" s="193"/>
    </row>
    <row r="197" spans="1:16" s="50" customFormat="1" ht="97.5" hidden="1" customHeight="1" x14ac:dyDescent="0.25">
      <c r="A197" s="65"/>
      <c r="B197" s="66"/>
      <c r="C197" s="69" t="s">
        <v>391</v>
      </c>
      <c r="D197" s="158">
        <f>D205</f>
        <v>0</v>
      </c>
      <c r="E197" s="158">
        <f t="shared" ref="E197:O197" si="39">E205</f>
        <v>0</v>
      </c>
      <c r="F197" s="158">
        <f t="shared" si="39"/>
        <v>0</v>
      </c>
      <c r="G197" s="158">
        <f t="shared" si="39"/>
        <v>0</v>
      </c>
      <c r="H197" s="158">
        <f t="shared" si="39"/>
        <v>0</v>
      </c>
      <c r="I197" s="158">
        <f t="shared" si="39"/>
        <v>0</v>
      </c>
      <c r="J197" s="158">
        <f t="shared" si="39"/>
        <v>0</v>
      </c>
      <c r="K197" s="158">
        <f t="shared" si="39"/>
        <v>0</v>
      </c>
      <c r="L197" s="158">
        <f t="shared" si="39"/>
        <v>0</v>
      </c>
      <c r="M197" s="158">
        <f t="shared" si="39"/>
        <v>0</v>
      </c>
      <c r="N197" s="158">
        <f t="shared" si="39"/>
        <v>0</v>
      </c>
      <c r="O197" s="158">
        <f t="shared" si="39"/>
        <v>0</v>
      </c>
      <c r="P197" s="193"/>
    </row>
    <row r="198" spans="1:16" s="50" customFormat="1" ht="65.25" hidden="1" customHeight="1" x14ac:dyDescent="0.25">
      <c r="A198" s="65"/>
      <c r="B198" s="66"/>
      <c r="C198" s="69" t="s">
        <v>435</v>
      </c>
      <c r="D198" s="158">
        <f>D209</f>
        <v>0</v>
      </c>
      <c r="E198" s="158">
        <f t="shared" ref="E198:O198" si="40">E209</f>
        <v>0</v>
      </c>
      <c r="F198" s="158">
        <f t="shared" si="40"/>
        <v>0</v>
      </c>
      <c r="G198" s="158">
        <f t="shared" si="40"/>
        <v>0</v>
      </c>
      <c r="H198" s="158">
        <f t="shared" si="40"/>
        <v>0</v>
      </c>
      <c r="I198" s="158">
        <f t="shared" si="40"/>
        <v>0</v>
      </c>
      <c r="J198" s="158">
        <f t="shared" si="40"/>
        <v>0</v>
      </c>
      <c r="K198" s="158">
        <f t="shared" si="40"/>
        <v>0</v>
      </c>
      <c r="L198" s="158">
        <f t="shared" si="40"/>
        <v>0</v>
      </c>
      <c r="M198" s="158">
        <f t="shared" si="40"/>
        <v>0</v>
      </c>
      <c r="N198" s="158">
        <f t="shared" si="40"/>
        <v>0</v>
      </c>
      <c r="O198" s="158">
        <f t="shared" si="40"/>
        <v>0</v>
      </c>
      <c r="P198" s="193"/>
    </row>
    <row r="199" spans="1:16" s="50" customFormat="1" ht="15.75" hidden="1" customHeight="1" x14ac:dyDescent="0.25">
      <c r="A199" s="65"/>
      <c r="B199" s="66"/>
      <c r="C199" s="75" t="s">
        <v>388</v>
      </c>
      <c r="D199" s="158">
        <f>D211</f>
        <v>0</v>
      </c>
      <c r="E199" s="158">
        <f t="shared" ref="E199:O199" si="41">E211</f>
        <v>0</v>
      </c>
      <c r="F199" s="158">
        <f t="shared" si="41"/>
        <v>0</v>
      </c>
      <c r="G199" s="158">
        <f t="shared" si="41"/>
        <v>0</v>
      </c>
      <c r="H199" s="158">
        <f t="shared" si="41"/>
        <v>0</v>
      </c>
      <c r="I199" s="158">
        <f t="shared" si="41"/>
        <v>0</v>
      </c>
      <c r="J199" s="158">
        <f t="shared" si="41"/>
        <v>0</v>
      </c>
      <c r="K199" s="158">
        <f t="shared" si="41"/>
        <v>0</v>
      </c>
      <c r="L199" s="158">
        <f t="shared" si="41"/>
        <v>0</v>
      </c>
      <c r="M199" s="158">
        <f t="shared" si="41"/>
        <v>0</v>
      </c>
      <c r="N199" s="158">
        <f t="shared" si="41"/>
        <v>0</v>
      </c>
      <c r="O199" s="158">
        <f t="shared" si="41"/>
        <v>0</v>
      </c>
      <c r="P199" s="193"/>
    </row>
    <row r="200" spans="1:16" s="51" customFormat="1" ht="18.75" customHeight="1" x14ac:dyDescent="0.25">
      <c r="A200" s="37" t="s">
        <v>3</v>
      </c>
      <c r="B200" s="37" t="s">
        <v>83</v>
      </c>
      <c r="C200" s="3" t="s">
        <v>35</v>
      </c>
      <c r="D200" s="156">
        <f>'дод 3'!E41</f>
        <v>16994929</v>
      </c>
      <c r="E200" s="156">
        <f>'дод 3'!F41</f>
        <v>0</v>
      </c>
      <c r="F200" s="156">
        <f>'дод 3'!G41</f>
        <v>0</v>
      </c>
      <c r="G200" s="156">
        <f>'дод 3'!H41</f>
        <v>0</v>
      </c>
      <c r="H200" s="156">
        <f>'дод 3'!I41</f>
        <v>16994929</v>
      </c>
      <c r="I200" s="156">
        <f>'дод 3'!J41</f>
        <v>0</v>
      </c>
      <c r="J200" s="156">
        <f>'дод 3'!K41</f>
        <v>0</v>
      </c>
      <c r="K200" s="156">
        <f>'дод 3'!L41</f>
        <v>0</v>
      </c>
      <c r="L200" s="156">
        <f>'дод 3'!M41</f>
        <v>0</v>
      </c>
      <c r="M200" s="156">
        <f>'дод 3'!N41</f>
        <v>0</v>
      </c>
      <c r="N200" s="156">
        <f>'дод 3'!O41</f>
        <v>0</v>
      </c>
      <c r="O200" s="156">
        <f>'дод 3'!P41</f>
        <v>16994929</v>
      </c>
      <c r="P200" s="193"/>
    </row>
    <row r="201" spans="1:16" s="51" customFormat="1" ht="20.25" customHeight="1" x14ac:dyDescent="0.25">
      <c r="A201" s="37">
        <v>7413</v>
      </c>
      <c r="B201" s="37" t="s">
        <v>83</v>
      </c>
      <c r="C201" s="3" t="s">
        <v>370</v>
      </c>
      <c r="D201" s="156">
        <f>'дод 3'!E42</f>
        <v>1600000</v>
      </c>
      <c r="E201" s="156">
        <f>'дод 3'!F42</f>
        <v>0</v>
      </c>
      <c r="F201" s="156">
        <f>'дод 3'!G42</f>
        <v>0</v>
      </c>
      <c r="G201" s="156">
        <f>'дод 3'!H42</f>
        <v>0</v>
      </c>
      <c r="H201" s="156">
        <f>'дод 3'!I42</f>
        <v>1600000</v>
      </c>
      <c r="I201" s="156">
        <f>'дод 3'!J42</f>
        <v>0</v>
      </c>
      <c r="J201" s="156">
        <f>'дод 3'!K42</f>
        <v>0</v>
      </c>
      <c r="K201" s="156">
        <f>'дод 3'!L42</f>
        <v>0</v>
      </c>
      <c r="L201" s="156">
        <f>'дод 3'!M42</f>
        <v>0</v>
      </c>
      <c r="M201" s="156">
        <f>'дод 3'!N42</f>
        <v>0</v>
      </c>
      <c r="N201" s="156">
        <f>'дод 3'!O42</f>
        <v>0</v>
      </c>
      <c r="O201" s="156">
        <f>'дод 3'!P42</f>
        <v>1600000</v>
      </c>
      <c r="P201" s="193"/>
    </row>
    <row r="202" spans="1:16" s="51" customFormat="1" ht="31.5" x14ac:dyDescent="0.25">
      <c r="A202" s="42">
        <v>7422</v>
      </c>
      <c r="B202" s="89" t="s">
        <v>407</v>
      </c>
      <c r="C202" s="90" t="s">
        <v>541</v>
      </c>
      <c r="D202" s="156">
        <f>'дод 3'!E43</f>
        <v>39867217</v>
      </c>
      <c r="E202" s="156">
        <f>'дод 3'!F43</f>
        <v>0</v>
      </c>
      <c r="F202" s="156">
        <f>'дод 3'!G43</f>
        <v>0</v>
      </c>
      <c r="G202" s="156">
        <f>'дод 3'!H43</f>
        <v>0</v>
      </c>
      <c r="H202" s="156">
        <f>'дод 3'!I43</f>
        <v>39867217</v>
      </c>
      <c r="I202" s="156">
        <f>'дод 3'!J43</f>
        <v>0</v>
      </c>
      <c r="J202" s="156">
        <f>'дод 3'!K43</f>
        <v>0</v>
      </c>
      <c r="K202" s="156">
        <f>'дод 3'!L43</f>
        <v>0</v>
      </c>
      <c r="L202" s="156">
        <f>'дод 3'!M43</f>
        <v>0</v>
      </c>
      <c r="M202" s="156">
        <f>'дод 3'!N43</f>
        <v>0</v>
      </c>
      <c r="N202" s="156">
        <f>'дод 3'!O43</f>
        <v>0</v>
      </c>
      <c r="O202" s="156">
        <f>'дод 3'!P43</f>
        <v>39867217</v>
      </c>
      <c r="P202" s="193"/>
    </row>
    <row r="203" spans="1:16" s="51" customFormat="1" ht="24" customHeight="1" x14ac:dyDescent="0.25">
      <c r="A203" s="37">
        <v>7426</v>
      </c>
      <c r="B203" s="55" t="s">
        <v>407</v>
      </c>
      <c r="C203" s="3" t="s">
        <v>371</v>
      </c>
      <c r="D203" s="156">
        <f>'дод 3'!E44</f>
        <v>5400000</v>
      </c>
      <c r="E203" s="156">
        <f>'дод 3'!F44</f>
        <v>0</v>
      </c>
      <c r="F203" s="156">
        <f>'дод 3'!G44</f>
        <v>0</v>
      </c>
      <c r="G203" s="156">
        <f>'дод 3'!H44</f>
        <v>0</v>
      </c>
      <c r="H203" s="156">
        <f>'дод 3'!I44</f>
        <v>5400000</v>
      </c>
      <c r="I203" s="156">
        <f>'дод 3'!J44</f>
        <v>0</v>
      </c>
      <c r="J203" s="156">
        <f>'дод 3'!K44</f>
        <v>0</v>
      </c>
      <c r="K203" s="156">
        <f>'дод 3'!L44</f>
        <v>0</v>
      </c>
      <c r="L203" s="156">
        <f>'дод 3'!M44</f>
        <v>0</v>
      </c>
      <c r="M203" s="156">
        <f>'дод 3'!N44</f>
        <v>0</v>
      </c>
      <c r="N203" s="156">
        <f>'дод 3'!O44</f>
        <v>0</v>
      </c>
      <c r="O203" s="156">
        <f>'дод 3'!P44</f>
        <v>5400000</v>
      </c>
      <c r="P203" s="193"/>
    </row>
    <row r="204" spans="1:16" s="51" customFormat="1" ht="53.25" hidden="1" customHeight="1" x14ac:dyDescent="0.25">
      <c r="A204" s="37">
        <v>7462</v>
      </c>
      <c r="B204" s="55" t="s">
        <v>394</v>
      </c>
      <c r="C204" s="3" t="s">
        <v>393</v>
      </c>
      <c r="D204" s="156">
        <f>'дод 3'!E261</f>
        <v>0</v>
      </c>
      <c r="E204" s="156">
        <f>'дод 3'!F261</f>
        <v>0</v>
      </c>
      <c r="F204" s="156">
        <f>'дод 3'!G261</f>
        <v>0</v>
      </c>
      <c r="G204" s="156">
        <f>'дод 3'!H261</f>
        <v>0</v>
      </c>
      <c r="H204" s="156">
        <f>'дод 3'!I261</f>
        <v>0</v>
      </c>
      <c r="I204" s="156">
        <f>'дод 3'!J261</f>
        <v>0</v>
      </c>
      <c r="J204" s="156">
        <f>'дод 3'!K261</f>
        <v>0</v>
      </c>
      <c r="K204" s="156">
        <f>'дод 3'!L261</f>
        <v>0</v>
      </c>
      <c r="L204" s="156">
        <f>'дод 3'!M261</f>
        <v>0</v>
      </c>
      <c r="M204" s="156">
        <f>'дод 3'!N261</f>
        <v>0</v>
      </c>
      <c r="N204" s="156">
        <f>'дод 3'!O261</f>
        <v>0</v>
      </c>
      <c r="O204" s="156">
        <f>'дод 3'!P261</f>
        <v>0</v>
      </c>
      <c r="P204" s="193"/>
    </row>
    <row r="205" spans="1:16" s="51" customFormat="1" ht="94.5" hidden="1" customHeight="1" x14ac:dyDescent="0.25">
      <c r="A205" s="71"/>
      <c r="B205" s="71"/>
      <c r="C205" s="72" t="s">
        <v>391</v>
      </c>
      <c r="D205" s="157">
        <f>'дод 3'!E262</f>
        <v>0</v>
      </c>
      <c r="E205" s="157">
        <f>'дод 3'!F262</f>
        <v>0</v>
      </c>
      <c r="F205" s="157">
        <f>'дод 3'!G262</f>
        <v>0</v>
      </c>
      <c r="G205" s="157">
        <f>'дод 3'!H262</f>
        <v>0</v>
      </c>
      <c r="H205" s="157">
        <f>'дод 3'!I262</f>
        <v>0</v>
      </c>
      <c r="I205" s="157">
        <f>'дод 3'!J262</f>
        <v>0</v>
      </c>
      <c r="J205" s="157">
        <f>'дод 3'!K262</f>
        <v>0</v>
      </c>
      <c r="K205" s="157">
        <f>'дод 3'!L262</f>
        <v>0</v>
      </c>
      <c r="L205" s="157">
        <f>'дод 3'!M262</f>
        <v>0</v>
      </c>
      <c r="M205" s="157">
        <f>'дод 3'!N262</f>
        <v>0</v>
      </c>
      <c r="N205" s="157">
        <f>'дод 3'!O262</f>
        <v>0</v>
      </c>
      <c r="O205" s="157">
        <f>'дод 3'!P262</f>
        <v>0</v>
      </c>
      <c r="P205" s="193"/>
    </row>
    <row r="206" spans="1:16" s="51" customFormat="1" ht="63" hidden="1" customHeight="1" x14ac:dyDescent="0.25">
      <c r="A206" s="71"/>
      <c r="B206" s="71"/>
      <c r="C206" s="72" t="s">
        <v>435</v>
      </c>
      <c r="D206" s="157">
        <f>'дод 3'!E263</f>
        <v>0</v>
      </c>
      <c r="E206" s="157">
        <f>'дод 3'!F263</f>
        <v>0</v>
      </c>
      <c r="F206" s="157">
        <f>'дод 3'!G263</f>
        <v>0</v>
      </c>
      <c r="G206" s="157">
        <f>'дод 3'!H263</f>
        <v>0</v>
      </c>
      <c r="H206" s="157">
        <f>'дод 3'!I263</f>
        <v>0</v>
      </c>
      <c r="I206" s="157">
        <f>'дод 3'!J263</f>
        <v>0</v>
      </c>
      <c r="J206" s="157">
        <f>'дод 3'!K263</f>
        <v>0</v>
      </c>
      <c r="K206" s="157">
        <f>'дод 3'!L263</f>
        <v>0</v>
      </c>
      <c r="L206" s="157">
        <f>'дод 3'!M263</f>
        <v>0</v>
      </c>
      <c r="M206" s="157">
        <f>'дод 3'!N263</f>
        <v>0</v>
      </c>
      <c r="N206" s="157">
        <f>'дод 3'!O263</f>
        <v>0</v>
      </c>
      <c r="O206" s="157">
        <f>'дод 3'!P263</f>
        <v>0</v>
      </c>
      <c r="P206" s="193"/>
    </row>
    <row r="207" spans="1:16" s="51" customFormat="1" ht="18" customHeight="1" x14ac:dyDescent="0.25">
      <c r="A207" s="55" t="s">
        <v>442</v>
      </c>
      <c r="B207" s="55" t="s">
        <v>394</v>
      </c>
      <c r="C207" s="3" t="s">
        <v>448</v>
      </c>
      <c r="D207" s="156">
        <f>'дод 3'!E45</f>
        <v>2585480</v>
      </c>
      <c r="E207" s="156">
        <f>'дод 3'!F45</f>
        <v>2585480</v>
      </c>
      <c r="F207" s="156">
        <f>'дод 3'!G45</f>
        <v>0</v>
      </c>
      <c r="G207" s="156">
        <f>'дод 3'!H45</f>
        <v>0</v>
      </c>
      <c r="H207" s="156">
        <f>'дод 3'!I45</f>
        <v>0</v>
      </c>
      <c r="I207" s="156">
        <f>'дод 3'!J45</f>
        <v>0</v>
      </c>
      <c r="J207" s="156">
        <f>'дод 3'!K45</f>
        <v>0</v>
      </c>
      <c r="K207" s="156">
        <f>'дод 3'!L45</f>
        <v>0</v>
      </c>
      <c r="L207" s="156">
        <f>'дод 3'!M45</f>
        <v>0</v>
      </c>
      <c r="M207" s="156">
        <f>'дод 3'!N45</f>
        <v>0</v>
      </c>
      <c r="N207" s="156">
        <f>'дод 3'!O45</f>
        <v>0</v>
      </c>
      <c r="O207" s="156">
        <f>'дод 3'!P45</f>
        <v>2585480</v>
      </c>
      <c r="P207" s="193"/>
    </row>
    <row r="208" spans="1:16" s="51" customFormat="1" ht="54.75" hidden="1" customHeight="1" x14ac:dyDescent="0.25">
      <c r="A208" s="55" t="s">
        <v>519</v>
      </c>
      <c r="B208" s="55" t="s">
        <v>394</v>
      </c>
      <c r="C208" s="99" t="s">
        <v>393</v>
      </c>
      <c r="D208" s="156">
        <f>'дод 3'!E261</f>
        <v>0</v>
      </c>
      <c r="E208" s="156">
        <f>'дод 3'!F261</f>
        <v>0</v>
      </c>
      <c r="F208" s="156">
        <f>'дод 3'!G261</f>
        <v>0</v>
      </c>
      <c r="G208" s="156">
        <f>'дод 3'!H261</f>
        <v>0</v>
      </c>
      <c r="H208" s="156">
        <f>'дод 3'!I261</f>
        <v>0</v>
      </c>
      <c r="I208" s="156">
        <f>'дод 3'!J261</f>
        <v>0</v>
      </c>
      <c r="J208" s="156">
        <f>'дод 3'!K261</f>
        <v>0</v>
      </c>
      <c r="K208" s="156">
        <f>'дод 3'!L261</f>
        <v>0</v>
      </c>
      <c r="L208" s="156">
        <f>'дод 3'!M261</f>
        <v>0</v>
      </c>
      <c r="M208" s="156">
        <f>'дод 3'!N261</f>
        <v>0</v>
      </c>
      <c r="N208" s="156">
        <f>'дод 3'!O261</f>
        <v>0</v>
      </c>
      <c r="O208" s="156">
        <f>'дод 3'!P261</f>
        <v>0</v>
      </c>
      <c r="P208" s="193"/>
    </row>
    <row r="209" spans="1:16" s="51" customFormat="1" ht="63" hidden="1" customHeight="1" x14ac:dyDescent="0.25">
      <c r="A209" s="81"/>
      <c r="B209" s="81"/>
      <c r="C209" s="79" t="s">
        <v>517</v>
      </c>
      <c r="D209" s="157">
        <f>'дод 3'!E263</f>
        <v>0</v>
      </c>
      <c r="E209" s="157">
        <f>'дод 3'!F263</f>
        <v>0</v>
      </c>
      <c r="F209" s="157">
        <f>'дод 3'!G263</f>
        <v>0</v>
      </c>
      <c r="G209" s="157">
        <f>'дод 3'!H263</f>
        <v>0</v>
      </c>
      <c r="H209" s="157">
        <f>'дод 3'!I263</f>
        <v>0</v>
      </c>
      <c r="I209" s="157">
        <f>'дод 3'!J263</f>
        <v>0</v>
      </c>
      <c r="J209" s="157">
        <f>'дод 3'!K263</f>
        <v>0</v>
      </c>
      <c r="K209" s="157">
        <f>'дод 3'!L263</f>
        <v>0</v>
      </c>
      <c r="L209" s="157">
        <f>'дод 3'!M263</f>
        <v>0</v>
      </c>
      <c r="M209" s="157">
        <f>'дод 3'!N263</f>
        <v>0</v>
      </c>
      <c r="N209" s="157">
        <f>'дод 3'!O263</f>
        <v>0</v>
      </c>
      <c r="O209" s="157">
        <f>'дод 3'!P263</f>
        <v>0</v>
      </c>
      <c r="P209" s="193"/>
    </row>
    <row r="210" spans="1:16" ht="49.5" hidden="1" customHeight="1" x14ac:dyDescent="0.25">
      <c r="A210" s="55" t="s">
        <v>558</v>
      </c>
      <c r="B210" s="56" t="s">
        <v>394</v>
      </c>
      <c r="C210" s="99" t="s">
        <v>555</v>
      </c>
      <c r="D210" s="156">
        <f>'дод 3'!E264</f>
        <v>0</v>
      </c>
      <c r="E210" s="156">
        <f>'дод 3'!F264</f>
        <v>0</v>
      </c>
      <c r="F210" s="156">
        <f>'дод 3'!G264</f>
        <v>0</v>
      </c>
      <c r="G210" s="156">
        <f>'дод 3'!H264</f>
        <v>0</v>
      </c>
      <c r="H210" s="156">
        <f>'дод 3'!I264</f>
        <v>0</v>
      </c>
      <c r="I210" s="156">
        <f>'дод 3'!J264</f>
        <v>0</v>
      </c>
      <c r="J210" s="156">
        <f>'дод 3'!K264</f>
        <v>0</v>
      </c>
      <c r="K210" s="156">
        <f>'дод 3'!L264</f>
        <v>0</v>
      </c>
      <c r="L210" s="156">
        <f>'дод 3'!M264</f>
        <v>0</v>
      </c>
      <c r="M210" s="156">
        <f>'дод 3'!N264</f>
        <v>0</v>
      </c>
      <c r="N210" s="156">
        <f>'дод 3'!O264</f>
        <v>0</v>
      </c>
      <c r="O210" s="156">
        <f>'дод 3'!P264</f>
        <v>0</v>
      </c>
      <c r="P210" s="193"/>
    </row>
    <row r="211" spans="1:16" s="51" customFormat="1" ht="15.75" hidden="1" customHeight="1" x14ac:dyDescent="0.25">
      <c r="A211" s="81"/>
      <c r="B211" s="81"/>
      <c r="C211" s="77" t="s">
        <v>388</v>
      </c>
      <c r="D211" s="157">
        <f>'дод 3'!E265</f>
        <v>0</v>
      </c>
      <c r="E211" s="157">
        <f>'дод 3'!F265</f>
        <v>0</v>
      </c>
      <c r="F211" s="157">
        <f>'дод 3'!G265</f>
        <v>0</v>
      </c>
      <c r="G211" s="157">
        <f>'дод 3'!H265</f>
        <v>0</v>
      </c>
      <c r="H211" s="157">
        <f>'дод 3'!I265</f>
        <v>0</v>
      </c>
      <c r="I211" s="157">
        <f>'дод 3'!J265</f>
        <v>0</v>
      </c>
      <c r="J211" s="157">
        <f>'дод 3'!K265</f>
        <v>0</v>
      </c>
      <c r="K211" s="157">
        <f>'дод 3'!L265</f>
        <v>0</v>
      </c>
      <c r="L211" s="157">
        <f>'дод 3'!M265</f>
        <v>0</v>
      </c>
      <c r="M211" s="157">
        <f>'дод 3'!N265</f>
        <v>0</v>
      </c>
      <c r="N211" s="157">
        <f>'дод 3'!O265</f>
        <v>0</v>
      </c>
      <c r="O211" s="157">
        <f>'дод 3'!P265</f>
        <v>0</v>
      </c>
      <c r="P211" s="193"/>
    </row>
    <row r="212" spans="1:16" s="49" customFormat="1" ht="18.75" customHeight="1" x14ac:dyDescent="0.25">
      <c r="A212" s="39" t="s">
        <v>234</v>
      </c>
      <c r="B212" s="41"/>
      <c r="C212" s="2" t="s">
        <v>235</v>
      </c>
      <c r="D212" s="47">
        <f>D213</f>
        <v>7850000</v>
      </c>
      <c r="E212" s="47">
        <f t="shared" ref="E212:O212" si="42">E213</f>
        <v>7850000</v>
      </c>
      <c r="F212" s="47">
        <f t="shared" si="42"/>
        <v>0</v>
      </c>
      <c r="G212" s="47">
        <f t="shared" si="42"/>
        <v>0</v>
      </c>
      <c r="H212" s="47">
        <f t="shared" si="42"/>
        <v>0</v>
      </c>
      <c r="I212" s="47">
        <f t="shared" si="42"/>
        <v>3150000</v>
      </c>
      <c r="J212" s="47">
        <f t="shared" si="42"/>
        <v>3150000</v>
      </c>
      <c r="K212" s="47">
        <f t="shared" si="42"/>
        <v>0</v>
      </c>
      <c r="L212" s="47">
        <f t="shared" si="42"/>
        <v>0</v>
      </c>
      <c r="M212" s="47">
        <f t="shared" si="42"/>
        <v>0</v>
      </c>
      <c r="N212" s="47">
        <f t="shared" si="42"/>
        <v>3150000</v>
      </c>
      <c r="O212" s="47">
        <f t="shared" si="42"/>
        <v>11000000</v>
      </c>
      <c r="P212" s="193"/>
    </row>
    <row r="213" spans="1:16" ht="37.5" customHeight="1" x14ac:dyDescent="0.25">
      <c r="A213" s="40" t="s">
        <v>232</v>
      </c>
      <c r="B213" s="40" t="s">
        <v>233</v>
      </c>
      <c r="C213" s="11" t="s">
        <v>231</v>
      </c>
      <c r="D213" s="156">
        <f>'дод 3'!E46+'дод 3'!E266</f>
        <v>7850000</v>
      </c>
      <c r="E213" s="156">
        <f>'дод 3'!F46+'дод 3'!F266</f>
        <v>7850000</v>
      </c>
      <c r="F213" s="156">
        <f>'дод 3'!G46+'дод 3'!G266</f>
        <v>0</v>
      </c>
      <c r="G213" s="156">
        <f>'дод 3'!H46+'дод 3'!H266</f>
        <v>0</v>
      </c>
      <c r="H213" s="156">
        <f>'дод 3'!I46+'дод 3'!I266</f>
        <v>0</v>
      </c>
      <c r="I213" s="156">
        <f>'дод 3'!J46+'дод 3'!J266</f>
        <v>3150000</v>
      </c>
      <c r="J213" s="156">
        <f>'дод 3'!K46+'дод 3'!K266</f>
        <v>3150000</v>
      </c>
      <c r="K213" s="156">
        <f>'дод 3'!L46+'дод 3'!L266</f>
        <v>0</v>
      </c>
      <c r="L213" s="156">
        <f>'дод 3'!M46+'дод 3'!M266</f>
        <v>0</v>
      </c>
      <c r="M213" s="156">
        <f>'дод 3'!N46+'дод 3'!N266</f>
        <v>0</v>
      </c>
      <c r="N213" s="156">
        <f>'дод 3'!O46+'дод 3'!O266</f>
        <v>3150000</v>
      </c>
      <c r="O213" s="156">
        <f>'дод 3'!P46+'дод 3'!P266</f>
        <v>11000000</v>
      </c>
      <c r="P213" s="193"/>
    </row>
    <row r="214" spans="1:16" s="49" customFormat="1" ht="39.75" customHeight="1" x14ac:dyDescent="0.25">
      <c r="A214" s="38" t="s">
        <v>87</v>
      </c>
      <c r="B214" s="41"/>
      <c r="C214" s="2" t="s">
        <v>415</v>
      </c>
      <c r="D214" s="47">
        <f>D216+D217+D219+D220+D221+D223+D224+D225</f>
        <v>9071777</v>
      </c>
      <c r="E214" s="47">
        <f t="shared" ref="E214:O214" si="43">E216+E217+E219+E220+E221+E223+E224+E225</f>
        <v>6071777</v>
      </c>
      <c r="F214" s="47">
        <f t="shared" si="43"/>
        <v>0</v>
      </c>
      <c r="G214" s="47">
        <f t="shared" si="43"/>
        <v>0</v>
      </c>
      <c r="H214" s="47">
        <f t="shared" si="43"/>
        <v>3000000</v>
      </c>
      <c r="I214" s="47">
        <f t="shared" si="43"/>
        <v>256553938.53</v>
      </c>
      <c r="J214" s="47">
        <f t="shared" si="43"/>
        <v>249197846</v>
      </c>
      <c r="K214" s="47">
        <f t="shared" si="43"/>
        <v>1453302.53</v>
      </c>
      <c r="L214" s="47">
        <f t="shared" si="43"/>
        <v>0</v>
      </c>
      <c r="M214" s="47">
        <f t="shared" si="43"/>
        <v>0</v>
      </c>
      <c r="N214" s="47">
        <f t="shared" si="43"/>
        <v>255100636</v>
      </c>
      <c r="O214" s="47">
        <f t="shared" si="43"/>
        <v>265625715.53</v>
      </c>
      <c r="P214" s="193"/>
    </row>
    <row r="215" spans="1:16" s="50" customFormat="1" ht="16.5" customHeight="1" x14ac:dyDescent="0.25">
      <c r="A215" s="65"/>
      <c r="B215" s="65"/>
      <c r="C215" s="75" t="s">
        <v>413</v>
      </c>
      <c r="D215" s="158">
        <f>D218+D222</f>
        <v>0</v>
      </c>
      <c r="E215" s="158">
        <f t="shared" ref="E215:O215" si="44">E218+E222</f>
        <v>0</v>
      </c>
      <c r="F215" s="158">
        <f t="shared" si="44"/>
        <v>0</v>
      </c>
      <c r="G215" s="158">
        <f t="shared" si="44"/>
        <v>0</v>
      </c>
      <c r="H215" s="158">
        <f t="shared" si="44"/>
        <v>0</v>
      </c>
      <c r="I215" s="158">
        <f t="shared" si="44"/>
        <v>180458652</v>
      </c>
      <c r="J215" s="158">
        <f t="shared" si="44"/>
        <v>180458652</v>
      </c>
      <c r="K215" s="158">
        <f t="shared" si="44"/>
        <v>0</v>
      </c>
      <c r="L215" s="158">
        <f t="shared" si="44"/>
        <v>0</v>
      </c>
      <c r="M215" s="158">
        <f t="shared" si="44"/>
        <v>0</v>
      </c>
      <c r="N215" s="158">
        <f t="shared" si="44"/>
        <v>180458652</v>
      </c>
      <c r="O215" s="158">
        <f t="shared" si="44"/>
        <v>180458652</v>
      </c>
      <c r="P215" s="193"/>
    </row>
    <row r="216" spans="1:16" ht="32.25" customHeight="1" x14ac:dyDescent="0.25">
      <c r="A216" s="37" t="s">
        <v>4</v>
      </c>
      <c r="B216" s="37" t="s">
        <v>86</v>
      </c>
      <c r="C216" s="3" t="s">
        <v>23</v>
      </c>
      <c r="D216" s="156">
        <f>'дод 3'!E47+'дод 3'!E324</f>
        <v>1060000</v>
      </c>
      <c r="E216" s="156">
        <f>'дод 3'!F47+'дод 3'!F324</f>
        <v>460000</v>
      </c>
      <c r="F216" s="156">
        <f>'дод 3'!G47+'дод 3'!G324</f>
        <v>0</v>
      </c>
      <c r="G216" s="156">
        <f>'дод 3'!H47+'дод 3'!H324</f>
        <v>0</v>
      </c>
      <c r="H216" s="156">
        <f>'дод 3'!I47+'дод 3'!I324</f>
        <v>600000</v>
      </c>
      <c r="I216" s="156">
        <f>'дод 3'!J47+'дод 3'!J324</f>
        <v>0</v>
      </c>
      <c r="J216" s="156">
        <f>'дод 3'!K47+'дод 3'!K324</f>
        <v>0</v>
      </c>
      <c r="K216" s="156">
        <f>'дод 3'!L47+'дод 3'!L324</f>
        <v>0</v>
      </c>
      <c r="L216" s="156">
        <f>'дод 3'!M47+'дод 3'!M324</f>
        <v>0</v>
      </c>
      <c r="M216" s="156">
        <f>'дод 3'!N47+'дод 3'!N324</f>
        <v>0</v>
      </c>
      <c r="N216" s="156">
        <f>'дод 3'!O47+'дод 3'!O324</f>
        <v>0</v>
      </c>
      <c r="O216" s="156">
        <f>'дод 3'!P47+'дод 3'!P324</f>
        <v>1060000</v>
      </c>
      <c r="P216" s="193"/>
    </row>
    <row r="217" spans="1:16" ht="30" customHeight="1" x14ac:dyDescent="0.25">
      <c r="A217" s="37" t="s">
        <v>2</v>
      </c>
      <c r="B217" s="37" t="s">
        <v>85</v>
      </c>
      <c r="C217" s="3" t="s">
        <v>412</v>
      </c>
      <c r="D217" s="156">
        <f>'дод 3'!E122+'дод 3'!E160+'дод 3'!E228+'дод 3'!E267+'дод 3'!E305+'дод 3'!E331+'дод 3'!E206</f>
        <v>5202038</v>
      </c>
      <c r="E217" s="156">
        <f>'дод 3'!F122+'дод 3'!F160+'дод 3'!F228+'дод 3'!F267+'дод 3'!F305+'дод 3'!F331+'дод 3'!F206</f>
        <v>2802038</v>
      </c>
      <c r="F217" s="156">
        <f>'дод 3'!G122+'дод 3'!G160+'дод 3'!G228+'дод 3'!G267+'дод 3'!G305+'дод 3'!G331+'дод 3'!G206</f>
        <v>0</v>
      </c>
      <c r="G217" s="156">
        <f>'дод 3'!H122+'дод 3'!H160+'дод 3'!H228+'дод 3'!H267+'дод 3'!H305+'дод 3'!H331+'дод 3'!H206</f>
        <v>0</v>
      </c>
      <c r="H217" s="156">
        <f>'дод 3'!I122+'дод 3'!I160+'дод 3'!I228+'дод 3'!I267+'дод 3'!I305+'дод 3'!I331+'дод 3'!I206</f>
        <v>2400000</v>
      </c>
      <c r="I217" s="156">
        <f>'дод 3'!J122+'дод 3'!J160+'дод 3'!J228+'дод 3'!J267+'дод 3'!J305+'дод 3'!J331+'дод 3'!J206</f>
        <v>181103036</v>
      </c>
      <c r="J217" s="156">
        <f>'дод 3'!K122+'дод 3'!K160+'дод 3'!K228+'дод 3'!K267+'дод 3'!K305+'дод 3'!K331+'дод 3'!K206</f>
        <v>177107846</v>
      </c>
      <c r="K217" s="156">
        <f>'дод 3'!L122+'дод 3'!L160+'дод 3'!L228+'дод 3'!L267+'дод 3'!L305+'дод 3'!L331+'дод 3'!L206</f>
        <v>0</v>
      </c>
      <c r="L217" s="156">
        <f>'дод 3'!M122+'дод 3'!M160+'дод 3'!M228+'дод 3'!M267+'дод 3'!M305+'дод 3'!M331+'дод 3'!M206</f>
        <v>0</v>
      </c>
      <c r="M217" s="156">
        <f>'дод 3'!N122+'дод 3'!N160+'дод 3'!N228+'дод 3'!N267+'дод 3'!N305+'дод 3'!N331+'дод 3'!N206</f>
        <v>0</v>
      </c>
      <c r="N217" s="156">
        <f>'дод 3'!O122+'дод 3'!O160+'дод 3'!O228+'дод 3'!O267+'дод 3'!O305+'дод 3'!O331+'дод 3'!O206</f>
        <v>181103036</v>
      </c>
      <c r="O217" s="156">
        <f>'дод 3'!P122+'дод 3'!P160+'дод 3'!P228+'дод 3'!P267+'дод 3'!P305+'дод 3'!P331+'дод 3'!P206</f>
        <v>186305074</v>
      </c>
      <c r="P217" s="193"/>
    </row>
    <row r="218" spans="1:16" s="51" customFormat="1" ht="17.25" customHeight="1" x14ac:dyDescent="0.25">
      <c r="A218" s="71"/>
      <c r="B218" s="71"/>
      <c r="C218" s="77" t="s">
        <v>413</v>
      </c>
      <c r="D218" s="157">
        <f>'дод 3'!E161+'дод 3'!E306</f>
        <v>0</v>
      </c>
      <c r="E218" s="157">
        <f>'дод 3'!F161+'дод 3'!F306</f>
        <v>0</v>
      </c>
      <c r="F218" s="157">
        <f>'дод 3'!G161+'дод 3'!G306</f>
        <v>0</v>
      </c>
      <c r="G218" s="157">
        <f>'дод 3'!H161+'дод 3'!H306</f>
        <v>0</v>
      </c>
      <c r="H218" s="157">
        <f>'дод 3'!I161+'дод 3'!I306</f>
        <v>0</v>
      </c>
      <c r="I218" s="157">
        <f>'дод 3'!J161+'дод 3'!J306</f>
        <v>133343652</v>
      </c>
      <c r="J218" s="157">
        <f>'дод 3'!K161+'дод 3'!K306</f>
        <v>133343652</v>
      </c>
      <c r="K218" s="157">
        <f>'дод 3'!L161+'дод 3'!L306</f>
        <v>0</v>
      </c>
      <c r="L218" s="157">
        <f>'дод 3'!M161+'дод 3'!M306</f>
        <v>0</v>
      </c>
      <c r="M218" s="157">
        <f>'дод 3'!N161+'дод 3'!N306</f>
        <v>0</v>
      </c>
      <c r="N218" s="157">
        <f>'дод 3'!O161+'дод 3'!O306</f>
        <v>133343652</v>
      </c>
      <c r="O218" s="157">
        <f>'дод 3'!P161+'дод 3'!P306</f>
        <v>133343652</v>
      </c>
      <c r="P218" s="193"/>
    </row>
    <row r="219" spans="1:16" ht="33.75" customHeight="1" x14ac:dyDescent="0.25">
      <c r="A219" s="37" t="s">
        <v>264</v>
      </c>
      <c r="B219" s="37" t="s">
        <v>81</v>
      </c>
      <c r="C219" s="3" t="s">
        <v>341</v>
      </c>
      <c r="D219" s="156">
        <f>'дод 3'!E325</f>
        <v>0</v>
      </c>
      <c r="E219" s="156">
        <f>'дод 3'!F325</f>
        <v>0</v>
      </c>
      <c r="F219" s="156">
        <f>'дод 3'!G325</f>
        <v>0</v>
      </c>
      <c r="G219" s="156">
        <f>'дод 3'!H325</f>
        <v>0</v>
      </c>
      <c r="H219" s="156">
        <f>'дод 3'!I325</f>
        <v>0</v>
      </c>
      <c r="I219" s="156">
        <f>'дод 3'!J325</f>
        <v>30000</v>
      </c>
      <c r="J219" s="156">
        <f>'дод 3'!K325</f>
        <v>30000</v>
      </c>
      <c r="K219" s="156">
        <f>'дод 3'!L325</f>
        <v>0</v>
      </c>
      <c r="L219" s="156">
        <f>'дод 3'!M325</f>
        <v>0</v>
      </c>
      <c r="M219" s="156">
        <f>'дод 3'!N325</f>
        <v>0</v>
      </c>
      <c r="N219" s="156">
        <f>'дод 3'!O325</f>
        <v>30000</v>
      </c>
      <c r="O219" s="156">
        <f>'дод 3'!P325</f>
        <v>30000</v>
      </c>
      <c r="P219" s="193"/>
    </row>
    <row r="220" spans="1:16" ht="47.25" customHeight="1" x14ac:dyDescent="0.25">
      <c r="A220" s="37" t="s">
        <v>266</v>
      </c>
      <c r="B220" s="37" t="s">
        <v>81</v>
      </c>
      <c r="C220" s="3" t="s">
        <v>267</v>
      </c>
      <c r="D220" s="156">
        <f>'дод 3'!E326</f>
        <v>0</v>
      </c>
      <c r="E220" s="156">
        <f>'дод 3'!F326</f>
        <v>0</v>
      </c>
      <c r="F220" s="156">
        <f>'дод 3'!G326</f>
        <v>0</v>
      </c>
      <c r="G220" s="156">
        <f>'дод 3'!H326</f>
        <v>0</v>
      </c>
      <c r="H220" s="156">
        <f>'дод 3'!I326</f>
        <v>0</v>
      </c>
      <c r="I220" s="156">
        <f>'дод 3'!J326</f>
        <v>145000</v>
      </c>
      <c r="J220" s="156">
        <f>'дод 3'!K326</f>
        <v>145000</v>
      </c>
      <c r="K220" s="156">
        <f>'дод 3'!L326</f>
        <v>0</v>
      </c>
      <c r="L220" s="156">
        <f>'дод 3'!M326</f>
        <v>0</v>
      </c>
      <c r="M220" s="156">
        <f>'дод 3'!N326</f>
        <v>0</v>
      </c>
      <c r="N220" s="156">
        <f>'дод 3'!O326</f>
        <v>145000</v>
      </c>
      <c r="O220" s="156">
        <f>'дод 3'!P326</f>
        <v>145000</v>
      </c>
      <c r="P220" s="193"/>
    </row>
    <row r="221" spans="1:16" ht="42" customHeight="1" x14ac:dyDescent="0.25">
      <c r="A221" s="37" t="s">
        <v>5</v>
      </c>
      <c r="B221" s="37" t="s">
        <v>81</v>
      </c>
      <c r="C221" s="3" t="s">
        <v>598</v>
      </c>
      <c r="D221" s="156">
        <f>'дод 3'!E48+'дод 3'!E268</f>
        <v>0</v>
      </c>
      <c r="E221" s="156">
        <f>'дод 3'!F48+'дод 3'!F268</f>
        <v>0</v>
      </c>
      <c r="F221" s="156">
        <f>'дод 3'!G48+'дод 3'!G268</f>
        <v>0</v>
      </c>
      <c r="G221" s="156">
        <f>'дод 3'!H48+'дод 3'!H268</f>
        <v>0</v>
      </c>
      <c r="H221" s="156">
        <f>'дод 3'!I48+'дод 3'!I268</f>
        <v>0</v>
      </c>
      <c r="I221" s="156">
        <f>'дод 3'!J48+'дод 3'!J268</f>
        <v>71915000</v>
      </c>
      <c r="J221" s="156">
        <f>'дод 3'!K48+'дод 3'!K268</f>
        <v>71915000</v>
      </c>
      <c r="K221" s="156">
        <f>'дод 3'!L48+'дод 3'!L268</f>
        <v>0</v>
      </c>
      <c r="L221" s="156">
        <f>'дод 3'!M48+'дод 3'!M268</f>
        <v>0</v>
      </c>
      <c r="M221" s="156">
        <f>'дод 3'!N48+'дод 3'!N268</f>
        <v>0</v>
      </c>
      <c r="N221" s="156">
        <f>'дод 3'!O48+'дод 3'!O268</f>
        <v>71915000</v>
      </c>
      <c r="O221" s="156">
        <f>'дод 3'!P48+'дод 3'!P268</f>
        <v>71915000</v>
      </c>
      <c r="P221" s="193"/>
    </row>
    <row r="222" spans="1:16" ht="16.5" customHeight="1" x14ac:dyDescent="0.25">
      <c r="A222" s="37"/>
      <c r="B222" s="37"/>
      <c r="C222" s="77" t="s">
        <v>413</v>
      </c>
      <c r="D222" s="156">
        <f>'дод 3'!E269</f>
        <v>0</v>
      </c>
      <c r="E222" s="156">
        <f>'дод 3'!F269</f>
        <v>0</v>
      </c>
      <c r="F222" s="156">
        <f>'дод 3'!G269</f>
        <v>0</v>
      </c>
      <c r="G222" s="156">
        <f>'дод 3'!H269</f>
        <v>0</v>
      </c>
      <c r="H222" s="156">
        <f>'дод 3'!I269</f>
        <v>0</v>
      </c>
      <c r="I222" s="156">
        <f>'дод 3'!J269</f>
        <v>47115000</v>
      </c>
      <c r="J222" s="156">
        <f>'дод 3'!K269</f>
        <v>47115000</v>
      </c>
      <c r="K222" s="156">
        <f>'дод 3'!L269</f>
        <v>0</v>
      </c>
      <c r="L222" s="156">
        <f>'дод 3'!M269</f>
        <v>0</v>
      </c>
      <c r="M222" s="156">
        <f>'дод 3'!N269</f>
        <v>0</v>
      </c>
      <c r="N222" s="156">
        <f>'дод 3'!O269</f>
        <v>47115000</v>
      </c>
      <c r="O222" s="156">
        <f>'дод 3'!P269</f>
        <v>47115000</v>
      </c>
      <c r="P222" s="193"/>
    </row>
    <row r="223" spans="1:16" ht="36.75" customHeight="1" x14ac:dyDescent="0.25">
      <c r="A223" s="37" t="s">
        <v>245</v>
      </c>
      <c r="B223" s="37" t="s">
        <v>81</v>
      </c>
      <c r="C223" s="3" t="s">
        <v>246</v>
      </c>
      <c r="D223" s="156">
        <f>'дод 3'!E49</f>
        <v>366939</v>
      </c>
      <c r="E223" s="156">
        <f>'дод 3'!F49</f>
        <v>366939</v>
      </c>
      <c r="F223" s="156">
        <f>'дод 3'!G49</f>
        <v>0</v>
      </c>
      <c r="G223" s="156">
        <f>'дод 3'!H49</f>
        <v>0</v>
      </c>
      <c r="H223" s="156">
        <f>'дод 3'!I49</f>
        <v>0</v>
      </c>
      <c r="I223" s="156">
        <f>'дод 3'!J49</f>
        <v>0</v>
      </c>
      <c r="J223" s="156">
        <f>'дод 3'!K49</f>
        <v>0</v>
      </c>
      <c r="K223" s="156">
        <f>'дод 3'!L49</f>
        <v>0</v>
      </c>
      <c r="L223" s="156">
        <f>'дод 3'!M49</f>
        <v>0</v>
      </c>
      <c r="M223" s="156">
        <f>'дод 3'!N49</f>
        <v>0</v>
      </c>
      <c r="N223" s="156">
        <f>'дод 3'!O49</f>
        <v>0</v>
      </c>
      <c r="O223" s="156">
        <f>'дод 3'!P49</f>
        <v>366939</v>
      </c>
      <c r="P223" s="193"/>
    </row>
    <row r="224" spans="1:16" s="51" customFormat="1" ht="117" customHeight="1" x14ac:dyDescent="0.25">
      <c r="A224" s="37" t="s">
        <v>291</v>
      </c>
      <c r="B224" s="37" t="s">
        <v>81</v>
      </c>
      <c r="C224" s="3" t="s">
        <v>309</v>
      </c>
      <c r="D224" s="156">
        <f>'дод 3'!E50+'дод 3'!E270+'дод 3'!E307+'дод 3'!E316</f>
        <v>0</v>
      </c>
      <c r="E224" s="156">
        <f>'дод 3'!F50+'дод 3'!F270+'дод 3'!F307+'дод 3'!F316</f>
        <v>0</v>
      </c>
      <c r="F224" s="156">
        <f>'дод 3'!G50+'дод 3'!G270+'дод 3'!G307+'дод 3'!G316</f>
        <v>0</v>
      </c>
      <c r="G224" s="156">
        <f>'дод 3'!H50+'дод 3'!H270+'дод 3'!H307+'дод 3'!H316</f>
        <v>0</v>
      </c>
      <c r="H224" s="156">
        <f>'дод 3'!I50+'дод 3'!I270+'дод 3'!I307+'дод 3'!I316</f>
        <v>0</v>
      </c>
      <c r="I224" s="156">
        <f>'дод 3'!J50+'дод 3'!J270+'дод 3'!J307+'дод 3'!J316</f>
        <v>3360902.53</v>
      </c>
      <c r="J224" s="156">
        <f>'дод 3'!K50+'дод 3'!K270+'дод 3'!K307+'дод 3'!K316</f>
        <v>0</v>
      </c>
      <c r="K224" s="156">
        <f>'дод 3'!L50+'дод 3'!L270+'дод 3'!L307+'дод 3'!L316</f>
        <v>1453302.53</v>
      </c>
      <c r="L224" s="156">
        <f>'дод 3'!M50+'дод 3'!M270+'дод 3'!M307+'дод 3'!M316</f>
        <v>0</v>
      </c>
      <c r="M224" s="156">
        <f>'дод 3'!N50+'дод 3'!N270+'дод 3'!N307+'дод 3'!N316</f>
        <v>0</v>
      </c>
      <c r="N224" s="156">
        <f>'дод 3'!O50+'дод 3'!O270+'дод 3'!O307+'дод 3'!O316</f>
        <v>1907600</v>
      </c>
      <c r="O224" s="156">
        <f>'дод 3'!P50+'дод 3'!P270+'дод 3'!P307+'дод 3'!P316</f>
        <v>3360902.53</v>
      </c>
      <c r="P224" s="193">
        <v>58</v>
      </c>
    </row>
    <row r="225" spans="1:16" s="51" customFormat="1" ht="23.25" customHeight="1" x14ac:dyDescent="0.25">
      <c r="A225" s="37" t="s">
        <v>236</v>
      </c>
      <c r="B225" s="37" t="s">
        <v>81</v>
      </c>
      <c r="C225" s="3" t="s">
        <v>17</v>
      </c>
      <c r="D225" s="156">
        <f>'дод 3'!E51+'дод 3'!E327+'дод 3'!E332</f>
        <v>2442800</v>
      </c>
      <c r="E225" s="156">
        <f>'дод 3'!F51+'дод 3'!F327+'дод 3'!F332</f>
        <v>2442800</v>
      </c>
      <c r="F225" s="156">
        <f>'дод 3'!G51+'дод 3'!G327+'дод 3'!G332</f>
        <v>0</v>
      </c>
      <c r="G225" s="156">
        <f>'дод 3'!H51+'дод 3'!H327+'дод 3'!H332</f>
        <v>0</v>
      </c>
      <c r="H225" s="156">
        <f>'дод 3'!I51+'дод 3'!I327+'дод 3'!I332</f>
        <v>0</v>
      </c>
      <c r="I225" s="156">
        <f>'дод 3'!J51+'дод 3'!J327+'дод 3'!J332</f>
        <v>0</v>
      </c>
      <c r="J225" s="156">
        <f>'дод 3'!K51+'дод 3'!K327+'дод 3'!K332</f>
        <v>0</v>
      </c>
      <c r="K225" s="156">
        <f>'дод 3'!L51+'дод 3'!L327+'дод 3'!L332</f>
        <v>0</v>
      </c>
      <c r="L225" s="156">
        <f>'дод 3'!M51+'дод 3'!M327+'дод 3'!M332</f>
        <v>0</v>
      </c>
      <c r="M225" s="156">
        <f>'дод 3'!N51+'дод 3'!N327+'дод 3'!N332</f>
        <v>0</v>
      </c>
      <c r="N225" s="156">
        <f>'дод 3'!O51+'дод 3'!O327+'дод 3'!O332</f>
        <v>0</v>
      </c>
      <c r="O225" s="156">
        <f>'дод 3'!P51+'дод 3'!P327+'дод 3'!P332</f>
        <v>2442800</v>
      </c>
      <c r="P225" s="193"/>
    </row>
    <row r="226" spans="1:16" s="50" customFormat="1" ht="48.75" hidden="1" customHeight="1" x14ac:dyDescent="0.25">
      <c r="A226" s="38">
        <v>7700</v>
      </c>
      <c r="B226" s="38"/>
      <c r="C226" s="83" t="s">
        <v>357</v>
      </c>
      <c r="D226" s="47">
        <f>D227</f>
        <v>0</v>
      </c>
      <c r="E226" s="47">
        <f t="shared" ref="E226:O226" si="45">E227</f>
        <v>0</v>
      </c>
      <c r="F226" s="47">
        <f t="shared" si="45"/>
        <v>0</v>
      </c>
      <c r="G226" s="47">
        <f t="shared" si="45"/>
        <v>0</v>
      </c>
      <c r="H226" s="47">
        <f t="shared" si="45"/>
        <v>0</v>
      </c>
      <c r="I226" s="47">
        <f t="shared" si="45"/>
        <v>0</v>
      </c>
      <c r="J226" s="47">
        <f t="shared" si="45"/>
        <v>0</v>
      </c>
      <c r="K226" s="47">
        <f t="shared" si="45"/>
        <v>0</v>
      </c>
      <c r="L226" s="47">
        <f t="shared" si="45"/>
        <v>0</v>
      </c>
      <c r="M226" s="47">
        <f t="shared" si="45"/>
        <v>0</v>
      </c>
      <c r="N226" s="47">
        <f t="shared" si="45"/>
        <v>0</v>
      </c>
      <c r="O226" s="47">
        <f t="shared" si="45"/>
        <v>0</v>
      </c>
      <c r="P226" s="193"/>
    </row>
    <row r="227" spans="1:16" s="51" customFormat="1" ht="46.5" hidden="1" customHeight="1" x14ac:dyDescent="0.25">
      <c r="A227" s="37">
        <v>7700</v>
      </c>
      <c r="B227" s="55" t="s">
        <v>92</v>
      </c>
      <c r="C227" s="57" t="s">
        <v>357</v>
      </c>
      <c r="D227" s="156">
        <f>'дод 3'!E123</f>
        <v>0</v>
      </c>
      <c r="E227" s="156">
        <f>'дод 3'!F123</f>
        <v>0</v>
      </c>
      <c r="F227" s="156">
        <f>'дод 3'!G123</f>
        <v>0</v>
      </c>
      <c r="G227" s="156">
        <f>'дод 3'!H123</f>
        <v>0</v>
      </c>
      <c r="H227" s="156">
        <f>'дод 3'!I123</f>
        <v>0</v>
      </c>
      <c r="I227" s="156">
        <f>'дод 3'!J123</f>
        <v>0</v>
      </c>
      <c r="J227" s="156">
        <f>'дод 3'!K123</f>
        <v>0</v>
      </c>
      <c r="K227" s="156">
        <f>'дод 3'!L123</f>
        <v>0</v>
      </c>
      <c r="L227" s="156">
        <f>'дод 3'!M123</f>
        <v>0</v>
      </c>
      <c r="M227" s="156">
        <f>'дод 3'!N123</f>
        <v>0</v>
      </c>
      <c r="N227" s="156">
        <f>'дод 3'!O123</f>
        <v>0</v>
      </c>
      <c r="O227" s="156">
        <f>'дод 3'!P123</f>
        <v>0</v>
      </c>
      <c r="P227" s="193"/>
    </row>
    <row r="228" spans="1:16" s="49" customFormat="1" ht="30.75" customHeight="1" x14ac:dyDescent="0.25">
      <c r="A228" s="38" t="s">
        <v>93</v>
      </c>
      <c r="B228" s="39"/>
      <c r="C228" s="2" t="s">
        <v>553</v>
      </c>
      <c r="D228" s="47">
        <f>D230+D235+D238+D241+D243+D244</f>
        <v>81109032</v>
      </c>
      <c r="E228" s="47">
        <f t="shared" ref="E228:O228" si="46">E230+E235+E238+E241+E243+E244</f>
        <v>36541564</v>
      </c>
      <c r="F228" s="47">
        <f t="shared" si="46"/>
        <v>1998000</v>
      </c>
      <c r="G228" s="47">
        <f t="shared" si="46"/>
        <v>816700</v>
      </c>
      <c r="H228" s="47">
        <f t="shared" si="46"/>
        <v>0</v>
      </c>
      <c r="I228" s="47">
        <f t="shared" si="46"/>
        <v>4898200</v>
      </c>
      <c r="J228" s="47">
        <f t="shared" si="46"/>
        <v>403000</v>
      </c>
      <c r="K228" s="47">
        <f t="shared" si="46"/>
        <v>4115200</v>
      </c>
      <c r="L228" s="47">
        <f t="shared" si="46"/>
        <v>0</v>
      </c>
      <c r="M228" s="47">
        <f t="shared" si="46"/>
        <v>1600</v>
      </c>
      <c r="N228" s="47">
        <f t="shared" si="46"/>
        <v>783000</v>
      </c>
      <c r="O228" s="47">
        <f t="shared" si="46"/>
        <v>86007232</v>
      </c>
      <c r="P228" s="193"/>
    </row>
    <row r="229" spans="1:16" s="50" customFormat="1" ht="71.25" customHeight="1" x14ac:dyDescent="0.25">
      <c r="A229" s="65"/>
      <c r="B229" s="68"/>
      <c r="C229" s="69" t="s">
        <v>377</v>
      </c>
      <c r="D229" s="158">
        <f>D231</f>
        <v>561290</v>
      </c>
      <c r="E229" s="158">
        <f t="shared" ref="E229:O229" si="47">E231</f>
        <v>561290</v>
      </c>
      <c r="F229" s="158">
        <f t="shared" si="47"/>
        <v>460074</v>
      </c>
      <c r="G229" s="158">
        <f t="shared" si="47"/>
        <v>0</v>
      </c>
      <c r="H229" s="158">
        <f t="shared" si="47"/>
        <v>0</v>
      </c>
      <c r="I229" s="158">
        <f t="shared" si="47"/>
        <v>0</v>
      </c>
      <c r="J229" s="158">
        <f t="shared" si="47"/>
        <v>0</v>
      </c>
      <c r="K229" s="158">
        <f t="shared" si="47"/>
        <v>0</v>
      </c>
      <c r="L229" s="158">
        <f t="shared" si="47"/>
        <v>0</v>
      </c>
      <c r="M229" s="158">
        <f t="shared" si="47"/>
        <v>0</v>
      </c>
      <c r="N229" s="158">
        <f t="shared" si="47"/>
        <v>0</v>
      </c>
      <c r="O229" s="158">
        <f t="shared" si="47"/>
        <v>561290</v>
      </c>
      <c r="P229" s="193"/>
    </row>
    <row r="230" spans="1:16" s="49" customFormat="1" ht="51.75" customHeight="1" x14ac:dyDescent="0.25">
      <c r="A230" s="38" t="s">
        <v>95</v>
      </c>
      <c r="B230" s="39"/>
      <c r="C230" s="2" t="s">
        <v>501</v>
      </c>
      <c r="D230" s="47">
        <f t="shared" ref="D230:O230" si="48">D232+D233</f>
        <v>3598786</v>
      </c>
      <c r="E230" s="47">
        <f t="shared" si="48"/>
        <v>3598786</v>
      </c>
      <c r="F230" s="47">
        <f t="shared" si="48"/>
        <v>1998000</v>
      </c>
      <c r="G230" s="47">
        <f t="shared" si="48"/>
        <v>88300</v>
      </c>
      <c r="H230" s="47">
        <f t="shared" si="48"/>
        <v>0</v>
      </c>
      <c r="I230" s="47">
        <f t="shared" si="48"/>
        <v>32400</v>
      </c>
      <c r="J230" s="47">
        <f t="shared" si="48"/>
        <v>26500</v>
      </c>
      <c r="K230" s="47">
        <f t="shared" si="48"/>
        <v>5900</v>
      </c>
      <c r="L230" s="47">
        <f t="shared" si="48"/>
        <v>0</v>
      </c>
      <c r="M230" s="47">
        <f t="shared" si="48"/>
        <v>1600</v>
      </c>
      <c r="N230" s="47">
        <f t="shared" si="48"/>
        <v>26500</v>
      </c>
      <c r="O230" s="47">
        <f t="shared" si="48"/>
        <v>3631186</v>
      </c>
      <c r="P230" s="193"/>
    </row>
    <row r="231" spans="1:16" s="50" customFormat="1" ht="69.75" customHeight="1" x14ac:dyDescent="0.25">
      <c r="A231" s="65"/>
      <c r="B231" s="68"/>
      <c r="C231" s="70" t="str">
        <f>C234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1" s="158">
        <f>D234</f>
        <v>561290</v>
      </c>
      <c r="E231" s="158">
        <f t="shared" ref="E231:O231" si="49">E234</f>
        <v>561290</v>
      </c>
      <c r="F231" s="158">
        <f t="shared" si="49"/>
        <v>460074</v>
      </c>
      <c r="G231" s="158">
        <f t="shared" si="49"/>
        <v>0</v>
      </c>
      <c r="H231" s="158">
        <f t="shared" si="49"/>
        <v>0</v>
      </c>
      <c r="I231" s="158">
        <f t="shared" si="49"/>
        <v>0</v>
      </c>
      <c r="J231" s="158">
        <f t="shared" si="49"/>
        <v>0</v>
      </c>
      <c r="K231" s="158">
        <f t="shared" si="49"/>
        <v>0</v>
      </c>
      <c r="L231" s="158">
        <f t="shared" si="49"/>
        <v>0</v>
      </c>
      <c r="M231" s="158">
        <f t="shared" si="49"/>
        <v>0</v>
      </c>
      <c r="N231" s="158">
        <f t="shared" si="49"/>
        <v>0</v>
      </c>
      <c r="O231" s="158">
        <f t="shared" si="49"/>
        <v>561290</v>
      </c>
      <c r="P231" s="193"/>
    </row>
    <row r="232" spans="1:16" s="49" customFormat="1" ht="36.75" customHeight="1" x14ac:dyDescent="0.25">
      <c r="A232" s="40" t="s">
        <v>7</v>
      </c>
      <c r="B232" s="40" t="s">
        <v>88</v>
      </c>
      <c r="C232" s="3" t="s">
        <v>292</v>
      </c>
      <c r="D232" s="156">
        <f>'дод 3'!E52+'дод 3'!E271</f>
        <v>999586</v>
      </c>
      <c r="E232" s="156">
        <f>'дод 3'!F52+'дод 3'!F271</f>
        <v>999586</v>
      </c>
      <c r="F232" s="156">
        <f>'дод 3'!G52+'дод 3'!G271</f>
        <v>0</v>
      </c>
      <c r="G232" s="156">
        <f>'дод 3'!H52+'дод 3'!H271</f>
        <v>8500</v>
      </c>
      <c r="H232" s="156">
        <f>'дод 3'!I52+'дод 3'!I271</f>
        <v>0</v>
      </c>
      <c r="I232" s="156">
        <f>'дод 3'!J52+'дод 3'!J271</f>
        <v>26500</v>
      </c>
      <c r="J232" s="156">
        <f>'дод 3'!K52+'дод 3'!K271</f>
        <v>26500</v>
      </c>
      <c r="K232" s="156">
        <f>'дод 3'!L52+'дод 3'!L271</f>
        <v>0</v>
      </c>
      <c r="L232" s="156">
        <f>'дод 3'!M52+'дод 3'!M271</f>
        <v>0</v>
      </c>
      <c r="M232" s="156">
        <f>'дод 3'!N52+'дод 3'!N271</f>
        <v>0</v>
      </c>
      <c r="N232" s="156">
        <f>'дод 3'!O52+'дод 3'!O271</f>
        <v>26500</v>
      </c>
      <c r="O232" s="156">
        <f>'дод 3'!P52+'дод 3'!P271</f>
        <v>1026086</v>
      </c>
      <c r="P232" s="193"/>
    </row>
    <row r="233" spans="1:16" ht="30" customHeight="1" x14ac:dyDescent="0.25">
      <c r="A233" s="37" t="s">
        <v>145</v>
      </c>
      <c r="B233" s="42" t="s">
        <v>88</v>
      </c>
      <c r="C233" s="3" t="s">
        <v>499</v>
      </c>
      <c r="D233" s="156">
        <f>'дод 3'!E53</f>
        <v>2599200</v>
      </c>
      <c r="E233" s="156">
        <f>'дод 3'!F53</f>
        <v>2599200</v>
      </c>
      <c r="F233" s="156">
        <f>'дод 3'!G53</f>
        <v>1998000</v>
      </c>
      <c r="G233" s="156">
        <f>'дод 3'!H53</f>
        <v>79800</v>
      </c>
      <c r="H233" s="156">
        <f>'дод 3'!I53</f>
        <v>0</v>
      </c>
      <c r="I233" s="156">
        <f>'дод 3'!J53</f>
        <v>5900</v>
      </c>
      <c r="J233" s="156">
        <f>'дод 3'!K53</f>
        <v>0</v>
      </c>
      <c r="K233" s="156">
        <f>'дод 3'!L53</f>
        <v>5900</v>
      </c>
      <c r="L233" s="156">
        <f>'дод 3'!M53</f>
        <v>0</v>
      </c>
      <c r="M233" s="156">
        <f>'дод 3'!N53</f>
        <v>1600</v>
      </c>
      <c r="N233" s="156">
        <f>'дод 3'!O53</f>
        <v>0</v>
      </c>
      <c r="O233" s="156">
        <f>'дод 3'!P53</f>
        <v>2605100</v>
      </c>
      <c r="P233" s="193"/>
    </row>
    <row r="234" spans="1:16" s="51" customFormat="1" ht="52.5" customHeight="1" x14ac:dyDescent="0.25">
      <c r="A234" s="71"/>
      <c r="B234" s="80"/>
      <c r="C234" s="79" t="s">
        <v>377</v>
      </c>
      <c r="D234" s="157">
        <f>'дод 3'!E54</f>
        <v>561290</v>
      </c>
      <c r="E234" s="157">
        <f>'дод 3'!F54</f>
        <v>561290</v>
      </c>
      <c r="F234" s="157">
        <f>'дод 3'!G54</f>
        <v>460074</v>
      </c>
      <c r="G234" s="157">
        <f>'дод 3'!H54</f>
        <v>0</v>
      </c>
      <c r="H234" s="157">
        <f>'дод 3'!I54</f>
        <v>0</v>
      </c>
      <c r="I234" s="157">
        <f>'дод 3'!J54</f>
        <v>0</v>
      </c>
      <c r="J234" s="157">
        <f>'дод 3'!K54</f>
        <v>0</v>
      </c>
      <c r="K234" s="157">
        <f>'дод 3'!L54</f>
        <v>0</v>
      </c>
      <c r="L234" s="157">
        <f>'дод 3'!M54</f>
        <v>0</v>
      </c>
      <c r="M234" s="157">
        <f>'дод 3'!N54</f>
        <v>0</v>
      </c>
      <c r="N234" s="157">
        <f>'дод 3'!O54</f>
        <v>0</v>
      </c>
      <c r="O234" s="157">
        <f>'дод 3'!P54</f>
        <v>561290</v>
      </c>
      <c r="P234" s="193"/>
    </row>
    <row r="235" spans="1:16" s="49" customFormat="1" ht="23.25" customHeight="1" x14ac:dyDescent="0.25">
      <c r="A235" s="38" t="s">
        <v>247</v>
      </c>
      <c r="B235" s="38"/>
      <c r="C235" s="12" t="s">
        <v>248</v>
      </c>
      <c r="D235" s="47">
        <f>D236+D237</f>
        <v>8465804</v>
      </c>
      <c r="E235" s="47">
        <f t="shared" ref="E235:O235" si="50">E236+E237</f>
        <v>8465804</v>
      </c>
      <c r="F235" s="47">
        <f t="shared" si="50"/>
        <v>0</v>
      </c>
      <c r="G235" s="47">
        <f t="shared" si="50"/>
        <v>728400</v>
      </c>
      <c r="H235" s="47">
        <f t="shared" si="50"/>
        <v>0</v>
      </c>
      <c r="I235" s="47">
        <f t="shared" si="50"/>
        <v>26500</v>
      </c>
      <c r="J235" s="47">
        <f t="shared" si="50"/>
        <v>26500</v>
      </c>
      <c r="K235" s="47">
        <f t="shared" si="50"/>
        <v>0</v>
      </c>
      <c r="L235" s="47">
        <f t="shared" si="50"/>
        <v>0</v>
      </c>
      <c r="M235" s="47">
        <f t="shared" si="50"/>
        <v>0</v>
      </c>
      <c r="N235" s="47">
        <f t="shared" si="50"/>
        <v>26500</v>
      </c>
      <c r="O235" s="47">
        <f t="shared" si="50"/>
        <v>8492304</v>
      </c>
      <c r="P235" s="193"/>
    </row>
    <row r="236" spans="1:16" ht="22.5" customHeight="1" x14ac:dyDescent="0.25">
      <c r="A236" s="37" t="s">
        <v>241</v>
      </c>
      <c r="B236" s="42" t="s">
        <v>242</v>
      </c>
      <c r="C236" s="3" t="s">
        <v>243</v>
      </c>
      <c r="D236" s="156">
        <f>'дод 3'!E55+'дод 3'!E272</f>
        <v>589100</v>
      </c>
      <c r="E236" s="156">
        <f>'дод 3'!F55+'дод 3'!F272</f>
        <v>589100</v>
      </c>
      <c r="F236" s="156">
        <f>'дод 3'!G55+'дод 3'!G272</f>
        <v>0</v>
      </c>
      <c r="G236" s="156">
        <f>'дод 3'!H55+'дод 3'!H272</f>
        <v>426900</v>
      </c>
      <c r="H236" s="156">
        <f>'дод 3'!I55+'дод 3'!I272</f>
        <v>0</v>
      </c>
      <c r="I236" s="156">
        <f>'дод 3'!J55+'дод 3'!J272</f>
        <v>0</v>
      </c>
      <c r="J236" s="156">
        <f>'дод 3'!K55+'дод 3'!K272</f>
        <v>0</v>
      </c>
      <c r="K236" s="156">
        <f>'дод 3'!L55+'дод 3'!L272</f>
        <v>0</v>
      </c>
      <c r="L236" s="156">
        <f>'дод 3'!M55+'дод 3'!M272</f>
        <v>0</v>
      </c>
      <c r="M236" s="156">
        <f>'дод 3'!N55+'дод 3'!N272</f>
        <v>0</v>
      </c>
      <c r="N236" s="156">
        <f>'дод 3'!O55+'дод 3'!O272</f>
        <v>0</v>
      </c>
      <c r="O236" s="156">
        <f>'дод 3'!P55+'дод 3'!P272</f>
        <v>589100</v>
      </c>
      <c r="P236" s="193"/>
    </row>
    <row r="237" spans="1:16" ht="22.5" customHeight="1" x14ac:dyDescent="0.25">
      <c r="A237" s="37">
        <v>8240</v>
      </c>
      <c r="B237" s="42" t="s">
        <v>242</v>
      </c>
      <c r="C237" s="3" t="s">
        <v>620</v>
      </c>
      <c r="D237" s="156">
        <f>'дод 3'!E56</f>
        <v>7876704</v>
      </c>
      <c r="E237" s="156">
        <f>'дод 3'!F56</f>
        <v>7876704</v>
      </c>
      <c r="F237" s="156">
        <f>'дод 3'!G56</f>
        <v>0</v>
      </c>
      <c r="G237" s="156">
        <f>'дод 3'!H56</f>
        <v>301500</v>
      </c>
      <c r="H237" s="156">
        <f>'дод 3'!I56</f>
        <v>0</v>
      </c>
      <c r="I237" s="156">
        <f>'дод 3'!J56</f>
        <v>26500</v>
      </c>
      <c r="J237" s="156">
        <f>'дод 3'!K56</f>
        <v>26500</v>
      </c>
      <c r="K237" s="156">
        <f>'дод 3'!L56</f>
        <v>0</v>
      </c>
      <c r="L237" s="156">
        <f>'дод 3'!M56</f>
        <v>0</v>
      </c>
      <c r="M237" s="156">
        <f>'дод 3'!N56</f>
        <v>0</v>
      </c>
      <c r="N237" s="156">
        <f>'дод 3'!O56</f>
        <v>26500</v>
      </c>
      <c r="O237" s="156">
        <f>'дод 3'!P56</f>
        <v>7903204</v>
      </c>
      <c r="P237" s="193"/>
    </row>
    <row r="238" spans="1:16" s="49" customFormat="1" ht="22.5" customHeight="1" x14ac:dyDescent="0.25">
      <c r="A238" s="38" t="s">
        <v>6</v>
      </c>
      <c r="B238" s="39"/>
      <c r="C238" s="2" t="s">
        <v>8</v>
      </c>
      <c r="D238" s="47">
        <f t="shared" ref="D238:O238" si="51">D240+D239</f>
        <v>80000</v>
      </c>
      <c r="E238" s="47">
        <f t="shared" si="51"/>
        <v>80000</v>
      </c>
      <c r="F238" s="47">
        <f t="shared" si="51"/>
        <v>0</v>
      </c>
      <c r="G238" s="47">
        <f t="shared" si="51"/>
        <v>0</v>
      </c>
      <c r="H238" s="47">
        <f t="shared" si="51"/>
        <v>0</v>
      </c>
      <c r="I238" s="47">
        <f t="shared" si="51"/>
        <v>4489300</v>
      </c>
      <c r="J238" s="47">
        <f t="shared" si="51"/>
        <v>0</v>
      </c>
      <c r="K238" s="47">
        <f t="shared" si="51"/>
        <v>4109300</v>
      </c>
      <c r="L238" s="47">
        <f t="shared" si="51"/>
        <v>0</v>
      </c>
      <c r="M238" s="47">
        <f t="shared" si="51"/>
        <v>0</v>
      </c>
      <c r="N238" s="47">
        <f t="shared" si="51"/>
        <v>380000</v>
      </c>
      <c r="O238" s="47">
        <f t="shared" si="51"/>
        <v>4569300</v>
      </c>
      <c r="P238" s="193"/>
    </row>
    <row r="239" spans="1:16" s="49" customFormat="1" ht="33.75" customHeight="1" x14ac:dyDescent="0.25">
      <c r="A239" s="37">
        <v>8330</v>
      </c>
      <c r="B239" s="55" t="s">
        <v>91</v>
      </c>
      <c r="C239" s="3" t="s">
        <v>343</v>
      </c>
      <c r="D239" s="156">
        <f>'дод 3'!E333</f>
        <v>80000</v>
      </c>
      <c r="E239" s="156">
        <f>'дод 3'!F333</f>
        <v>80000</v>
      </c>
      <c r="F239" s="156">
        <f>'дод 3'!G333</f>
        <v>0</v>
      </c>
      <c r="G239" s="156">
        <f>'дод 3'!H333</f>
        <v>0</v>
      </c>
      <c r="H239" s="156">
        <f>'дод 3'!I333</f>
        <v>0</v>
      </c>
      <c r="I239" s="156">
        <f>'дод 3'!J333</f>
        <v>0</v>
      </c>
      <c r="J239" s="156">
        <f>'дод 3'!K333</f>
        <v>0</v>
      </c>
      <c r="K239" s="156">
        <f>'дод 3'!L333</f>
        <v>0</v>
      </c>
      <c r="L239" s="156">
        <f>'дод 3'!M333</f>
        <v>0</v>
      </c>
      <c r="M239" s="156">
        <f>'дод 3'!N333</f>
        <v>0</v>
      </c>
      <c r="N239" s="156">
        <f>'дод 3'!O333</f>
        <v>0</v>
      </c>
      <c r="O239" s="156">
        <f>'дод 3'!P333</f>
        <v>80000</v>
      </c>
      <c r="P239" s="193"/>
    </row>
    <row r="240" spans="1:16" s="49" customFormat="1" ht="19.5" customHeight="1" x14ac:dyDescent="0.25">
      <c r="A240" s="37" t="s">
        <v>9</v>
      </c>
      <c r="B240" s="37" t="s">
        <v>91</v>
      </c>
      <c r="C240" s="3" t="s">
        <v>10</v>
      </c>
      <c r="D240" s="156">
        <f>'дод 3'!E57+'дод 3'!E124+'дод 3'!E273+'дод 3'!E334+'дод 3'!E229</f>
        <v>0</v>
      </c>
      <c r="E240" s="156">
        <f>'дод 3'!F57+'дод 3'!F124+'дод 3'!F273+'дод 3'!F334+'дод 3'!F229</f>
        <v>0</v>
      </c>
      <c r="F240" s="156">
        <f>'дод 3'!G57+'дод 3'!G124+'дод 3'!G273+'дод 3'!G334+'дод 3'!G229</f>
        <v>0</v>
      </c>
      <c r="G240" s="156">
        <f>'дод 3'!H57+'дод 3'!H124+'дод 3'!H273+'дод 3'!H334+'дод 3'!H229</f>
        <v>0</v>
      </c>
      <c r="H240" s="156">
        <f>'дод 3'!I57+'дод 3'!I124+'дод 3'!I273+'дод 3'!I334+'дод 3'!I229</f>
        <v>0</v>
      </c>
      <c r="I240" s="156">
        <f>'дод 3'!J57+'дод 3'!J124+'дод 3'!J273+'дод 3'!J334+'дод 3'!J229</f>
        <v>4489300</v>
      </c>
      <c r="J240" s="156">
        <f>'дод 3'!K57+'дод 3'!K124+'дод 3'!K273+'дод 3'!K334+'дод 3'!K229</f>
        <v>0</v>
      </c>
      <c r="K240" s="156">
        <f>'дод 3'!L57+'дод 3'!L124+'дод 3'!L273+'дод 3'!L334+'дод 3'!L229</f>
        <v>4109300</v>
      </c>
      <c r="L240" s="156">
        <f>'дод 3'!M57+'дод 3'!M124+'дод 3'!M273+'дод 3'!M334+'дод 3'!M229</f>
        <v>0</v>
      </c>
      <c r="M240" s="156">
        <f>'дод 3'!N57+'дод 3'!N124+'дод 3'!N273+'дод 3'!N334+'дод 3'!N229</f>
        <v>0</v>
      </c>
      <c r="N240" s="156">
        <f>'дод 3'!O57+'дод 3'!O124+'дод 3'!O273+'дод 3'!O334+'дод 3'!O229</f>
        <v>380000</v>
      </c>
      <c r="O240" s="156">
        <f>'дод 3'!P57+'дод 3'!P124+'дод 3'!P273+'дод 3'!P334+'дод 3'!P229</f>
        <v>4489300</v>
      </c>
      <c r="P240" s="193"/>
    </row>
    <row r="241" spans="1:16" s="49" customFormat="1" ht="20.25" hidden="1" customHeight="1" x14ac:dyDescent="0.25">
      <c r="A241" s="38" t="s">
        <v>131</v>
      </c>
      <c r="B241" s="39"/>
      <c r="C241" s="2" t="s">
        <v>75</v>
      </c>
      <c r="D241" s="47">
        <f t="shared" ref="D241:O241" si="52">D242</f>
        <v>0</v>
      </c>
      <c r="E241" s="47">
        <f t="shared" si="52"/>
        <v>0</v>
      </c>
      <c r="F241" s="47">
        <f t="shared" si="52"/>
        <v>0</v>
      </c>
      <c r="G241" s="47">
        <f t="shared" si="52"/>
        <v>0</v>
      </c>
      <c r="H241" s="47">
        <f t="shared" si="52"/>
        <v>0</v>
      </c>
      <c r="I241" s="47">
        <f t="shared" si="52"/>
        <v>0</v>
      </c>
      <c r="J241" s="47">
        <f t="shared" si="52"/>
        <v>0</v>
      </c>
      <c r="K241" s="47">
        <f t="shared" si="52"/>
        <v>0</v>
      </c>
      <c r="L241" s="47">
        <f t="shared" si="52"/>
        <v>0</v>
      </c>
      <c r="M241" s="47">
        <f t="shared" si="52"/>
        <v>0</v>
      </c>
      <c r="N241" s="47">
        <f t="shared" si="52"/>
        <v>0</v>
      </c>
      <c r="O241" s="47">
        <f t="shared" si="52"/>
        <v>0</v>
      </c>
      <c r="P241" s="193"/>
    </row>
    <row r="242" spans="1:16" s="49" customFormat="1" ht="21" hidden="1" customHeight="1" x14ac:dyDescent="0.25">
      <c r="A242" s="37" t="s">
        <v>252</v>
      </c>
      <c r="B242" s="42" t="s">
        <v>76</v>
      </c>
      <c r="C242" s="3" t="s">
        <v>253</v>
      </c>
      <c r="D242" s="156">
        <f>'дод 3'!E58</f>
        <v>0</v>
      </c>
      <c r="E242" s="156">
        <f>'дод 3'!F58</f>
        <v>0</v>
      </c>
      <c r="F242" s="156">
        <f>'дод 3'!G58</f>
        <v>0</v>
      </c>
      <c r="G242" s="156">
        <f>'дод 3'!H58</f>
        <v>0</v>
      </c>
      <c r="H242" s="156">
        <f>'дод 3'!I58</f>
        <v>0</v>
      </c>
      <c r="I242" s="156">
        <f>'дод 3'!J58</f>
        <v>0</v>
      </c>
      <c r="J242" s="156">
        <f>'дод 3'!K58</f>
        <v>0</v>
      </c>
      <c r="K242" s="156">
        <f>'дод 3'!L58</f>
        <v>0</v>
      </c>
      <c r="L242" s="156">
        <f>'дод 3'!M58</f>
        <v>0</v>
      </c>
      <c r="M242" s="156">
        <f>'дод 3'!N58</f>
        <v>0</v>
      </c>
      <c r="N242" s="156">
        <f>'дод 3'!O58</f>
        <v>0</v>
      </c>
      <c r="O242" s="156">
        <f>'дод 3'!P58</f>
        <v>0</v>
      </c>
      <c r="P242" s="193"/>
    </row>
    <row r="243" spans="1:16" s="49" customFormat="1" ht="21" customHeight="1" x14ac:dyDescent="0.25">
      <c r="A243" s="38" t="s">
        <v>94</v>
      </c>
      <c r="B243" s="38" t="s">
        <v>89</v>
      </c>
      <c r="C243" s="2" t="s">
        <v>11</v>
      </c>
      <c r="D243" s="47">
        <f>'дод 3'!E335</f>
        <v>3807000</v>
      </c>
      <c r="E243" s="47">
        <f>'дод 3'!F335</f>
        <v>3807000</v>
      </c>
      <c r="F243" s="47">
        <f>'дод 3'!G335</f>
        <v>0</v>
      </c>
      <c r="G243" s="47">
        <f>'дод 3'!H335</f>
        <v>0</v>
      </c>
      <c r="H243" s="47">
        <f>'дод 3'!I335</f>
        <v>0</v>
      </c>
      <c r="I243" s="47">
        <f>'дод 3'!J335</f>
        <v>0</v>
      </c>
      <c r="J243" s="47">
        <f>'дод 3'!K335</f>
        <v>0</v>
      </c>
      <c r="K243" s="47">
        <f>'дод 3'!L335</f>
        <v>0</v>
      </c>
      <c r="L243" s="47">
        <f>'дод 3'!M335</f>
        <v>0</v>
      </c>
      <c r="M243" s="47">
        <f>'дод 3'!N335</f>
        <v>0</v>
      </c>
      <c r="N243" s="47">
        <f>'дод 3'!O335</f>
        <v>0</v>
      </c>
      <c r="O243" s="47">
        <f>'дод 3'!P335</f>
        <v>3807000</v>
      </c>
      <c r="P243" s="193"/>
    </row>
    <row r="244" spans="1:16" s="49" customFormat="1" ht="21" customHeight="1" x14ac:dyDescent="0.25">
      <c r="A244" s="38">
        <v>8700</v>
      </c>
      <c r="B244" s="38"/>
      <c r="C244" s="2" t="s">
        <v>616</v>
      </c>
      <c r="D244" s="47">
        <f>D245+D248+D246+D247</f>
        <v>65157442</v>
      </c>
      <c r="E244" s="47">
        <f t="shared" ref="E244:O244" si="53">E245+E248+E246+E247</f>
        <v>20589974</v>
      </c>
      <c r="F244" s="47">
        <f t="shared" si="53"/>
        <v>0</v>
      </c>
      <c r="G244" s="47">
        <f t="shared" si="53"/>
        <v>0</v>
      </c>
      <c r="H244" s="47">
        <f t="shared" si="53"/>
        <v>0</v>
      </c>
      <c r="I244" s="47">
        <f t="shared" si="53"/>
        <v>350000</v>
      </c>
      <c r="J244" s="47">
        <f t="shared" si="53"/>
        <v>350000</v>
      </c>
      <c r="K244" s="47">
        <f t="shared" si="53"/>
        <v>0</v>
      </c>
      <c r="L244" s="47">
        <f t="shared" si="53"/>
        <v>0</v>
      </c>
      <c r="M244" s="47">
        <f t="shared" si="53"/>
        <v>0</v>
      </c>
      <c r="N244" s="47">
        <f t="shared" si="53"/>
        <v>350000</v>
      </c>
      <c r="O244" s="47">
        <f t="shared" si="53"/>
        <v>65507442</v>
      </c>
      <c r="P244" s="193"/>
    </row>
    <row r="245" spans="1:16" ht="25.5" customHeight="1" x14ac:dyDescent="0.25">
      <c r="A245" s="37">
        <v>8710</v>
      </c>
      <c r="B245" s="37" t="s">
        <v>92</v>
      </c>
      <c r="C245" s="3" t="s">
        <v>498</v>
      </c>
      <c r="D245" s="156">
        <f>'дод 3'!E336</f>
        <v>44567468</v>
      </c>
      <c r="E245" s="156">
        <f>'дод 3'!F336</f>
        <v>0</v>
      </c>
      <c r="F245" s="156">
        <f>'дод 3'!G336</f>
        <v>0</v>
      </c>
      <c r="G245" s="156">
        <f>'дод 3'!H336</f>
        <v>0</v>
      </c>
      <c r="H245" s="156">
        <f>'дод 3'!I336</f>
        <v>0</v>
      </c>
      <c r="I245" s="156">
        <f>'дод 3'!J336</f>
        <v>0</v>
      </c>
      <c r="J245" s="156">
        <f>'дод 3'!K336</f>
        <v>0</v>
      </c>
      <c r="K245" s="156">
        <f>'дод 3'!L336</f>
        <v>0</v>
      </c>
      <c r="L245" s="156">
        <f>'дод 3'!M336</f>
        <v>0</v>
      </c>
      <c r="M245" s="156">
        <f>'дод 3'!N336</f>
        <v>0</v>
      </c>
      <c r="N245" s="156">
        <f>'дод 3'!O336</f>
        <v>0</v>
      </c>
      <c r="O245" s="156">
        <f>'дод 3'!P336</f>
        <v>44567468</v>
      </c>
      <c r="P245" s="193"/>
    </row>
    <row r="246" spans="1:16" ht="63" x14ac:dyDescent="0.25">
      <c r="A246" s="37">
        <v>8746</v>
      </c>
      <c r="B246" s="37">
        <v>640</v>
      </c>
      <c r="C246" s="3" t="s">
        <v>629</v>
      </c>
      <c r="D246" s="156">
        <f>'дод 3'!E274</f>
        <v>800000</v>
      </c>
      <c r="E246" s="156">
        <f>'дод 3'!F274</f>
        <v>800000</v>
      </c>
      <c r="F246" s="156">
        <f>'дод 3'!G274</f>
        <v>0</v>
      </c>
      <c r="G246" s="156">
        <f>'дод 3'!H274</f>
        <v>0</v>
      </c>
      <c r="H246" s="156">
        <f>'дод 3'!I274</f>
        <v>0</v>
      </c>
      <c r="I246" s="156">
        <f>'дод 3'!J274</f>
        <v>0</v>
      </c>
      <c r="J246" s="156">
        <f>'дод 3'!K274</f>
        <v>0</v>
      </c>
      <c r="K246" s="156">
        <f>'дод 3'!L274</f>
        <v>0</v>
      </c>
      <c r="L246" s="156">
        <f>'дод 3'!M274</f>
        <v>0</v>
      </c>
      <c r="M246" s="156">
        <f>'дод 3'!N274</f>
        <v>0</v>
      </c>
      <c r="N246" s="156">
        <f>'дод 3'!O274</f>
        <v>0</v>
      </c>
      <c r="O246" s="156">
        <f>'дод 3'!P274</f>
        <v>800000</v>
      </c>
      <c r="P246" s="193"/>
    </row>
    <row r="247" spans="1:16" ht="47.25" x14ac:dyDescent="0.25">
      <c r="A247" s="37">
        <v>8751</v>
      </c>
      <c r="B247" s="37">
        <v>1070</v>
      </c>
      <c r="C247" s="3" t="s">
        <v>628</v>
      </c>
      <c r="D247" s="156">
        <f>'дод 3'!E207</f>
        <v>441000</v>
      </c>
      <c r="E247" s="156">
        <f>'дод 3'!F207</f>
        <v>441000</v>
      </c>
      <c r="F247" s="156">
        <f>'дод 3'!G207</f>
        <v>0</v>
      </c>
      <c r="G247" s="156">
        <f>'дод 3'!H207</f>
        <v>0</v>
      </c>
      <c r="H247" s="156">
        <f>'дод 3'!I207</f>
        <v>0</v>
      </c>
      <c r="I247" s="156">
        <f>'дод 3'!J207</f>
        <v>0</v>
      </c>
      <c r="J247" s="156">
        <f>'дод 3'!K207</f>
        <v>0</v>
      </c>
      <c r="K247" s="156">
        <f>'дод 3'!L207</f>
        <v>0</v>
      </c>
      <c r="L247" s="156">
        <f>'дод 3'!M207</f>
        <v>0</v>
      </c>
      <c r="M247" s="156">
        <f>'дод 3'!N207</f>
        <v>0</v>
      </c>
      <c r="N247" s="156">
        <f>'дод 3'!O207</f>
        <v>0</v>
      </c>
      <c r="O247" s="156">
        <f>'дод 3'!P207</f>
        <v>441000</v>
      </c>
      <c r="P247" s="193"/>
    </row>
    <row r="248" spans="1:16" ht="33.75" customHeight="1" x14ac:dyDescent="0.25">
      <c r="A248" s="37">
        <v>8775</v>
      </c>
      <c r="B248" s="37" t="s">
        <v>92</v>
      </c>
      <c r="C248" s="3" t="s">
        <v>614</v>
      </c>
      <c r="D248" s="156">
        <f>'дод 3'!E60+'дод 3'!E164+'дод 3'!E208+'дод 3'!E275</f>
        <v>19348974</v>
      </c>
      <c r="E248" s="156">
        <f>'дод 3'!F60+'дод 3'!F164+'дод 3'!F208+'дод 3'!F275</f>
        <v>19348974</v>
      </c>
      <c r="F248" s="156">
        <f>'дод 3'!G60+'дод 3'!G164+'дод 3'!G208+'дод 3'!G275</f>
        <v>0</v>
      </c>
      <c r="G248" s="156">
        <f>'дод 3'!H60+'дод 3'!H164+'дод 3'!H208+'дод 3'!H275</f>
        <v>0</v>
      </c>
      <c r="H248" s="156">
        <f>'дод 3'!I60+'дод 3'!I164+'дод 3'!I208+'дод 3'!I275</f>
        <v>0</v>
      </c>
      <c r="I248" s="156">
        <f>'дод 3'!J60+'дод 3'!J164+'дод 3'!J208+'дод 3'!J275</f>
        <v>350000</v>
      </c>
      <c r="J248" s="156">
        <f>'дод 3'!K60+'дод 3'!K164+'дод 3'!K208+'дод 3'!K275</f>
        <v>350000</v>
      </c>
      <c r="K248" s="156">
        <f>'дод 3'!L60+'дод 3'!L164+'дод 3'!L208+'дод 3'!L275</f>
        <v>0</v>
      </c>
      <c r="L248" s="156">
        <f>'дод 3'!M60+'дод 3'!M164+'дод 3'!M208+'дод 3'!M275</f>
        <v>0</v>
      </c>
      <c r="M248" s="156">
        <f>'дод 3'!N60+'дод 3'!N164+'дод 3'!N208+'дод 3'!N275</f>
        <v>0</v>
      </c>
      <c r="N248" s="156">
        <f>'дод 3'!O60+'дод 3'!O164+'дод 3'!O208+'дод 3'!O275</f>
        <v>350000</v>
      </c>
      <c r="O248" s="156">
        <f>'дод 3'!P60+'дод 3'!P164+'дод 3'!P208+'дод 3'!P275</f>
        <v>19698974</v>
      </c>
      <c r="P248" s="193"/>
    </row>
    <row r="249" spans="1:16" s="49" customFormat="1" ht="24" customHeight="1" x14ac:dyDescent="0.25">
      <c r="A249" s="38" t="s">
        <v>12</v>
      </c>
      <c r="B249" s="38"/>
      <c r="C249" s="2" t="s">
        <v>592</v>
      </c>
      <c r="D249" s="47">
        <f>D251+D253+D257+D261</f>
        <v>189411140</v>
      </c>
      <c r="E249" s="47">
        <f t="shared" ref="E249:O249" si="54">E251+E253+E257+E261</f>
        <v>189411140</v>
      </c>
      <c r="F249" s="47">
        <f t="shared" si="54"/>
        <v>0</v>
      </c>
      <c r="G249" s="47">
        <f t="shared" si="54"/>
        <v>0</v>
      </c>
      <c r="H249" s="47">
        <f t="shared" si="54"/>
        <v>0</v>
      </c>
      <c r="I249" s="47">
        <f t="shared" si="54"/>
        <v>4223760</v>
      </c>
      <c r="J249" s="47">
        <f t="shared" si="54"/>
        <v>4223760</v>
      </c>
      <c r="K249" s="47">
        <f t="shared" si="54"/>
        <v>0</v>
      </c>
      <c r="L249" s="47">
        <f t="shared" si="54"/>
        <v>0</v>
      </c>
      <c r="M249" s="47">
        <f t="shared" si="54"/>
        <v>0</v>
      </c>
      <c r="N249" s="47">
        <f t="shared" si="54"/>
        <v>4223760</v>
      </c>
      <c r="O249" s="47">
        <f t="shared" si="54"/>
        <v>193634900</v>
      </c>
      <c r="P249" s="193"/>
    </row>
    <row r="250" spans="1:16" s="49" customFormat="1" ht="36.75" hidden="1" customHeight="1" x14ac:dyDescent="0.25">
      <c r="A250" s="38"/>
      <c r="B250" s="38"/>
      <c r="C250" s="70" t="s">
        <v>518</v>
      </c>
      <c r="D250" s="158">
        <f>D254</f>
        <v>0</v>
      </c>
      <c r="E250" s="158">
        <f t="shared" ref="E250:O250" si="55">E254</f>
        <v>0</v>
      </c>
      <c r="F250" s="158">
        <f t="shared" si="55"/>
        <v>0</v>
      </c>
      <c r="G250" s="158">
        <f t="shared" si="55"/>
        <v>0</v>
      </c>
      <c r="H250" s="158">
        <f t="shared" si="55"/>
        <v>0</v>
      </c>
      <c r="I250" s="158">
        <f t="shared" si="55"/>
        <v>0</v>
      </c>
      <c r="J250" s="158">
        <f t="shared" si="55"/>
        <v>0</v>
      </c>
      <c r="K250" s="158">
        <f t="shared" si="55"/>
        <v>0</v>
      </c>
      <c r="L250" s="158">
        <f t="shared" si="55"/>
        <v>0</v>
      </c>
      <c r="M250" s="158">
        <f t="shared" si="55"/>
        <v>0</v>
      </c>
      <c r="N250" s="158">
        <f t="shared" si="55"/>
        <v>0</v>
      </c>
      <c r="O250" s="158">
        <f t="shared" si="55"/>
        <v>0</v>
      </c>
      <c r="P250" s="193"/>
    </row>
    <row r="251" spans="1:16" s="49" customFormat="1" ht="21.75" customHeight="1" x14ac:dyDescent="0.25">
      <c r="A251" s="38" t="s">
        <v>250</v>
      </c>
      <c r="B251" s="38"/>
      <c r="C251" s="2" t="s">
        <v>293</v>
      </c>
      <c r="D251" s="47">
        <f t="shared" ref="D251:O251" si="56">D252</f>
        <v>171293100</v>
      </c>
      <c r="E251" s="47">
        <f t="shared" si="56"/>
        <v>171293100</v>
      </c>
      <c r="F251" s="47">
        <f t="shared" si="56"/>
        <v>0</v>
      </c>
      <c r="G251" s="47">
        <f t="shared" si="56"/>
        <v>0</v>
      </c>
      <c r="H251" s="47">
        <f t="shared" si="56"/>
        <v>0</v>
      </c>
      <c r="I251" s="47">
        <f t="shared" si="56"/>
        <v>0</v>
      </c>
      <c r="J251" s="47">
        <f t="shared" si="56"/>
        <v>0</v>
      </c>
      <c r="K251" s="47">
        <f t="shared" si="56"/>
        <v>0</v>
      </c>
      <c r="L251" s="47">
        <f t="shared" si="56"/>
        <v>0</v>
      </c>
      <c r="M251" s="47">
        <f t="shared" si="56"/>
        <v>0</v>
      </c>
      <c r="N251" s="47">
        <f t="shared" si="56"/>
        <v>0</v>
      </c>
      <c r="O251" s="47">
        <f t="shared" si="56"/>
        <v>171293100</v>
      </c>
      <c r="P251" s="193"/>
    </row>
    <row r="252" spans="1:16" s="49" customFormat="1" ht="21" customHeight="1" x14ac:dyDescent="0.25">
      <c r="A252" s="37" t="s">
        <v>90</v>
      </c>
      <c r="B252" s="42" t="s">
        <v>44</v>
      </c>
      <c r="C252" s="3" t="s">
        <v>109</v>
      </c>
      <c r="D252" s="156">
        <f>'дод 3'!E337</f>
        <v>171293100</v>
      </c>
      <c r="E252" s="156">
        <f>'дод 3'!F337</f>
        <v>171293100</v>
      </c>
      <c r="F252" s="156">
        <f>'дод 3'!G337</f>
        <v>0</v>
      </c>
      <c r="G252" s="156">
        <f>'дод 3'!H337</f>
        <v>0</v>
      </c>
      <c r="H252" s="156">
        <f>'дод 3'!I337</f>
        <v>0</v>
      </c>
      <c r="I252" s="156">
        <f>'дод 3'!J337</f>
        <v>0</v>
      </c>
      <c r="J252" s="156">
        <f>'дод 3'!K337</f>
        <v>0</v>
      </c>
      <c r="K252" s="156">
        <f>'дод 3'!L337</f>
        <v>0</v>
      </c>
      <c r="L252" s="156">
        <f>'дод 3'!M337</f>
        <v>0</v>
      </c>
      <c r="M252" s="156">
        <f>'дод 3'!N337</f>
        <v>0</v>
      </c>
      <c r="N252" s="156">
        <f>'дод 3'!O337</f>
        <v>0</v>
      </c>
      <c r="O252" s="156">
        <f>'дод 3'!P337</f>
        <v>171293100</v>
      </c>
      <c r="P252" s="193"/>
    </row>
    <row r="253" spans="1:16" s="49" customFormat="1" ht="63" hidden="1" customHeight="1" x14ac:dyDescent="0.25">
      <c r="A253" s="38">
        <v>9300</v>
      </c>
      <c r="B253" s="92"/>
      <c r="C253" s="2" t="s">
        <v>515</v>
      </c>
      <c r="D253" s="47">
        <f>D255</f>
        <v>0</v>
      </c>
      <c r="E253" s="47">
        <f t="shared" ref="E253:O253" si="57">E255</f>
        <v>0</v>
      </c>
      <c r="F253" s="47">
        <f t="shared" si="57"/>
        <v>0</v>
      </c>
      <c r="G253" s="47">
        <f t="shared" si="57"/>
        <v>0</v>
      </c>
      <c r="H253" s="47">
        <f t="shared" si="57"/>
        <v>0</v>
      </c>
      <c r="I253" s="47">
        <f t="shared" si="57"/>
        <v>0</v>
      </c>
      <c r="J253" s="47">
        <f t="shared" si="57"/>
        <v>0</v>
      </c>
      <c r="K253" s="47">
        <f t="shared" si="57"/>
        <v>0</v>
      </c>
      <c r="L253" s="47">
        <f t="shared" si="57"/>
        <v>0</v>
      </c>
      <c r="M253" s="47">
        <f t="shared" si="57"/>
        <v>0</v>
      </c>
      <c r="N253" s="47">
        <f t="shared" si="57"/>
        <v>0</v>
      </c>
      <c r="O253" s="47">
        <f t="shared" si="57"/>
        <v>0</v>
      </c>
      <c r="P253" s="193"/>
    </row>
    <row r="254" spans="1:16" s="49" customFormat="1" ht="31.5" hidden="1" customHeight="1" x14ac:dyDescent="0.25">
      <c r="A254" s="38"/>
      <c r="B254" s="89"/>
      <c r="C254" s="70" t="s">
        <v>518</v>
      </c>
      <c r="D254" s="158">
        <f>D256</f>
        <v>0</v>
      </c>
      <c r="E254" s="158">
        <f t="shared" ref="E254:O254" si="58">E256</f>
        <v>0</v>
      </c>
      <c r="F254" s="158">
        <f t="shared" si="58"/>
        <v>0</v>
      </c>
      <c r="G254" s="158">
        <f t="shared" si="58"/>
        <v>0</v>
      </c>
      <c r="H254" s="158">
        <f t="shared" si="58"/>
        <v>0</v>
      </c>
      <c r="I254" s="158">
        <f t="shared" si="58"/>
        <v>0</v>
      </c>
      <c r="J254" s="158">
        <f t="shared" si="58"/>
        <v>0</v>
      </c>
      <c r="K254" s="158">
        <f t="shared" si="58"/>
        <v>0</v>
      </c>
      <c r="L254" s="158">
        <f t="shared" si="58"/>
        <v>0</v>
      </c>
      <c r="M254" s="158">
        <f t="shared" si="58"/>
        <v>0</v>
      </c>
      <c r="N254" s="158">
        <f t="shared" si="58"/>
        <v>0</v>
      </c>
      <c r="O254" s="158">
        <f t="shared" si="58"/>
        <v>0</v>
      </c>
      <c r="P254" s="193"/>
    </row>
    <row r="255" spans="1:16" s="49" customFormat="1" ht="47.25" hidden="1" customHeight="1" x14ac:dyDescent="0.25">
      <c r="A255" s="37">
        <v>9320</v>
      </c>
      <c r="B255" s="89" t="s">
        <v>44</v>
      </c>
      <c r="C255" s="6" t="s">
        <v>516</v>
      </c>
      <c r="D255" s="156">
        <f>'дод 3'!E125</f>
        <v>0</v>
      </c>
      <c r="E255" s="156">
        <f>'дод 3'!F125</f>
        <v>0</v>
      </c>
      <c r="F255" s="156">
        <f>'дод 3'!G125</f>
        <v>0</v>
      </c>
      <c r="G255" s="156">
        <f>'дод 3'!H125</f>
        <v>0</v>
      </c>
      <c r="H255" s="156">
        <f>'дод 3'!I125</f>
        <v>0</v>
      </c>
      <c r="I255" s="156">
        <f>'дод 3'!J125</f>
        <v>0</v>
      </c>
      <c r="J255" s="156">
        <f>'дод 3'!K125</f>
        <v>0</v>
      </c>
      <c r="K255" s="156">
        <f>'дод 3'!L125</f>
        <v>0</v>
      </c>
      <c r="L255" s="156">
        <f>'дод 3'!M125</f>
        <v>0</v>
      </c>
      <c r="M255" s="156">
        <f>'дод 3'!N125</f>
        <v>0</v>
      </c>
      <c r="N255" s="156">
        <f>'дод 3'!O125</f>
        <v>0</v>
      </c>
      <c r="O255" s="156">
        <f>'дод 3'!P125</f>
        <v>0</v>
      </c>
      <c r="P255" s="193"/>
    </row>
    <row r="256" spans="1:16" s="50" customFormat="1" ht="31.5" hidden="1" customHeight="1" x14ac:dyDescent="0.25">
      <c r="A256" s="71"/>
      <c r="B256" s="91"/>
      <c r="C256" s="79" t="s">
        <v>518</v>
      </c>
      <c r="D256" s="157">
        <f>'дод 3'!E126</f>
        <v>0</v>
      </c>
      <c r="E256" s="157">
        <f>'дод 3'!F126</f>
        <v>0</v>
      </c>
      <c r="F256" s="157">
        <f>'дод 3'!G126</f>
        <v>0</v>
      </c>
      <c r="G256" s="157">
        <f>'дод 3'!H126</f>
        <v>0</v>
      </c>
      <c r="H256" s="157">
        <f>'дод 3'!I126</f>
        <v>0</v>
      </c>
      <c r="I256" s="157">
        <f>'дод 3'!J126</f>
        <v>0</v>
      </c>
      <c r="J256" s="157">
        <f>'дод 3'!K126</f>
        <v>0</v>
      </c>
      <c r="K256" s="157">
        <f>'дод 3'!L126</f>
        <v>0</v>
      </c>
      <c r="L256" s="157">
        <f>'дод 3'!M126</f>
        <v>0</v>
      </c>
      <c r="M256" s="157">
        <f>'дод 3'!N126</f>
        <v>0</v>
      </c>
      <c r="N256" s="157">
        <f>'дод 3'!O126</f>
        <v>0</v>
      </c>
      <c r="O256" s="157">
        <f>'дод 3'!P126</f>
        <v>0</v>
      </c>
      <c r="P256" s="193"/>
    </row>
    <row r="257" spans="1:525" s="49" customFormat="1" ht="57.75" customHeight="1" x14ac:dyDescent="0.25">
      <c r="A257" s="38" t="s">
        <v>13</v>
      </c>
      <c r="B257" s="92"/>
      <c r="C257" s="2" t="s">
        <v>342</v>
      </c>
      <c r="D257" s="47">
        <f>D258+D259+D260</f>
        <v>11396240</v>
      </c>
      <c r="E257" s="47">
        <f t="shared" ref="E257:O257" si="59">E258+E259+E260</f>
        <v>11396240</v>
      </c>
      <c r="F257" s="47">
        <f t="shared" si="59"/>
        <v>0</v>
      </c>
      <c r="G257" s="47">
        <f t="shared" si="59"/>
        <v>0</v>
      </c>
      <c r="H257" s="47">
        <f t="shared" si="59"/>
        <v>0</v>
      </c>
      <c r="I257" s="47">
        <f t="shared" si="59"/>
        <v>3903760</v>
      </c>
      <c r="J257" s="47">
        <f t="shared" si="59"/>
        <v>3903760</v>
      </c>
      <c r="K257" s="47">
        <f t="shared" si="59"/>
        <v>0</v>
      </c>
      <c r="L257" s="47">
        <f t="shared" si="59"/>
        <v>0</v>
      </c>
      <c r="M257" s="47">
        <f t="shared" si="59"/>
        <v>0</v>
      </c>
      <c r="N257" s="47">
        <f t="shared" si="59"/>
        <v>3903760</v>
      </c>
      <c r="O257" s="47">
        <f t="shared" si="59"/>
        <v>15300000</v>
      </c>
      <c r="P257" s="193"/>
    </row>
    <row r="258" spans="1:525" s="49" customFormat="1" ht="79.5" hidden="1" customHeight="1" x14ac:dyDescent="0.25">
      <c r="A258" s="84">
        <v>9730</v>
      </c>
      <c r="B258" s="56" t="s">
        <v>44</v>
      </c>
      <c r="C258" s="57" t="s">
        <v>548</v>
      </c>
      <c r="D258" s="156">
        <f>'дод 3'!E276</f>
        <v>0</v>
      </c>
      <c r="E258" s="156">
        <f>'дод 3'!F276</f>
        <v>0</v>
      </c>
      <c r="F258" s="156">
        <f>'дод 3'!G276</f>
        <v>0</v>
      </c>
      <c r="G258" s="156">
        <f>'дод 3'!H276</f>
        <v>0</v>
      </c>
      <c r="H258" s="156">
        <f>'дод 3'!I276</f>
        <v>0</v>
      </c>
      <c r="I258" s="156">
        <f>'дод 3'!J276</f>
        <v>0</v>
      </c>
      <c r="J258" s="156">
        <f>'дод 3'!K276</f>
        <v>0</v>
      </c>
      <c r="K258" s="156">
        <f>'дод 3'!L276</f>
        <v>0</v>
      </c>
      <c r="L258" s="156">
        <f>'дод 3'!M276</f>
        <v>0</v>
      </c>
      <c r="M258" s="156">
        <f>'дод 3'!N276</f>
        <v>0</v>
      </c>
      <c r="N258" s="156">
        <f>'дод 3'!O276</f>
        <v>0</v>
      </c>
      <c r="O258" s="156">
        <f>'дод 3'!P276</f>
        <v>0</v>
      </c>
      <c r="P258" s="193"/>
    </row>
    <row r="259" spans="1:525" ht="31.5" x14ac:dyDescent="0.25">
      <c r="A259" s="37">
        <v>9750</v>
      </c>
      <c r="B259" s="42" t="s">
        <v>44</v>
      </c>
      <c r="C259" s="57" t="s">
        <v>508</v>
      </c>
      <c r="D259" s="156">
        <f>'дод 3'!E277</f>
        <v>0</v>
      </c>
      <c r="E259" s="156">
        <f>'дод 3'!F277</f>
        <v>0</v>
      </c>
      <c r="F259" s="156">
        <f>'дод 3'!G277</f>
        <v>0</v>
      </c>
      <c r="G259" s="156">
        <f>'дод 3'!H277</f>
        <v>0</v>
      </c>
      <c r="H259" s="156">
        <f>'дод 3'!I277</f>
        <v>0</v>
      </c>
      <c r="I259" s="156">
        <f>'дод 3'!J277</f>
        <v>800000</v>
      </c>
      <c r="J259" s="156">
        <f>'дод 3'!K277</f>
        <v>800000</v>
      </c>
      <c r="K259" s="156">
        <f>'дод 3'!L277</f>
        <v>0</v>
      </c>
      <c r="L259" s="156">
        <f>'дод 3'!M277</f>
        <v>0</v>
      </c>
      <c r="M259" s="156">
        <f>'дод 3'!N277</f>
        <v>0</v>
      </c>
      <c r="N259" s="156">
        <f>'дод 3'!O277</f>
        <v>800000</v>
      </c>
      <c r="O259" s="156">
        <f>'дод 3'!P277</f>
        <v>800000</v>
      </c>
      <c r="P259" s="193"/>
    </row>
    <row r="260" spans="1:525" s="49" customFormat="1" ht="24" customHeight="1" x14ac:dyDescent="0.25">
      <c r="A260" s="37" t="s">
        <v>14</v>
      </c>
      <c r="B260" s="42" t="s">
        <v>44</v>
      </c>
      <c r="C260" s="6" t="s">
        <v>351</v>
      </c>
      <c r="D260" s="156">
        <f>'дод 3'!E127+'дод 3'!E163+'дод 3'!E209+'дод 3'!E278+'дод 3'!E59</f>
        <v>11396240</v>
      </c>
      <c r="E260" s="156">
        <f>'дод 3'!F127+'дод 3'!F163+'дод 3'!F209+'дод 3'!F278+'дод 3'!F59</f>
        <v>11396240</v>
      </c>
      <c r="F260" s="156">
        <f>'дод 3'!G127+'дод 3'!G163+'дод 3'!G209+'дод 3'!G278+'дод 3'!G59</f>
        <v>0</v>
      </c>
      <c r="G260" s="156">
        <f>'дод 3'!H127+'дод 3'!H163+'дод 3'!H209+'дод 3'!H278+'дод 3'!H59</f>
        <v>0</v>
      </c>
      <c r="H260" s="156">
        <f>'дод 3'!I127+'дод 3'!I163+'дод 3'!I209+'дод 3'!I278+'дод 3'!I59</f>
        <v>0</v>
      </c>
      <c r="I260" s="156">
        <f>'дод 3'!J127+'дод 3'!J163+'дод 3'!J209+'дод 3'!J278+'дод 3'!J59</f>
        <v>3103760</v>
      </c>
      <c r="J260" s="156">
        <f>'дод 3'!K127+'дод 3'!K163+'дод 3'!K209+'дод 3'!K278+'дод 3'!K59</f>
        <v>3103760</v>
      </c>
      <c r="K260" s="156">
        <f>'дод 3'!L127+'дод 3'!L163+'дод 3'!L209+'дод 3'!L278+'дод 3'!L59</f>
        <v>0</v>
      </c>
      <c r="L260" s="156">
        <f>'дод 3'!M127+'дод 3'!M163+'дод 3'!M209+'дод 3'!M278+'дод 3'!M59</f>
        <v>0</v>
      </c>
      <c r="M260" s="156">
        <f>'дод 3'!N127+'дод 3'!N163+'дод 3'!N209+'дод 3'!N278+'дод 3'!N59</f>
        <v>0</v>
      </c>
      <c r="N260" s="156">
        <f>'дод 3'!O127+'дод 3'!O163+'дод 3'!O209+'дод 3'!O278+'дод 3'!O59</f>
        <v>3103760</v>
      </c>
      <c r="O260" s="156">
        <f>'дод 3'!P127+'дод 3'!P163+'дод 3'!P209+'дод 3'!P278+'дод 3'!P59</f>
        <v>14500000</v>
      </c>
      <c r="P260" s="193"/>
    </row>
    <row r="261" spans="1:525" s="49" customFormat="1" ht="51" customHeight="1" x14ac:dyDescent="0.25">
      <c r="A261" s="38">
        <v>9800</v>
      </c>
      <c r="B261" s="39" t="s">
        <v>44</v>
      </c>
      <c r="C261" s="9" t="s">
        <v>362</v>
      </c>
      <c r="D261" s="47">
        <f>'дод 3'!E128+'дод 3'!E61+'дод 3'!E279</f>
        <v>6721800</v>
      </c>
      <c r="E261" s="47">
        <f>'дод 3'!F128+'дод 3'!F61+'дод 3'!F279</f>
        <v>6721800</v>
      </c>
      <c r="F261" s="47">
        <f>'дод 3'!G128+'дод 3'!G61+'дод 3'!G279</f>
        <v>0</v>
      </c>
      <c r="G261" s="47">
        <f>'дод 3'!H128+'дод 3'!H61+'дод 3'!H279</f>
        <v>0</v>
      </c>
      <c r="H261" s="47">
        <f>'дод 3'!I128+'дод 3'!I61+'дод 3'!I279</f>
        <v>0</v>
      </c>
      <c r="I261" s="47">
        <f>'дод 3'!J128+'дод 3'!J61+'дод 3'!J279</f>
        <v>320000</v>
      </c>
      <c r="J261" s="47">
        <f>'дод 3'!K128+'дод 3'!K61+'дод 3'!K279</f>
        <v>320000</v>
      </c>
      <c r="K261" s="47">
        <f>'дод 3'!L128+'дод 3'!L61+'дод 3'!L279</f>
        <v>0</v>
      </c>
      <c r="L261" s="47">
        <f>'дод 3'!M128+'дод 3'!M61+'дод 3'!M279</f>
        <v>0</v>
      </c>
      <c r="M261" s="47">
        <f>'дод 3'!N128+'дод 3'!N61+'дод 3'!N279</f>
        <v>0</v>
      </c>
      <c r="N261" s="47">
        <f>'дод 3'!O128+'дод 3'!O61+'дод 3'!O279</f>
        <v>320000</v>
      </c>
      <c r="O261" s="47">
        <f>'дод 3'!P128+'дод 3'!P61+'дод 3'!P279</f>
        <v>7041800</v>
      </c>
      <c r="P261" s="194">
        <v>59</v>
      </c>
    </row>
    <row r="262" spans="1:525" s="49" customFormat="1" ht="21" customHeight="1" x14ac:dyDescent="0.25">
      <c r="A262" s="7"/>
      <c r="B262" s="7"/>
      <c r="C262" s="2" t="s">
        <v>402</v>
      </c>
      <c r="D262" s="47">
        <f>D12+D19+D77+D99+D141+D146+D155+D169+D228+D249</f>
        <v>2926312869.04</v>
      </c>
      <c r="E262" s="47">
        <f t="shared" ref="E262:O262" si="60">E12+E19+E77+E99+E141+E146+E155+E169+E228+E249</f>
        <v>2628931681.04</v>
      </c>
      <c r="F262" s="47">
        <f t="shared" si="60"/>
        <v>1230119039</v>
      </c>
      <c r="G262" s="47">
        <f t="shared" si="60"/>
        <v>220364400</v>
      </c>
      <c r="H262" s="47">
        <f t="shared" si="60"/>
        <v>252813720</v>
      </c>
      <c r="I262" s="47">
        <f t="shared" si="60"/>
        <v>873583563.52999997</v>
      </c>
      <c r="J262" s="47">
        <f t="shared" si="60"/>
        <v>760211289</v>
      </c>
      <c r="K262" s="47">
        <f t="shared" si="60"/>
        <v>106723369.53</v>
      </c>
      <c r="L262" s="47">
        <f t="shared" si="60"/>
        <v>9868845</v>
      </c>
      <c r="M262" s="47">
        <f t="shared" si="60"/>
        <v>5509383</v>
      </c>
      <c r="N262" s="47">
        <f t="shared" si="60"/>
        <v>766860194</v>
      </c>
      <c r="O262" s="47">
        <f t="shared" si="60"/>
        <v>3799896432.5699997</v>
      </c>
      <c r="P262" s="194"/>
    </row>
    <row r="263" spans="1:525" s="50" customFormat="1" ht="21" customHeight="1" x14ac:dyDescent="0.25">
      <c r="A263" s="78"/>
      <c r="B263" s="78"/>
      <c r="C263" s="69" t="s">
        <v>395</v>
      </c>
      <c r="D263" s="158">
        <f t="shared" ref="D263:O263" si="61">D20+D27+D198+D250+D177+D28</f>
        <v>514609700</v>
      </c>
      <c r="E263" s="158">
        <f t="shared" si="61"/>
        <v>514609700</v>
      </c>
      <c r="F263" s="158">
        <f t="shared" si="61"/>
        <v>422305000</v>
      </c>
      <c r="G263" s="158">
        <f t="shared" si="61"/>
        <v>0</v>
      </c>
      <c r="H263" s="158">
        <f t="shared" si="61"/>
        <v>0</v>
      </c>
      <c r="I263" s="158">
        <f t="shared" si="61"/>
        <v>0</v>
      </c>
      <c r="J263" s="158">
        <f t="shared" si="61"/>
        <v>0</v>
      </c>
      <c r="K263" s="158">
        <f t="shared" si="61"/>
        <v>0</v>
      </c>
      <c r="L263" s="158">
        <f t="shared" si="61"/>
        <v>0</v>
      </c>
      <c r="M263" s="158">
        <f t="shared" si="61"/>
        <v>0</v>
      </c>
      <c r="N263" s="158">
        <f t="shared" si="61"/>
        <v>0</v>
      </c>
      <c r="O263" s="158">
        <f t="shared" si="61"/>
        <v>514609700</v>
      </c>
      <c r="P263" s="194"/>
    </row>
    <row r="264" spans="1:525" s="50" customFormat="1" ht="37.5" customHeight="1" x14ac:dyDescent="0.25">
      <c r="A264" s="78"/>
      <c r="B264" s="78"/>
      <c r="C264" s="69" t="s">
        <v>396</v>
      </c>
      <c r="D264" s="158">
        <f>D21+D22+D24+D102+D103+D104+D234+D26+D30+D80+D81+D147+D29+D172+D166+D171</f>
        <v>11766430.039999999</v>
      </c>
      <c r="E264" s="158">
        <f t="shared" ref="E264:O264" si="62">E21+E22+E24+E102+E103+E104+E234+E26+E30+E80+E81+E147+E29+E172+E166+E171</f>
        <v>11766430.039999999</v>
      </c>
      <c r="F264" s="158">
        <f t="shared" si="62"/>
        <v>3343728</v>
      </c>
      <c r="G264" s="158">
        <f t="shared" si="62"/>
        <v>0</v>
      </c>
      <c r="H264" s="158">
        <f t="shared" si="62"/>
        <v>0</v>
      </c>
      <c r="I264" s="158">
        <f t="shared" si="62"/>
        <v>0</v>
      </c>
      <c r="J264" s="158">
        <f t="shared" si="62"/>
        <v>0</v>
      </c>
      <c r="K264" s="158">
        <f t="shared" si="62"/>
        <v>0</v>
      </c>
      <c r="L264" s="158">
        <f t="shared" si="62"/>
        <v>0</v>
      </c>
      <c r="M264" s="158">
        <f t="shared" si="62"/>
        <v>0</v>
      </c>
      <c r="N264" s="158">
        <f t="shared" si="62"/>
        <v>0</v>
      </c>
      <c r="O264" s="158">
        <f t="shared" si="62"/>
        <v>11766430.039999999</v>
      </c>
      <c r="P264" s="194"/>
    </row>
    <row r="265" spans="1:525" s="50" customFormat="1" ht="23.25" customHeight="1" x14ac:dyDescent="0.25">
      <c r="A265" s="65"/>
      <c r="B265" s="65"/>
      <c r="C265" s="75" t="s">
        <v>413</v>
      </c>
      <c r="D265" s="158">
        <f>D173</f>
        <v>0</v>
      </c>
      <c r="E265" s="158">
        <f t="shared" ref="E265:O265" si="63">E173</f>
        <v>0</v>
      </c>
      <c r="F265" s="158">
        <f t="shared" si="63"/>
        <v>0</v>
      </c>
      <c r="G265" s="158">
        <f t="shared" si="63"/>
        <v>0</v>
      </c>
      <c r="H265" s="158">
        <f t="shared" si="63"/>
        <v>0</v>
      </c>
      <c r="I265" s="158">
        <f t="shared" si="63"/>
        <v>180458652</v>
      </c>
      <c r="J265" s="158">
        <f t="shared" si="63"/>
        <v>180458652</v>
      </c>
      <c r="K265" s="158">
        <f t="shared" si="63"/>
        <v>0</v>
      </c>
      <c r="L265" s="158">
        <f t="shared" si="63"/>
        <v>0</v>
      </c>
      <c r="M265" s="158">
        <f t="shared" si="63"/>
        <v>0</v>
      </c>
      <c r="N265" s="158">
        <f t="shared" si="63"/>
        <v>180458652</v>
      </c>
      <c r="O265" s="158">
        <f t="shared" si="63"/>
        <v>180458652</v>
      </c>
      <c r="P265" s="194"/>
    </row>
    <row r="266" spans="1:525" s="50" customFormat="1" ht="23.25" customHeight="1" x14ac:dyDescent="0.25">
      <c r="A266" s="172"/>
      <c r="B266" s="172"/>
      <c r="C266" s="169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94"/>
    </row>
    <row r="267" spans="1:525" s="50" customFormat="1" ht="23.25" customHeight="1" x14ac:dyDescent="0.25">
      <c r="A267" s="172"/>
      <c r="B267" s="172"/>
      <c r="C267" s="169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94"/>
    </row>
    <row r="268" spans="1:525" s="50" customFormat="1" ht="23.25" customHeight="1" x14ac:dyDescent="0.25">
      <c r="A268" s="172"/>
      <c r="B268" s="172"/>
      <c r="C268" s="169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94"/>
    </row>
    <row r="269" spans="1:525" s="50" customFormat="1" ht="23.25" customHeight="1" x14ac:dyDescent="0.25">
      <c r="A269" s="172"/>
      <c r="B269" s="172"/>
      <c r="C269" s="169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94"/>
    </row>
    <row r="270" spans="1:525" s="49" customFormat="1" ht="18" customHeight="1" x14ac:dyDescent="0.25">
      <c r="A270" s="59"/>
      <c r="B270" s="59"/>
      <c r="C270" s="60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94"/>
    </row>
    <row r="271" spans="1:525" s="119" customFormat="1" ht="40.5" customHeight="1" x14ac:dyDescent="0.55000000000000004">
      <c r="A271" s="116" t="s">
        <v>630</v>
      </c>
      <c r="B271" s="117"/>
      <c r="C271" s="118"/>
      <c r="D271" s="114"/>
      <c r="E271" s="144"/>
      <c r="F271" s="145"/>
      <c r="G271" s="114"/>
      <c r="H271" s="114"/>
      <c r="I271" s="114"/>
      <c r="J271" s="114"/>
      <c r="K271" s="146"/>
      <c r="L271" s="146"/>
      <c r="M271" s="114"/>
      <c r="N271" s="114" t="s">
        <v>631</v>
      </c>
      <c r="O271" s="147"/>
      <c r="P271" s="194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  <c r="EA271" s="120"/>
      <c r="EB271" s="120"/>
      <c r="EC271" s="120"/>
      <c r="ED271" s="120"/>
      <c r="EE271" s="120"/>
      <c r="EF271" s="120"/>
      <c r="EG271" s="120"/>
      <c r="EH271" s="120"/>
      <c r="EI271" s="120"/>
      <c r="EJ271" s="120"/>
      <c r="EK271" s="120"/>
      <c r="EL271" s="120"/>
      <c r="EM271" s="120"/>
      <c r="EN271" s="120"/>
      <c r="EO271" s="120"/>
      <c r="EP271" s="120"/>
      <c r="EQ271" s="120"/>
      <c r="ER271" s="120"/>
      <c r="ES271" s="120"/>
      <c r="ET271" s="120"/>
      <c r="EU271" s="120"/>
      <c r="EV271" s="120"/>
      <c r="EW271" s="120"/>
      <c r="EX271" s="120"/>
      <c r="EY271" s="120"/>
      <c r="EZ271" s="120"/>
      <c r="FA271" s="120"/>
      <c r="FB271" s="120"/>
      <c r="FC271" s="120"/>
      <c r="FD271" s="120"/>
      <c r="FE271" s="120"/>
      <c r="FF271" s="120"/>
      <c r="FG271" s="120"/>
      <c r="FH271" s="120"/>
      <c r="FI271" s="120"/>
      <c r="FJ271" s="120"/>
      <c r="FK271" s="120"/>
      <c r="FL271" s="120"/>
      <c r="FM271" s="120"/>
      <c r="FN271" s="120"/>
      <c r="FO271" s="120"/>
      <c r="FP271" s="120"/>
      <c r="FQ271" s="120"/>
      <c r="FR271" s="120"/>
      <c r="FS271" s="120"/>
      <c r="FT271" s="120"/>
      <c r="FU271" s="120"/>
      <c r="FV271" s="120"/>
      <c r="FW271" s="120"/>
      <c r="FX271" s="120"/>
      <c r="FY271" s="120"/>
      <c r="FZ271" s="120"/>
      <c r="GA271" s="120"/>
      <c r="GB271" s="120"/>
      <c r="GC271" s="120"/>
      <c r="GD271" s="120"/>
      <c r="GE271" s="120"/>
      <c r="GF271" s="120"/>
      <c r="GG271" s="120"/>
      <c r="GH271" s="120"/>
      <c r="GI271" s="120"/>
      <c r="GJ271" s="120"/>
      <c r="GK271" s="120"/>
      <c r="GL271" s="120"/>
      <c r="GM271" s="120"/>
      <c r="GN271" s="120"/>
      <c r="GO271" s="120"/>
      <c r="GP271" s="120"/>
      <c r="GQ271" s="120"/>
      <c r="GR271" s="120"/>
      <c r="GS271" s="120"/>
      <c r="GT271" s="120"/>
      <c r="GU271" s="120"/>
      <c r="GV271" s="120"/>
      <c r="GW271" s="120"/>
      <c r="GX271" s="120"/>
      <c r="GY271" s="120"/>
      <c r="GZ271" s="120"/>
      <c r="HA271" s="120"/>
      <c r="HB271" s="120"/>
      <c r="HC271" s="120"/>
      <c r="HD271" s="120"/>
      <c r="HE271" s="120"/>
      <c r="HF271" s="120"/>
      <c r="HG271" s="120"/>
      <c r="HH271" s="120"/>
      <c r="HI271" s="120"/>
      <c r="HJ271" s="120"/>
      <c r="HK271" s="120"/>
      <c r="HL271" s="120"/>
      <c r="HM271" s="120"/>
      <c r="HN271" s="120"/>
      <c r="HO271" s="120"/>
      <c r="HP271" s="120"/>
      <c r="HQ271" s="120"/>
      <c r="HR271" s="120"/>
      <c r="HS271" s="120"/>
      <c r="HT271" s="120"/>
      <c r="HU271" s="120"/>
      <c r="HV271" s="120"/>
      <c r="HW271" s="120"/>
      <c r="HX271" s="120"/>
      <c r="HY271" s="120"/>
      <c r="HZ271" s="120"/>
      <c r="IA271" s="120"/>
      <c r="IB271" s="120"/>
      <c r="IC271" s="120"/>
      <c r="ID271" s="120"/>
      <c r="IE271" s="120"/>
      <c r="IF271" s="120"/>
      <c r="IG271" s="120"/>
      <c r="IH271" s="120"/>
      <c r="II271" s="120"/>
      <c r="IJ271" s="120"/>
      <c r="IK271" s="120"/>
      <c r="IL271" s="120"/>
      <c r="IM271" s="120"/>
      <c r="IN271" s="120"/>
      <c r="IO271" s="120"/>
      <c r="IP271" s="120"/>
      <c r="IQ271" s="120"/>
      <c r="IR271" s="120"/>
      <c r="IS271" s="120"/>
      <c r="IT271" s="120"/>
      <c r="IU271" s="120"/>
      <c r="IV271" s="120"/>
      <c r="IW271" s="120"/>
      <c r="IX271" s="120"/>
      <c r="IY271" s="120"/>
      <c r="IZ271" s="120"/>
      <c r="JA271" s="120"/>
      <c r="JB271" s="120"/>
      <c r="JC271" s="120"/>
      <c r="JD271" s="120"/>
      <c r="JE271" s="120"/>
      <c r="JF271" s="120"/>
      <c r="JG271" s="120"/>
      <c r="JH271" s="120"/>
      <c r="JI271" s="120"/>
      <c r="JJ271" s="120"/>
      <c r="JK271" s="120"/>
      <c r="JL271" s="120"/>
      <c r="JM271" s="120"/>
      <c r="JN271" s="120"/>
      <c r="JO271" s="120"/>
      <c r="JP271" s="120"/>
      <c r="JQ271" s="120"/>
      <c r="JR271" s="120"/>
      <c r="JS271" s="120"/>
      <c r="JT271" s="120"/>
      <c r="JU271" s="120"/>
      <c r="JV271" s="120"/>
      <c r="JW271" s="120"/>
      <c r="JX271" s="120"/>
      <c r="JY271" s="120"/>
      <c r="JZ271" s="120"/>
      <c r="KA271" s="120"/>
      <c r="KB271" s="120"/>
      <c r="KC271" s="120"/>
      <c r="KD271" s="120"/>
      <c r="KE271" s="120"/>
      <c r="KF271" s="120"/>
      <c r="KG271" s="120"/>
      <c r="KH271" s="120"/>
      <c r="KI271" s="120"/>
      <c r="KJ271" s="120"/>
      <c r="KK271" s="120"/>
      <c r="KL271" s="120"/>
      <c r="KM271" s="120"/>
      <c r="KN271" s="120"/>
      <c r="KO271" s="120"/>
      <c r="KP271" s="120"/>
      <c r="KQ271" s="120"/>
      <c r="KR271" s="120"/>
      <c r="KS271" s="120"/>
      <c r="KT271" s="120"/>
      <c r="KU271" s="120"/>
      <c r="KV271" s="120"/>
      <c r="KW271" s="120"/>
      <c r="KX271" s="120"/>
      <c r="KY271" s="120"/>
      <c r="KZ271" s="120"/>
      <c r="LA271" s="120"/>
      <c r="LB271" s="120"/>
      <c r="LC271" s="120"/>
      <c r="LD271" s="120"/>
      <c r="LE271" s="120"/>
      <c r="LF271" s="120"/>
      <c r="LG271" s="120"/>
      <c r="LH271" s="120"/>
      <c r="LI271" s="120"/>
      <c r="LJ271" s="120"/>
      <c r="LK271" s="120"/>
      <c r="LL271" s="120"/>
      <c r="LM271" s="120"/>
      <c r="LN271" s="120"/>
      <c r="LO271" s="120"/>
      <c r="LP271" s="120"/>
      <c r="LQ271" s="120"/>
      <c r="LR271" s="120"/>
      <c r="LS271" s="120"/>
      <c r="LT271" s="120"/>
      <c r="LU271" s="120"/>
      <c r="LV271" s="120"/>
      <c r="LW271" s="120"/>
      <c r="LX271" s="120"/>
      <c r="LY271" s="120"/>
      <c r="LZ271" s="120"/>
      <c r="MA271" s="120"/>
      <c r="MB271" s="120"/>
      <c r="MC271" s="120"/>
      <c r="MD271" s="120"/>
      <c r="ME271" s="120"/>
      <c r="MF271" s="120"/>
      <c r="MG271" s="120"/>
      <c r="MH271" s="120"/>
      <c r="MI271" s="120"/>
      <c r="MJ271" s="120"/>
      <c r="MK271" s="120"/>
      <c r="ML271" s="120"/>
      <c r="MM271" s="120"/>
      <c r="MN271" s="120"/>
      <c r="MO271" s="120"/>
      <c r="MP271" s="120"/>
      <c r="MQ271" s="120"/>
      <c r="MR271" s="120"/>
      <c r="MS271" s="120"/>
      <c r="MT271" s="120"/>
      <c r="MU271" s="120"/>
      <c r="MV271" s="120"/>
      <c r="MW271" s="120"/>
      <c r="MX271" s="120"/>
      <c r="MY271" s="120"/>
      <c r="MZ271" s="120"/>
      <c r="NA271" s="120"/>
      <c r="NB271" s="120"/>
      <c r="NC271" s="120"/>
      <c r="ND271" s="120"/>
      <c r="NE271" s="120"/>
      <c r="NF271" s="120"/>
      <c r="NG271" s="120"/>
      <c r="NH271" s="120"/>
      <c r="NI271" s="120"/>
      <c r="NJ271" s="120"/>
      <c r="NK271" s="120"/>
      <c r="NL271" s="120"/>
      <c r="NM271" s="120"/>
      <c r="NN271" s="120"/>
      <c r="NO271" s="120"/>
      <c r="NP271" s="120"/>
      <c r="NQ271" s="120"/>
      <c r="NR271" s="120"/>
      <c r="NS271" s="120"/>
      <c r="NT271" s="120"/>
      <c r="NU271" s="120"/>
      <c r="NV271" s="120"/>
      <c r="NW271" s="120"/>
      <c r="NX271" s="120"/>
      <c r="NY271" s="120"/>
      <c r="NZ271" s="120"/>
      <c r="OA271" s="120"/>
      <c r="OB271" s="120"/>
      <c r="OC271" s="120"/>
      <c r="OD271" s="120"/>
      <c r="OE271" s="120"/>
      <c r="OF271" s="120"/>
      <c r="OG271" s="120"/>
      <c r="OH271" s="120"/>
      <c r="OI271" s="120"/>
      <c r="OJ271" s="120"/>
      <c r="OK271" s="120"/>
      <c r="OL271" s="120"/>
      <c r="OM271" s="120"/>
      <c r="ON271" s="120"/>
      <c r="OO271" s="120"/>
      <c r="OP271" s="120"/>
      <c r="OQ271" s="120"/>
      <c r="OR271" s="120"/>
      <c r="OS271" s="120"/>
      <c r="OT271" s="120"/>
      <c r="OU271" s="120"/>
      <c r="OV271" s="120"/>
      <c r="OW271" s="120"/>
      <c r="OX271" s="120"/>
      <c r="OY271" s="120"/>
      <c r="OZ271" s="120"/>
      <c r="PA271" s="120"/>
      <c r="PB271" s="120"/>
      <c r="PC271" s="120"/>
      <c r="PD271" s="120"/>
      <c r="PE271" s="120"/>
      <c r="PF271" s="120"/>
      <c r="PG271" s="120"/>
      <c r="PH271" s="120"/>
      <c r="PI271" s="120"/>
      <c r="PJ271" s="120"/>
      <c r="PK271" s="120"/>
      <c r="PL271" s="120"/>
      <c r="PM271" s="120"/>
      <c r="PN271" s="120"/>
      <c r="PO271" s="120"/>
      <c r="PP271" s="120"/>
      <c r="PQ271" s="120"/>
      <c r="PR271" s="120"/>
      <c r="PS271" s="120"/>
      <c r="PT271" s="120"/>
      <c r="PU271" s="120"/>
      <c r="PV271" s="120"/>
      <c r="PW271" s="120"/>
      <c r="PX271" s="120"/>
      <c r="PY271" s="120"/>
      <c r="PZ271" s="120"/>
      <c r="QA271" s="120"/>
      <c r="QB271" s="120"/>
      <c r="QC271" s="120"/>
      <c r="QD271" s="120"/>
      <c r="QE271" s="120"/>
      <c r="QF271" s="120"/>
      <c r="QG271" s="120"/>
      <c r="QH271" s="120"/>
      <c r="QI271" s="120"/>
      <c r="QJ271" s="120"/>
      <c r="QK271" s="120"/>
      <c r="QL271" s="120"/>
      <c r="QM271" s="120"/>
      <c r="QN271" s="120"/>
      <c r="QO271" s="120"/>
      <c r="QP271" s="120"/>
      <c r="QQ271" s="120"/>
      <c r="QR271" s="120"/>
      <c r="QS271" s="120"/>
      <c r="QT271" s="120"/>
      <c r="QU271" s="120"/>
      <c r="QV271" s="120"/>
      <c r="QW271" s="120"/>
      <c r="QX271" s="120"/>
      <c r="QY271" s="120"/>
      <c r="QZ271" s="120"/>
      <c r="RA271" s="120"/>
      <c r="RB271" s="120"/>
      <c r="RC271" s="120"/>
      <c r="RD271" s="120"/>
      <c r="RE271" s="120"/>
      <c r="RF271" s="120"/>
      <c r="RG271" s="120"/>
      <c r="RH271" s="120"/>
      <c r="RI271" s="120"/>
      <c r="RJ271" s="120"/>
      <c r="RK271" s="120"/>
      <c r="RL271" s="120"/>
      <c r="RM271" s="120"/>
      <c r="RN271" s="120"/>
      <c r="RO271" s="120"/>
      <c r="RP271" s="120"/>
      <c r="RQ271" s="120"/>
      <c r="RR271" s="120"/>
      <c r="RS271" s="120"/>
      <c r="RT271" s="120"/>
      <c r="RU271" s="120"/>
      <c r="RV271" s="120"/>
      <c r="RW271" s="120"/>
      <c r="RX271" s="120"/>
      <c r="RY271" s="120"/>
      <c r="RZ271" s="120"/>
      <c r="SA271" s="120"/>
      <c r="SB271" s="120"/>
      <c r="SC271" s="120"/>
      <c r="SD271" s="120"/>
      <c r="SE271" s="120"/>
      <c r="SF271" s="120"/>
      <c r="SG271" s="120"/>
      <c r="SH271" s="120"/>
      <c r="SI271" s="120"/>
      <c r="SJ271" s="120"/>
      <c r="SK271" s="120"/>
      <c r="SL271" s="120"/>
      <c r="SM271" s="120"/>
      <c r="SN271" s="120"/>
      <c r="SO271" s="120"/>
      <c r="SP271" s="120"/>
      <c r="SQ271" s="120"/>
      <c r="SR271" s="120"/>
      <c r="SS271" s="120"/>
      <c r="ST271" s="120"/>
      <c r="SU271" s="120"/>
      <c r="SV271" s="120"/>
      <c r="SW271" s="120"/>
      <c r="SX271" s="120"/>
      <c r="SY271" s="120"/>
      <c r="SZ271" s="120"/>
      <c r="TA271" s="120"/>
      <c r="TB271" s="120"/>
      <c r="TC271" s="120"/>
      <c r="TD271" s="120"/>
      <c r="TE271" s="120"/>
    </row>
    <row r="272" spans="1:525" s="28" customFormat="1" ht="52.5" customHeight="1" x14ac:dyDescent="0.45">
      <c r="A272" s="53"/>
      <c r="B272" s="58"/>
      <c r="C272" s="58"/>
      <c r="D272" s="160"/>
      <c r="E272" s="129"/>
      <c r="F272" s="129"/>
      <c r="G272" s="129"/>
      <c r="H272" s="129"/>
      <c r="I272" s="129"/>
      <c r="J272" s="149"/>
      <c r="K272" s="129"/>
      <c r="L272" s="129"/>
      <c r="M272" s="129"/>
      <c r="N272" s="129"/>
      <c r="O272" s="129"/>
      <c r="P272" s="194"/>
    </row>
    <row r="273" spans="1:16" s="107" customFormat="1" ht="25.5" customHeight="1" x14ac:dyDescent="0.4">
      <c r="A273" s="188"/>
      <c r="B273" s="188"/>
      <c r="C273" s="108"/>
      <c r="D273" s="161"/>
      <c r="E273" s="150"/>
      <c r="F273" s="150"/>
      <c r="G273" s="150"/>
      <c r="H273" s="150"/>
      <c r="I273" s="150"/>
      <c r="J273" s="162"/>
      <c r="K273" s="150"/>
      <c r="L273" s="150"/>
      <c r="M273" s="150"/>
      <c r="N273" s="150"/>
      <c r="O273" s="150"/>
      <c r="P273" s="194"/>
    </row>
    <row r="274" spans="1:16" s="112" customFormat="1" ht="18.75" customHeight="1" x14ac:dyDescent="0.4">
      <c r="A274" s="109"/>
      <c r="B274" s="110"/>
      <c r="C274" s="111"/>
      <c r="D274" s="162"/>
      <c r="E274" s="162"/>
      <c r="F274" s="162"/>
      <c r="G274" s="162"/>
      <c r="H274" s="162"/>
      <c r="I274" s="162"/>
      <c r="J274" s="153"/>
      <c r="K274" s="162"/>
      <c r="L274" s="162"/>
      <c r="M274" s="162"/>
      <c r="N274" s="162"/>
      <c r="O274" s="162"/>
      <c r="P274" s="194"/>
    </row>
    <row r="275" spans="1:16" x14ac:dyDescent="0.25">
      <c r="P275" s="194"/>
    </row>
    <row r="276" spans="1:16" x14ac:dyDescent="0.25">
      <c r="P276" s="194"/>
    </row>
    <row r="277" spans="1:16" x14ac:dyDescent="0.25">
      <c r="P277" s="194"/>
    </row>
    <row r="278" spans="1:16" x14ac:dyDescent="0.25">
      <c r="P278" s="194"/>
    </row>
    <row r="279" spans="1:16" x14ac:dyDescent="0.25">
      <c r="P279" s="194"/>
    </row>
    <row r="280" spans="1:16" x14ac:dyDescent="0.25">
      <c r="P280" s="194"/>
    </row>
    <row r="281" spans="1:16" x14ac:dyDescent="0.25">
      <c r="P281" s="194"/>
    </row>
    <row r="282" spans="1:16" x14ac:dyDescent="0.25">
      <c r="P282" s="194"/>
    </row>
    <row r="283" spans="1:16" x14ac:dyDescent="0.25">
      <c r="P283" s="194"/>
    </row>
    <row r="284" spans="1:16" x14ac:dyDescent="0.25">
      <c r="P284" s="194"/>
    </row>
    <row r="285" spans="1:16" x14ac:dyDescent="0.25">
      <c r="P285" s="194"/>
    </row>
    <row r="286" spans="1:16" x14ac:dyDescent="0.25">
      <c r="P286" s="194"/>
    </row>
    <row r="287" spans="1:16" x14ac:dyDescent="0.25">
      <c r="P287" s="194"/>
    </row>
    <row r="288" spans="1:16" x14ac:dyDescent="0.25">
      <c r="P288" s="194"/>
    </row>
    <row r="289" spans="16:16" x14ac:dyDescent="0.25">
      <c r="P289" s="194"/>
    </row>
    <row r="290" spans="16:16" x14ac:dyDescent="0.25">
      <c r="P290" s="194"/>
    </row>
    <row r="291" spans="16:16" x14ac:dyDescent="0.25">
      <c r="P291" s="194"/>
    </row>
    <row r="292" spans="16:16" x14ac:dyDescent="0.25">
      <c r="P292" s="194"/>
    </row>
    <row r="293" spans="16:16" x14ac:dyDescent="0.25">
      <c r="P293" s="194"/>
    </row>
    <row r="294" spans="16:16" x14ac:dyDescent="0.25">
      <c r="P294" s="194"/>
    </row>
    <row r="295" spans="16:16" x14ac:dyDescent="0.25">
      <c r="P295" s="194"/>
    </row>
    <row r="296" spans="16:16" x14ac:dyDescent="0.25">
      <c r="P296" s="194"/>
    </row>
    <row r="297" spans="16:16" x14ac:dyDescent="0.25">
      <c r="P297" s="194"/>
    </row>
    <row r="298" spans="16:16" x14ac:dyDescent="0.25">
      <c r="P298" s="194"/>
    </row>
    <row r="299" spans="16:16" x14ac:dyDescent="0.25">
      <c r="P299" s="194"/>
    </row>
    <row r="300" spans="16:16" x14ac:dyDescent="0.25">
      <c r="P300" s="194"/>
    </row>
    <row r="301" spans="16:16" x14ac:dyDescent="0.25">
      <c r="P301" s="194"/>
    </row>
    <row r="302" spans="16:16" x14ac:dyDescent="0.25">
      <c r="P302" s="194"/>
    </row>
    <row r="303" spans="16:16" x14ac:dyDescent="0.25">
      <c r="P303" s="194"/>
    </row>
    <row r="304" spans="16:16" x14ac:dyDescent="0.25">
      <c r="P304" s="194"/>
    </row>
    <row r="305" spans="16:16" x14ac:dyDescent="0.25">
      <c r="P305" s="194"/>
    </row>
    <row r="306" spans="16:16" x14ac:dyDescent="0.25">
      <c r="P306" s="194"/>
    </row>
    <row r="307" spans="16:16" x14ac:dyDescent="0.25">
      <c r="P307" s="194"/>
    </row>
    <row r="308" spans="16:16" x14ac:dyDescent="0.25">
      <c r="P308" s="194"/>
    </row>
    <row r="309" spans="16:16" x14ac:dyDescent="0.25">
      <c r="P309" s="194"/>
    </row>
    <row r="310" spans="16:16" x14ac:dyDescent="0.25">
      <c r="P310" s="194"/>
    </row>
    <row r="311" spans="16:16" x14ac:dyDescent="0.25">
      <c r="P311" s="194"/>
    </row>
    <row r="312" spans="16:16" x14ac:dyDescent="0.25">
      <c r="P312" s="194"/>
    </row>
    <row r="313" spans="16:16" x14ac:dyDescent="0.25">
      <c r="P313" s="194"/>
    </row>
  </sheetData>
  <mergeCells count="26">
    <mergeCell ref="P224:P260"/>
    <mergeCell ref="P261:P313"/>
    <mergeCell ref="P1:P47"/>
    <mergeCell ref="P48:P89"/>
    <mergeCell ref="P90:P127"/>
    <mergeCell ref="P128:P164"/>
    <mergeCell ref="P167:P223"/>
    <mergeCell ref="A5:O5"/>
    <mergeCell ref="B9:B11"/>
    <mergeCell ref="C9:C11"/>
    <mergeCell ref="A9:A11"/>
    <mergeCell ref="D10:D11"/>
    <mergeCell ref="L10:M10"/>
    <mergeCell ref="F10:G10"/>
    <mergeCell ref="E10:E11"/>
    <mergeCell ref="D9:H9"/>
    <mergeCell ref="K10:K11"/>
    <mergeCell ref="H10:H11"/>
    <mergeCell ref="I10:I11"/>
    <mergeCell ref="N10:N11"/>
    <mergeCell ref="J10:J11"/>
    <mergeCell ref="A273:B273"/>
    <mergeCell ref="O9:O11"/>
    <mergeCell ref="I9:N9"/>
    <mergeCell ref="A6:O6"/>
    <mergeCell ref="A7:O7"/>
  </mergeCells>
  <phoneticPr fontId="3" type="noConversion"/>
  <printOptions horizontalCentered="1"/>
  <pageMargins left="0" right="0" top="0.86614173228346458" bottom="0.59055118110236227" header="0" footer="0.31496062992125984"/>
  <pageSetup paperSize="9" scale="43" fitToHeight="100" orientation="landscape" verticalDpi="300" r:id="rId1"/>
  <headerFooter differentFirst="1" scaleWithDoc="0" alignWithMargins="0">
    <oddHeader>&amp;RПродовження додатку</oddHeader>
  </headerFooter>
  <rowBreaks count="2" manualBreakCount="2">
    <brk id="195" max="15" man="1"/>
    <brk id="2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7</vt:lpstr>
      <vt:lpstr>'дод 3'!Заголовки_для_печати</vt:lpstr>
      <vt:lpstr>'дод 7'!Заголовки_для_печати</vt:lpstr>
      <vt:lpstr>'дод 3'!Область_печати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2022-05-25T09:18:53Z</cp:lastPrinted>
  <dcterms:created xsi:type="dcterms:W3CDTF">2014-01-17T10:52:16Z</dcterms:created>
  <dcterms:modified xsi:type="dcterms:W3CDTF">2022-05-27T10:19:36Z</dcterms:modified>
</cp:coreProperties>
</file>