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лешка\ріш СМР март\Доопрацьовано\"/>
    </mc:Choice>
  </mc:AlternateContent>
  <xr:revisionPtr revIDLastSave="0" documentId="13_ncr:1_{FF369E21-11C3-4060-A3B5-096F84C18825}" xr6:coauthVersionLast="47" xr6:coauthVersionMax="47" xr10:uidLastSave="{00000000-0000-0000-0000-000000000000}"/>
  <bookViews>
    <workbookView xWindow="-120" yWindow="-120" windowWidth="20730" windowHeight="11160" tabRatio="488" activeTab="1" xr2:uid="{00000000-000D-0000-FFFF-FFFF00000000}"/>
  </bookViews>
  <sheets>
    <sheet name="дод 2" sheetId="1" r:id="rId1"/>
    <sheet name="дод 3" sheetId="3" r:id="rId2"/>
  </sheets>
  <definedNames>
    <definedName name="_xlnm.Print_Titles" localSheetId="0">'дод 2'!$14:$16</definedName>
    <definedName name="_xlnm.Print_Titles" localSheetId="1">'дод 3'!$14:$16</definedName>
    <definedName name="_xlnm.Print_Area" localSheetId="0">'дод 2'!$A$1:$P$346</definedName>
    <definedName name="_xlnm.Print_Area" localSheetId="1">'дод 3'!$A$1:$O$272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9" i="3" l="1"/>
  <c r="F249" i="3"/>
  <c r="G249" i="3"/>
  <c r="H249" i="3"/>
  <c r="J249" i="3"/>
  <c r="K249" i="3"/>
  <c r="L249" i="3"/>
  <c r="M249" i="3"/>
  <c r="N249" i="3"/>
  <c r="E64" i="1"/>
  <c r="E168" i="1"/>
  <c r="D249" i="3" s="1"/>
  <c r="E211" i="1"/>
  <c r="H170" i="1"/>
  <c r="I170" i="1"/>
  <c r="L170" i="1"/>
  <c r="M170" i="1"/>
  <c r="N170" i="1"/>
  <c r="J211" i="1"/>
  <c r="P211" i="1" s="1"/>
  <c r="E335" i="1"/>
  <c r="H134" i="1"/>
  <c r="I134" i="1"/>
  <c r="L134" i="1"/>
  <c r="M134" i="1"/>
  <c r="N134" i="1"/>
  <c r="J168" i="1"/>
  <c r="P168" i="1" s="1"/>
  <c r="L18" i="1"/>
  <c r="M18" i="1"/>
  <c r="N18" i="1"/>
  <c r="J64" i="1"/>
  <c r="I249" i="3" s="1"/>
  <c r="P64" i="1" l="1"/>
  <c r="O249" i="3" s="1"/>
  <c r="P150" i="1"/>
  <c r="F57" i="1"/>
  <c r="F65" i="1" l="1"/>
  <c r="O291" i="1" l="1"/>
  <c r="K291" i="1"/>
  <c r="O254" i="1" l="1"/>
  <c r="K254" i="1"/>
  <c r="O298" i="1" l="1"/>
  <c r="K298" i="1"/>
  <c r="O255" i="1"/>
  <c r="K255" i="1"/>
  <c r="N87" i="3" l="1"/>
  <c r="M87" i="3"/>
  <c r="L87" i="3"/>
  <c r="K87" i="3"/>
  <c r="J87" i="3"/>
  <c r="H87" i="3"/>
  <c r="G87" i="3"/>
  <c r="F87" i="3"/>
  <c r="N283" i="1"/>
  <c r="M283" i="1"/>
  <c r="L283" i="1"/>
  <c r="I283" i="1"/>
  <c r="H283" i="1"/>
  <c r="J290" i="1"/>
  <c r="P290" i="1" s="1"/>
  <c r="F42" i="1"/>
  <c r="G39" i="1" l="1"/>
  <c r="N191" i="3" l="1"/>
  <c r="M191" i="3"/>
  <c r="L191" i="3"/>
  <c r="K191" i="3"/>
  <c r="J191" i="3"/>
  <c r="H191" i="3"/>
  <c r="G191" i="3"/>
  <c r="F191" i="3"/>
  <c r="E191" i="3"/>
  <c r="F40" i="1" l="1"/>
  <c r="F39" i="1"/>
  <c r="F249" i="1"/>
  <c r="O39" i="1"/>
  <c r="K39" i="1"/>
  <c r="F37" i="1"/>
  <c r="H57" i="1" l="1"/>
  <c r="H18" i="1" s="1"/>
  <c r="G97" i="1" l="1"/>
  <c r="O83" i="1"/>
  <c r="K83" i="1"/>
  <c r="O82" i="1"/>
  <c r="K82" i="1"/>
  <c r="O287" i="1" l="1"/>
  <c r="O297" i="1" l="1"/>
  <c r="K297" i="1"/>
  <c r="F207" i="1"/>
  <c r="F30" i="1"/>
  <c r="F29" i="1"/>
  <c r="O294" i="1"/>
  <c r="K294" i="1"/>
  <c r="O249" i="1"/>
  <c r="K249" i="1"/>
  <c r="J167" i="3" s="1"/>
  <c r="K231" i="1"/>
  <c r="O231" i="1"/>
  <c r="O227" i="1"/>
  <c r="K227" i="1"/>
  <c r="O226" i="1"/>
  <c r="K226" i="1"/>
  <c r="O164" i="1"/>
  <c r="K164" i="1"/>
  <c r="O161" i="1"/>
  <c r="O134" i="1" s="1"/>
  <c r="K161" i="1"/>
  <c r="K134" i="1" s="1"/>
  <c r="O126" i="1"/>
  <c r="K126" i="1"/>
  <c r="O81" i="1"/>
  <c r="K81" i="1"/>
  <c r="O304" i="1"/>
  <c r="K304" i="1"/>
  <c r="N45" i="3"/>
  <c r="M45" i="3"/>
  <c r="L45" i="3"/>
  <c r="K45" i="3"/>
  <c r="J45" i="3"/>
  <c r="H45" i="3"/>
  <c r="G45" i="3"/>
  <c r="J289" i="1"/>
  <c r="E289" i="1"/>
  <c r="N38" i="3"/>
  <c r="M38" i="3"/>
  <c r="L38" i="3"/>
  <c r="K38" i="3"/>
  <c r="J38" i="3"/>
  <c r="H38" i="3"/>
  <c r="J288" i="1"/>
  <c r="E288" i="1"/>
  <c r="K287" i="1"/>
  <c r="F97" i="1"/>
  <c r="G59" i="1"/>
  <c r="F59" i="1"/>
  <c r="O283" i="1" l="1"/>
  <c r="K283" i="1"/>
  <c r="P288" i="1"/>
  <c r="P289" i="1"/>
  <c r="G286" i="1"/>
  <c r="G283" i="1" s="1"/>
  <c r="F286" i="1"/>
  <c r="F283" i="1" s="1"/>
  <c r="G329" i="1"/>
  <c r="F329" i="1"/>
  <c r="G321" i="1"/>
  <c r="F321" i="1"/>
  <c r="G318" i="1"/>
  <c r="F318" i="1"/>
  <c r="G310" i="1"/>
  <c r="F310" i="1"/>
  <c r="G281" i="1"/>
  <c r="F281" i="1"/>
  <c r="G241" i="1"/>
  <c r="F241" i="1"/>
  <c r="G224" i="1"/>
  <c r="F224" i="1"/>
  <c r="G216" i="1"/>
  <c r="F216" i="1"/>
  <c r="G176" i="1"/>
  <c r="G170" i="1" s="1"/>
  <c r="F176" i="1"/>
  <c r="G142" i="1"/>
  <c r="G134" i="1" s="1"/>
  <c r="F142" i="1"/>
  <c r="G80" i="1"/>
  <c r="F80" i="1"/>
  <c r="G21" i="1"/>
  <c r="F21" i="1"/>
  <c r="N260" i="3" l="1"/>
  <c r="M260" i="3"/>
  <c r="L260" i="3"/>
  <c r="K260" i="3"/>
  <c r="J260" i="3"/>
  <c r="H260" i="3"/>
  <c r="G260" i="3"/>
  <c r="F260" i="3"/>
  <c r="E260" i="3"/>
  <c r="N234" i="1"/>
  <c r="M234" i="1"/>
  <c r="I234" i="1"/>
  <c r="G234" i="1"/>
  <c r="J277" i="1"/>
  <c r="I260" i="3" s="1"/>
  <c r="E277" i="1"/>
  <c r="D260" i="3" s="1"/>
  <c r="P277" i="1" l="1"/>
  <c r="O260" i="3" s="1"/>
  <c r="G34" i="1"/>
  <c r="M36" i="3" l="1"/>
  <c r="L36" i="3"/>
  <c r="K36" i="3"/>
  <c r="H36" i="3"/>
  <c r="F81" i="1"/>
  <c r="E36" i="3" s="1"/>
  <c r="F34" i="1"/>
  <c r="F229" i="1" l="1"/>
  <c r="F225" i="1"/>
  <c r="F143" i="1"/>
  <c r="F82" i="1"/>
  <c r="E38" i="3" s="1"/>
  <c r="N36" i="3"/>
  <c r="J36" i="3"/>
  <c r="F41" i="1"/>
  <c r="J287" i="1"/>
  <c r="E287" i="1"/>
  <c r="E87" i="3" l="1"/>
  <c r="P287" i="1"/>
  <c r="O246" i="1"/>
  <c r="K246" i="1"/>
  <c r="O244" i="1"/>
  <c r="K244" i="1"/>
  <c r="F84" i="1"/>
  <c r="F38" i="1"/>
  <c r="F18" i="1" s="1"/>
  <c r="O30" i="1" l="1"/>
  <c r="K30" i="1"/>
  <c r="G30" i="1"/>
  <c r="G18" i="1" s="1"/>
  <c r="O270" i="1" l="1"/>
  <c r="O234" i="1" s="1"/>
  <c r="K270" i="1"/>
  <c r="K234" i="1" s="1"/>
  <c r="J256" i="1"/>
  <c r="J257" i="1"/>
  <c r="J258" i="1"/>
  <c r="J259" i="1"/>
  <c r="G82" i="1"/>
  <c r="F38" i="3" s="1"/>
  <c r="G120" i="1"/>
  <c r="F120" i="1"/>
  <c r="G81" i="1" l="1"/>
  <c r="F36" i="3" s="1"/>
  <c r="F98" i="1"/>
  <c r="F253" i="1"/>
  <c r="F234" i="1" s="1"/>
  <c r="O97" i="1" l="1"/>
  <c r="K97" i="1"/>
  <c r="H106" i="1" l="1"/>
  <c r="F106" i="1"/>
  <c r="H82" i="1"/>
  <c r="G38" i="3" s="1"/>
  <c r="F151" i="1" l="1"/>
  <c r="F134" i="1" s="1"/>
  <c r="G84" i="1"/>
  <c r="G83" i="1"/>
  <c r="F45" i="3" s="1"/>
  <c r="F83" i="1"/>
  <c r="E45" i="3" s="1"/>
  <c r="K84" i="1" l="1"/>
  <c r="F188" i="1" l="1"/>
  <c r="O188" i="1"/>
  <c r="K188" i="1"/>
  <c r="I48" i="1" l="1"/>
  <c r="I18" i="1" s="1"/>
  <c r="L128" i="1" l="1"/>
  <c r="L275" i="1" l="1"/>
  <c r="L234" i="1" s="1"/>
  <c r="F85" i="1" l="1"/>
  <c r="E336" i="1" l="1"/>
  <c r="H249" i="1" l="1"/>
  <c r="H234" i="1" s="1"/>
  <c r="H81" i="1" l="1"/>
  <c r="G36" i="3" s="1"/>
  <c r="F183" i="1" l="1"/>
  <c r="F180" i="1"/>
  <c r="F170" i="1" s="1"/>
  <c r="F218" i="1" l="1"/>
  <c r="E62" i="3" l="1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F67" i="1"/>
  <c r="G67" i="1"/>
  <c r="H67" i="1"/>
  <c r="I67" i="1"/>
  <c r="K67" i="1"/>
  <c r="L67" i="1"/>
  <c r="M67" i="1"/>
  <c r="N67" i="1"/>
  <c r="O67" i="1"/>
  <c r="F68" i="1"/>
  <c r="G68" i="1"/>
  <c r="H68" i="1"/>
  <c r="I68" i="1"/>
  <c r="K68" i="1"/>
  <c r="L68" i="1"/>
  <c r="M68" i="1"/>
  <c r="N68" i="1"/>
  <c r="O68" i="1"/>
  <c r="J98" i="1"/>
  <c r="I62" i="3" s="1"/>
  <c r="J99" i="1"/>
  <c r="I63" i="3" s="1"/>
  <c r="J100" i="1"/>
  <c r="I64" i="3" s="1"/>
  <c r="E98" i="1"/>
  <c r="D62" i="3" s="1"/>
  <c r="E99" i="1"/>
  <c r="D63" i="3" s="1"/>
  <c r="E100" i="1"/>
  <c r="D64" i="3" s="1"/>
  <c r="D99" i="1"/>
  <c r="D98" i="1"/>
  <c r="D90" i="1"/>
  <c r="E101" i="1"/>
  <c r="P98" i="1" l="1"/>
  <c r="O62" i="3" s="1"/>
  <c r="P100" i="1"/>
  <c r="P99" i="1"/>
  <c r="O63" i="3" s="1"/>
  <c r="O64" i="3" l="1"/>
  <c r="D177" i="1" l="1"/>
  <c r="D189" i="1"/>
  <c r="D193" i="1"/>
  <c r="D197" i="1"/>
  <c r="D209" i="1"/>
  <c r="D225" i="1"/>
  <c r="D230" i="1"/>
  <c r="D241" i="1"/>
  <c r="D252" i="1"/>
  <c r="D254" i="1"/>
  <c r="D255" i="1"/>
  <c r="D292" i="1"/>
  <c r="D294" i="1"/>
  <c r="D295" i="1"/>
  <c r="D296" i="1"/>
  <c r="D297" i="1"/>
  <c r="D298" i="1"/>
  <c r="D304" i="1"/>
  <c r="D312" i="1"/>
  <c r="D314" i="1"/>
  <c r="D329" i="1"/>
  <c r="D321" i="1"/>
  <c r="D318" i="1"/>
  <c r="D310" i="1"/>
  <c r="D286" i="1"/>
  <c r="D281" i="1"/>
  <c r="D224" i="1"/>
  <c r="D216" i="1"/>
  <c r="D176" i="1"/>
  <c r="D160" i="1"/>
  <c r="D151" i="1"/>
  <c r="D148" i="1"/>
  <c r="D143" i="1"/>
  <c r="D142" i="1"/>
  <c r="D131" i="1"/>
  <c r="D128" i="1"/>
  <c r="D122" i="1"/>
  <c r="D120" i="1"/>
  <c r="D118" i="1"/>
  <c r="D110" i="1"/>
  <c r="D107" i="1"/>
  <c r="D106" i="1"/>
  <c r="D104" i="1"/>
  <c r="D103" i="1"/>
  <c r="D102" i="1"/>
  <c r="D101" i="1"/>
  <c r="D97" i="1"/>
  <c r="D88" i="1"/>
  <c r="D85" i="1"/>
  <c r="D84" i="1"/>
  <c r="D83" i="1"/>
  <c r="D82" i="1"/>
  <c r="D81" i="1"/>
  <c r="D80" i="1"/>
  <c r="D53" i="1"/>
  <c r="D51" i="1"/>
  <c r="D50" i="1"/>
  <c r="D48" i="1"/>
  <c r="D45" i="1"/>
  <c r="D44" i="1"/>
  <c r="D43" i="1"/>
  <c r="D41" i="1"/>
  <c r="D40" i="1"/>
  <c r="D39" i="1"/>
  <c r="D38" i="1"/>
  <c r="D37" i="1"/>
  <c r="D36" i="1"/>
  <c r="D35" i="1"/>
  <c r="D34" i="1"/>
  <c r="D32" i="1"/>
  <c r="D31" i="1"/>
  <c r="D30" i="1"/>
  <c r="D28" i="1"/>
  <c r="D26" i="1"/>
  <c r="D21" i="1"/>
  <c r="E19" i="3" l="1"/>
  <c r="F19" i="3"/>
  <c r="G19" i="3"/>
  <c r="H19" i="3"/>
  <c r="K19" i="3"/>
  <c r="L19" i="3"/>
  <c r="M19" i="3"/>
  <c r="E144" i="3"/>
  <c r="F144" i="3"/>
  <c r="G144" i="3"/>
  <c r="H144" i="3"/>
  <c r="J144" i="3"/>
  <c r="K144" i="3"/>
  <c r="L144" i="3"/>
  <c r="M144" i="3"/>
  <c r="N144" i="3"/>
  <c r="F214" i="1"/>
  <c r="G214" i="1"/>
  <c r="H214" i="1"/>
  <c r="I214" i="1"/>
  <c r="L214" i="1"/>
  <c r="M214" i="1"/>
  <c r="N214" i="1"/>
  <c r="J219" i="1"/>
  <c r="E219" i="1"/>
  <c r="E30" i="1"/>
  <c r="P219" i="1" l="1"/>
  <c r="F309" i="1"/>
  <c r="G309" i="1"/>
  <c r="H309" i="1"/>
  <c r="I309" i="1"/>
  <c r="L309" i="1"/>
  <c r="M309" i="1"/>
  <c r="N309" i="1"/>
  <c r="J312" i="1"/>
  <c r="E312" i="1"/>
  <c r="E168" i="3"/>
  <c r="F168" i="3"/>
  <c r="G168" i="3"/>
  <c r="H168" i="3"/>
  <c r="J168" i="3"/>
  <c r="K168" i="3"/>
  <c r="L168" i="3"/>
  <c r="M168" i="3"/>
  <c r="N168" i="3"/>
  <c r="J252" i="1"/>
  <c r="I168" i="3" s="1"/>
  <c r="E252" i="1"/>
  <c r="P252" i="1" l="1"/>
  <c r="O168" i="3" s="1"/>
  <c r="P312" i="1"/>
  <c r="D168" i="3"/>
  <c r="E221" i="3"/>
  <c r="F221" i="3"/>
  <c r="G221" i="3"/>
  <c r="H221" i="3"/>
  <c r="J221" i="3"/>
  <c r="K221" i="3"/>
  <c r="L221" i="3"/>
  <c r="M221" i="3"/>
  <c r="N221" i="3"/>
  <c r="J210" i="1"/>
  <c r="E210" i="1"/>
  <c r="E126" i="3"/>
  <c r="F126" i="3"/>
  <c r="G126" i="3"/>
  <c r="H126" i="3"/>
  <c r="J126" i="3"/>
  <c r="K126" i="3"/>
  <c r="L126" i="3"/>
  <c r="M126" i="3"/>
  <c r="N126" i="3"/>
  <c r="J189" i="1"/>
  <c r="E189" i="1"/>
  <c r="E119" i="1"/>
  <c r="P210" i="1" l="1"/>
  <c r="P189" i="1"/>
  <c r="E243" i="3"/>
  <c r="F243" i="3"/>
  <c r="G243" i="3"/>
  <c r="H243" i="3"/>
  <c r="J243" i="3"/>
  <c r="K243" i="3"/>
  <c r="L243" i="3"/>
  <c r="M243" i="3"/>
  <c r="N243" i="3"/>
  <c r="O225" i="1"/>
  <c r="E125" i="3" l="1"/>
  <c r="F125" i="3"/>
  <c r="G125" i="3"/>
  <c r="H125" i="3"/>
  <c r="J125" i="3"/>
  <c r="K125" i="3"/>
  <c r="L125" i="3"/>
  <c r="M125" i="3"/>
  <c r="N125" i="3"/>
  <c r="D125" i="3"/>
  <c r="J30" i="1"/>
  <c r="I125" i="3" s="1"/>
  <c r="O53" i="1"/>
  <c r="E187" i="3"/>
  <c r="F187" i="3"/>
  <c r="G187" i="3"/>
  <c r="H187" i="3"/>
  <c r="J187" i="3"/>
  <c r="K187" i="3"/>
  <c r="L187" i="3"/>
  <c r="M187" i="3"/>
  <c r="N187" i="3"/>
  <c r="J43" i="1"/>
  <c r="J44" i="1"/>
  <c r="O21" i="1"/>
  <c r="O18" i="1" s="1"/>
  <c r="K21" i="1"/>
  <c r="K18" i="1" s="1"/>
  <c r="P30" i="1" l="1"/>
  <c r="O125" i="3" s="1"/>
  <c r="P43" i="1"/>
  <c r="K175" i="1"/>
  <c r="O175" i="1"/>
  <c r="F138" i="1" l="1"/>
  <c r="F140" i="1"/>
  <c r="M196" i="3" l="1"/>
  <c r="L196" i="3"/>
  <c r="K196" i="3"/>
  <c r="H196" i="3"/>
  <c r="G196" i="3"/>
  <c r="F196" i="3"/>
  <c r="E196" i="3"/>
  <c r="M195" i="3"/>
  <c r="L195" i="3"/>
  <c r="K195" i="3"/>
  <c r="H195" i="3"/>
  <c r="G195" i="3"/>
  <c r="F195" i="3"/>
  <c r="E195" i="3"/>
  <c r="O284" i="1"/>
  <c r="N284" i="1"/>
  <c r="M284" i="1"/>
  <c r="L284" i="1"/>
  <c r="K284" i="1"/>
  <c r="I284" i="1"/>
  <c r="H284" i="1"/>
  <c r="G284" i="1"/>
  <c r="F284" i="1"/>
  <c r="E302" i="1"/>
  <c r="E284" i="1" s="1"/>
  <c r="J302" i="1"/>
  <c r="N195" i="3"/>
  <c r="J195" i="3"/>
  <c r="N196" i="3"/>
  <c r="J196" i="3" l="1"/>
  <c r="P302" i="1"/>
  <c r="P284" i="1" s="1"/>
  <c r="J284" i="1"/>
  <c r="F261" i="3" l="1"/>
  <c r="G261" i="3"/>
  <c r="H261" i="3"/>
  <c r="K261" i="3"/>
  <c r="L261" i="3"/>
  <c r="M261" i="3"/>
  <c r="J62" i="1"/>
  <c r="J63" i="1"/>
  <c r="E63" i="1"/>
  <c r="J253" i="1"/>
  <c r="P63" i="1" l="1"/>
  <c r="E169" i="3" l="1"/>
  <c r="F169" i="3"/>
  <c r="G169" i="3"/>
  <c r="H169" i="3"/>
  <c r="J169" i="3"/>
  <c r="K169" i="3"/>
  <c r="L169" i="3"/>
  <c r="M169" i="3"/>
  <c r="N169" i="3"/>
  <c r="E170" i="3"/>
  <c r="F170" i="3"/>
  <c r="G170" i="3"/>
  <c r="H170" i="3"/>
  <c r="J170" i="3"/>
  <c r="K170" i="3"/>
  <c r="L170" i="3"/>
  <c r="M170" i="3"/>
  <c r="N170" i="3"/>
  <c r="F238" i="1"/>
  <c r="G238" i="1"/>
  <c r="H238" i="1"/>
  <c r="I238" i="1"/>
  <c r="K238" i="1"/>
  <c r="L238" i="1"/>
  <c r="M238" i="1"/>
  <c r="N238" i="1"/>
  <c r="O238" i="1"/>
  <c r="J251" i="1" l="1"/>
  <c r="E251" i="1"/>
  <c r="J250" i="1"/>
  <c r="E250" i="1"/>
  <c r="P251" i="1" l="1"/>
  <c r="P250" i="1"/>
  <c r="P238" i="1" s="1"/>
  <c r="E238" i="1"/>
  <c r="J238" i="1"/>
  <c r="O176" i="1" l="1"/>
  <c r="O170" i="1" s="1"/>
  <c r="K176" i="1"/>
  <c r="K170" i="1" s="1"/>
  <c r="N54" i="3" l="1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J91" i="1"/>
  <c r="I54" i="3" s="1"/>
  <c r="J90" i="1"/>
  <c r="I53" i="3" s="1"/>
  <c r="E91" i="1"/>
  <c r="E90" i="1"/>
  <c r="J84" i="1"/>
  <c r="I47" i="3" s="1"/>
  <c r="E84" i="1"/>
  <c r="P84" i="1" l="1"/>
  <c r="O47" i="3" s="1"/>
  <c r="P91" i="1"/>
  <c r="O54" i="3" s="1"/>
  <c r="P90" i="1"/>
  <c r="O53" i="3" s="1"/>
  <c r="D47" i="3"/>
  <c r="D53" i="3"/>
  <c r="D54" i="3"/>
  <c r="N215" i="3"/>
  <c r="N203" i="3" s="1"/>
  <c r="M215" i="3"/>
  <c r="M203" i="3" s="1"/>
  <c r="L215" i="3"/>
  <c r="L203" i="3" s="1"/>
  <c r="K215" i="3"/>
  <c r="K203" i="3" s="1"/>
  <c r="J215" i="3"/>
  <c r="J203" i="3" s="1"/>
  <c r="H215" i="3"/>
  <c r="H203" i="3" s="1"/>
  <c r="G215" i="3"/>
  <c r="G203" i="3" s="1"/>
  <c r="F215" i="3"/>
  <c r="F203" i="3" s="1"/>
  <c r="E215" i="3"/>
  <c r="E203" i="3" s="1"/>
  <c r="N214" i="3"/>
  <c r="M214" i="3"/>
  <c r="L214" i="3"/>
  <c r="K214" i="3"/>
  <c r="J214" i="3"/>
  <c r="H214" i="3"/>
  <c r="G214" i="3"/>
  <c r="F214" i="3"/>
  <c r="E214" i="3"/>
  <c r="N198" i="3"/>
  <c r="M198" i="3"/>
  <c r="L198" i="3"/>
  <c r="K198" i="3"/>
  <c r="J198" i="3"/>
  <c r="H198" i="3"/>
  <c r="G198" i="3"/>
  <c r="F198" i="3"/>
  <c r="E198" i="3"/>
  <c r="N197" i="3"/>
  <c r="M197" i="3"/>
  <c r="L197" i="3"/>
  <c r="K197" i="3"/>
  <c r="J197" i="3"/>
  <c r="H197" i="3"/>
  <c r="G197" i="3"/>
  <c r="F197" i="3"/>
  <c r="E197" i="3"/>
  <c r="O140" i="1" l="1"/>
  <c r="N140" i="1"/>
  <c r="M140" i="1"/>
  <c r="L140" i="1"/>
  <c r="K140" i="1"/>
  <c r="I140" i="1"/>
  <c r="H140" i="1"/>
  <c r="G140" i="1"/>
  <c r="N90" i="3"/>
  <c r="M90" i="3"/>
  <c r="L90" i="3"/>
  <c r="K90" i="3"/>
  <c r="J90" i="3"/>
  <c r="H90" i="3"/>
  <c r="G90" i="3"/>
  <c r="F90" i="3"/>
  <c r="E90" i="3"/>
  <c r="N185" i="3"/>
  <c r="M185" i="3"/>
  <c r="L185" i="3"/>
  <c r="K185" i="3"/>
  <c r="J185" i="3"/>
  <c r="J182" i="3" s="1"/>
  <c r="H185" i="3"/>
  <c r="G185" i="3"/>
  <c r="F185" i="3"/>
  <c r="E185" i="3"/>
  <c r="N75" i="3"/>
  <c r="N35" i="3" s="1"/>
  <c r="M75" i="3"/>
  <c r="M35" i="3" s="1"/>
  <c r="L75" i="3"/>
  <c r="L35" i="3" s="1"/>
  <c r="K75" i="3"/>
  <c r="K35" i="3" s="1"/>
  <c r="J75" i="3"/>
  <c r="J35" i="3" s="1"/>
  <c r="H75" i="3"/>
  <c r="H35" i="3" s="1"/>
  <c r="G75" i="3"/>
  <c r="G35" i="3" s="1"/>
  <c r="F75" i="3"/>
  <c r="F35" i="3" s="1"/>
  <c r="E75" i="3"/>
  <c r="E35" i="3" s="1"/>
  <c r="O239" i="1"/>
  <c r="N239" i="1"/>
  <c r="M239" i="1"/>
  <c r="L239" i="1"/>
  <c r="K239" i="1"/>
  <c r="I239" i="1"/>
  <c r="H239" i="1"/>
  <c r="G239" i="1"/>
  <c r="F239" i="1"/>
  <c r="J262" i="1"/>
  <c r="I198" i="3" s="1"/>
  <c r="J261" i="1"/>
  <c r="I197" i="3" s="1"/>
  <c r="E262" i="1"/>
  <c r="E261" i="1"/>
  <c r="D197" i="3" s="1"/>
  <c r="J267" i="1"/>
  <c r="I215" i="3" s="1"/>
  <c r="I203" i="3" s="1"/>
  <c r="E267" i="1"/>
  <c r="D215" i="3" s="1"/>
  <c r="D203" i="3" s="1"/>
  <c r="J266" i="1"/>
  <c r="I214" i="3" s="1"/>
  <c r="E266" i="1"/>
  <c r="D214" i="3" s="1"/>
  <c r="O79" i="1"/>
  <c r="N79" i="1"/>
  <c r="M79" i="1"/>
  <c r="L79" i="1"/>
  <c r="K79" i="1"/>
  <c r="I79" i="1"/>
  <c r="H79" i="1"/>
  <c r="G79" i="1"/>
  <c r="F79" i="1"/>
  <c r="E123" i="1"/>
  <c r="D185" i="3" s="1"/>
  <c r="J123" i="1"/>
  <c r="I185" i="3" s="1"/>
  <c r="J111" i="1"/>
  <c r="I75" i="3" s="1"/>
  <c r="I35" i="3" s="1"/>
  <c r="E111" i="1"/>
  <c r="D75" i="3" s="1"/>
  <c r="D35" i="3" s="1"/>
  <c r="E239" i="1" l="1"/>
  <c r="D198" i="3"/>
  <c r="D182" i="3" s="1"/>
  <c r="D176" i="3" s="1"/>
  <c r="F182" i="3"/>
  <c r="F176" i="3" s="1"/>
  <c r="H182" i="3"/>
  <c r="H176" i="3" s="1"/>
  <c r="K182" i="3"/>
  <c r="K176" i="3" s="1"/>
  <c r="M182" i="3"/>
  <c r="M176" i="3" s="1"/>
  <c r="I182" i="3"/>
  <c r="I176" i="3" s="1"/>
  <c r="E182" i="3"/>
  <c r="E176" i="3" s="1"/>
  <c r="G182" i="3"/>
  <c r="G176" i="3" s="1"/>
  <c r="J176" i="3"/>
  <c r="L182" i="3"/>
  <c r="L176" i="3" s="1"/>
  <c r="N182" i="3"/>
  <c r="N176" i="3" s="1"/>
  <c r="P262" i="1"/>
  <c r="O198" i="3" s="1"/>
  <c r="J239" i="1"/>
  <c r="P266" i="1"/>
  <c r="O214" i="3" s="1"/>
  <c r="P267" i="1"/>
  <c r="O215" i="3" s="1"/>
  <c r="O203" i="3" s="1"/>
  <c r="P261" i="1"/>
  <c r="O197" i="3" s="1"/>
  <c r="P123" i="1"/>
  <c r="O185" i="3" s="1"/>
  <c r="P111" i="1"/>
  <c r="O75" i="3" s="1"/>
  <c r="O35" i="3" s="1"/>
  <c r="O182" i="3" l="1"/>
  <c r="O176" i="3" s="1"/>
  <c r="P239" i="1"/>
  <c r="N175" i="1" l="1"/>
  <c r="M175" i="1"/>
  <c r="L175" i="1"/>
  <c r="I175" i="1"/>
  <c r="H175" i="1"/>
  <c r="G175" i="1"/>
  <c r="F175" i="1"/>
  <c r="O174" i="1"/>
  <c r="N174" i="1"/>
  <c r="M174" i="1"/>
  <c r="L174" i="1"/>
  <c r="K174" i="1"/>
  <c r="I174" i="1"/>
  <c r="H174" i="1"/>
  <c r="G174" i="1"/>
  <c r="F174" i="1"/>
  <c r="O173" i="1"/>
  <c r="N173" i="1"/>
  <c r="M173" i="1"/>
  <c r="L173" i="1"/>
  <c r="K173" i="1"/>
  <c r="I173" i="1"/>
  <c r="H173" i="1"/>
  <c r="G173" i="1"/>
  <c r="J131" i="1" l="1"/>
  <c r="E131" i="1"/>
  <c r="P131" i="1" l="1"/>
  <c r="N206" i="3" l="1"/>
  <c r="M206" i="3"/>
  <c r="L206" i="3"/>
  <c r="K206" i="3"/>
  <c r="J206" i="3"/>
  <c r="H206" i="3"/>
  <c r="G206" i="3"/>
  <c r="F206" i="3"/>
  <c r="E206" i="3"/>
  <c r="N259" i="3"/>
  <c r="M259" i="3"/>
  <c r="L259" i="3"/>
  <c r="K259" i="3"/>
  <c r="J259" i="3"/>
  <c r="H259" i="3"/>
  <c r="G259" i="3"/>
  <c r="F259" i="3"/>
  <c r="E259" i="3"/>
  <c r="M188" i="3"/>
  <c r="L188" i="3"/>
  <c r="K188" i="3"/>
  <c r="H188" i="3"/>
  <c r="G188" i="3"/>
  <c r="F188" i="3"/>
  <c r="E188" i="3"/>
  <c r="N261" i="3" l="1"/>
  <c r="J261" i="3"/>
  <c r="E261" i="3"/>
  <c r="J276" i="1"/>
  <c r="I259" i="3" s="1"/>
  <c r="E276" i="1"/>
  <c r="D259" i="3" s="1"/>
  <c r="N74" i="3"/>
  <c r="M74" i="3"/>
  <c r="L74" i="3"/>
  <c r="K74" i="3"/>
  <c r="J74" i="3"/>
  <c r="H74" i="3"/>
  <c r="G74" i="3"/>
  <c r="F74" i="3"/>
  <c r="E74" i="3"/>
  <c r="N71" i="3"/>
  <c r="M71" i="3"/>
  <c r="L71" i="3"/>
  <c r="K71" i="3"/>
  <c r="J71" i="3"/>
  <c r="H71" i="3"/>
  <c r="G71" i="3"/>
  <c r="F71" i="3"/>
  <c r="E71" i="3"/>
  <c r="J110" i="1"/>
  <c r="E110" i="1"/>
  <c r="D74" i="3" s="1"/>
  <c r="J107" i="1"/>
  <c r="I71" i="3" s="1"/>
  <c r="E107" i="1"/>
  <c r="D71" i="3" s="1"/>
  <c r="J48" i="1"/>
  <c r="I206" i="3" s="1"/>
  <c r="E48" i="1"/>
  <c r="D206" i="3" s="1"/>
  <c r="O77" i="1"/>
  <c r="N77" i="1"/>
  <c r="M77" i="1"/>
  <c r="L77" i="1"/>
  <c r="K77" i="1"/>
  <c r="I77" i="1"/>
  <c r="H77" i="1"/>
  <c r="G77" i="1"/>
  <c r="F77" i="1"/>
  <c r="O76" i="1"/>
  <c r="N76" i="1"/>
  <c r="M76" i="1"/>
  <c r="L76" i="1"/>
  <c r="K76" i="1"/>
  <c r="I76" i="1"/>
  <c r="H76" i="1"/>
  <c r="G76" i="1"/>
  <c r="F76" i="1"/>
  <c r="N156" i="3"/>
  <c r="N152" i="3" s="1"/>
  <c r="M156" i="3"/>
  <c r="M152" i="3" s="1"/>
  <c r="L156" i="3"/>
  <c r="L152" i="3" s="1"/>
  <c r="K156" i="3"/>
  <c r="K152" i="3" s="1"/>
  <c r="J156" i="3"/>
  <c r="J152" i="3" s="1"/>
  <c r="H156" i="3"/>
  <c r="H152" i="3" s="1"/>
  <c r="G156" i="3"/>
  <c r="G152" i="3" s="1"/>
  <c r="F156" i="3"/>
  <c r="F152" i="3" s="1"/>
  <c r="E156" i="3"/>
  <c r="E152" i="3" s="1"/>
  <c r="N140" i="3"/>
  <c r="N109" i="3" s="1"/>
  <c r="M140" i="3"/>
  <c r="M109" i="3" s="1"/>
  <c r="L140" i="3"/>
  <c r="L109" i="3" s="1"/>
  <c r="K140" i="3"/>
  <c r="K109" i="3" s="1"/>
  <c r="J140" i="3"/>
  <c r="J109" i="3" s="1"/>
  <c r="H140" i="3"/>
  <c r="H109" i="3" s="1"/>
  <c r="G140" i="3"/>
  <c r="G109" i="3" s="1"/>
  <c r="F140" i="3"/>
  <c r="F109" i="3" s="1"/>
  <c r="E140" i="3"/>
  <c r="E109" i="3" s="1"/>
  <c r="N139" i="3"/>
  <c r="M139" i="3"/>
  <c r="L139" i="3"/>
  <c r="K139" i="3"/>
  <c r="J139" i="3"/>
  <c r="H139" i="3"/>
  <c r="G139" i="3"/>
  <c r="F139" i="3"/>
  <c r="E139" i="3"/>
  <c r="J296" i="1"/>
  <c r="E296" i="1"/>
  <c r="N188" i="3"/>
  <c r="J188" i="3"/>
  <c r="P110" i="1" l="1"/>
  <c r="O74" i="3" s="1"/>
  <c r="P276" i="1"/>
  <c r="O259" i="3" s="1"/>
  <c r="P296" i="1"/>
  <c r="P48" i="1"/>
  <c r="O206" i="3" s="1"/>
  <c r="I74" i="3"/>
  <c r="P107" i="1"/>
  <c r="O71" i="3" s="1"/>
  <c r="J203" i="1"/>
  <c r="J175" i="1" s="1"/>
  <c r="E203" i="1"/>
  <c r="J202" i="1"/>
  <c r="I139" i="3" s="1"/>
  <c r="E202" i="1"/>
  <c r="J121" i="1"/>
  <c r="J79" i="1" s="1"/>
  <c r="E121" i="1"/>
  <c r="E79" i="1" s="1"/>
  <c r="N77" i="3"/>
  <c r="N34" i="3" s="1"/>
  <c r="M77" i="3"/>
  <c r="M34" i="3" s="1"/>
  <c r="L77" i="3"/>
  <c r="L34" i="3" s="1"/>
  <c r="K77" i="3"/>
  <c r="K34" i="3" s="1"/>
  <c r="J77" i="3"/>
  <c r="J34" i="3" s="1"/>
  <c r="H77" i="3"/>
  <c r="H34" i="3" s="1"/>
  <c r="G77" i="3"/>
  <c r="G34" i="3" s="1"/>
  <c r="F77" i="3"/>
  <c r="F34" i="3" s="1"/>
  <c r="E77" i="3"/>
  <c r="E34" i="3" s="1"/>
  <c r="N76" i="3"/>
  <c r="M76" i="3"/>
  <c r="L76" i="3"/>
  <c r="K76" i="3"/>
  <c r="J76" i="3"/>
  <c r="H76" i="3"/>
  <c r="G76" i="3"/>
  <c r="F76" i="3"/>
  <c r="E76" i="3"/>
  <c r="N73" i="3"/>
  <c r="N33" i="3" s="1"/>
  <c r="M73" i="3"/>
  <c r="M33" i="3" s="1"/>
  <c r="L73" i="3"/>
  <c r="L33" i="3" s="1"/>
  <c r="K73" i="3"/>
  <c r="K33" i="3" s="1"/>
  <c r="J73" i="3"/>
  <c r="J33" i="3" s="1"/>
  <c r="H73" i="3"/>
  <c r="H33" i="3" s="1"/>
  <c r="G73" i="3"/>
  <c r="G33" i="3" s="1"/>
  <c r="F73" i="3"/>
  <c r="F33" i="3" s="1"/>
  <c r="E73" i="3"/>
  <c r="E33" i="3" s="1"/>
  <c r="N72" i="3"/>
  <c r="M72" i="3"/>
  <c r="L72" i="3"/>
  <c r="K72" i="3"/>
  <c r="J72" i="3"/>
  <c r="H72" i="3"/>
  <c r="G72" i="3"/>
  <c r="F72" i="3"/>
  <c r="E72" i="3"/>
  <c r="E113" i="1"/>
  <c r="E112" i="1"/>
  <c r="D76" i="3" s="1"/>
  <c r="E109" i="1"/>
  <c r="E108" i="1"/>
  <c r="D72" i="3" s="1"/>
  <c r="J113" i="1"/>
  <c r="J112" i="1"/>
  <c r="P112" i="1" s="1"/>
  <c r="O76" i="3" s="1"/>
  <c r="J109" i="1"/>
  <c r="J108" i="1"/>
  <c r="P108" i="1" s="1"/>
  <c r="O72" i="3" s="1"/>
  <c r="D140" i="3" l="1"/>
  <c r="D109" i="3" s="1"/>
  <c r="E175" i="1"/>
  <c r="I140" i="3"/>
  <c r="I109" i="3" s="1"/>
  <c r="I156" i="3"/>
  <c r="I152" i="3" s="1"/>
  <c r="P109" i="1"/>
  <c r="J77" i="1"/>
  <c r="P113" i="1"/>
  <c r="J76" i="1"/>
  <c r="D73" i="3"/>
  <c r="D33" i="3" s="1"/>
  <c r="E77" i="1"/>
  <c r="D77" i="3"/>
  <c r="D34" i="3" s="1"/>
  <c r="E76" i="1"/>
  <c r="P121" i="1"/>
  <c r="P79" i="1" s="1"/>
  <c r="D156" i="3"/>
  <c r="D152" i="3" s="1"/>
  <c r="P202" i="1"/>
  <c r="O139" i="3" s="1"/>
  <c r="D139" i="3"/>
  <c r="P203" i="1"/>
  <c r="I72" i="3"/>
  <c r="I76" i="3"/>
  <c r="I73" i="3"/>
  <c r="I33" i="3" s="1"/>
  <c r="I77" i="3"/>
  <c r="I34" i="3" s="1"/>
  <c r="O140" i="3" l="1"/>
  <c r="O109" i="3" s="1"/>
  <c r="P175" i="1"/>
  <c r="O156" i="3"/>
  <c r="O152" i="3" s="1"/>
  <c r="O77" i="3"/>
  <c r="O34" i="3" s="1"/>
  <c r="P76" i="1"/>
  <c r="O73" i="3"/>
  <c r="O33" i="3" s="1"/>
  <c r="P77" i="1"/>
  <c r="E253" i="3"/>
  <c r="E252" i="3" s="1"/>
  <c r="F253" i="3"/>
  <c r="F252" i="3" s="1"/>
  <c r="G253" i="3"/>
  <c r="G252" i="3" s="1"/>
  <c r="H253" i="3"/>
  <c r="H252" i="3" s="1"/>
  <c r="J253" i="3"/>
  <c r="J252" i="3" s="1"/>
  <c r="K253" i="3"/>
  <c r="K252" i="3" s="1"/>
  <c r="L253" i="3"/>
  <c r="L252" i="3" s="1"/>
  <c r="M253" i="3"/>
  <c r="M252" i="3" s="1"/>
  <c r="N253" i="3"/>
  <c r="N252" i="3" s="1"/>
  <c r="E256" i="3"/>
  <c r="E254" i="3" s="1"/>
  <c r="F256" i="3"/>
  <c r="F254" i="3" s="1"/>
  <c r="G256" i="3"/>
  <c r="G254" i="3" s="1"/>
  <c r="H256" i="3"/>
  <c r="H254" i="3" s="1"/>
  <c r="J256" i="3"/>
  <c r="J254" i="3" s="1"/>
  <c r="K256" i="3"/>
  <c r="K254" i="3" s="1"/>
  <c r="L256" i="3"/>
  <c r="L254" i="3" s="1"/>
  <c r="M256" i="3"/>
  <c r="M254" i="3" s="1"/>
  <c r="N256" i="3"/>
  <c r="N254" i="3" s="1"/>
  <c r="E257" i="3"/>
  <c r="E255" i="3" s="1"/>
  <c r="E251" i="3" s="1"/>
  <c r="F257" i="3"/>
  <c r="F255" i="3" s="1"/>
  <c r="F251" i="3" s="1"/>
  <c r="G257" i="3"/>
  <c r="G255" i="3" s="1"/>
  <c r="G251" i="3" s="1"/>
  <c r="H257" i="3"/>
  <c r="H255" i="3" s="1"/>
  <c r="H251" i="3" s="1"/>
  <c r="J257" i="3"/>
  <c r="J255" i="3" s="1"/>
  <c r="J251" i="3" s="1"/>
  <c r="K257" i="3"/>
  <c r="K255" i="3" s="1"/>
  <c r="K251" i="3" s="1"/>
  <c r="L257" i="3"/>
  <c r="L255" i="3" s="1"/>
  <c r="L251" i="3" s="1"/>
  <c r="M257" i="3"/>
  <c r="M255" i="3" s="1"/>
  <c r="M251" i="3" s="1"/>
  <c r="N257" i="3"/>
  <c r="N255" i="3" s="1"/>
  <c r="N251" i="3" s="1"/>
  <c r="F262" i="3"/>
  <c r="G262" i="3"/>
  <c r="H262" i="3"/>
  <c r="J262" i="3"/>
  <c r="K262" i="3"/>
  <c r="L262" i="3"/>
  <c r="M262" i="3"/>
  <c r="N262" i="3"/>
  <c r="L258" i="3" l="1"/>
  <c r="G258" i="3"/>
  <c r="G250" i="3" s="1"/>
  <c r="M258" i="3"/>
  <c r="M250" i="3" s="1"/>
  <c r="K258" i="3"/>
  <c r="K250" i="3" s="1"/>
  <c r="H258" i="3"/>
  <c r="H250" i="3" s="1"/>
  <c r="F258" i="3"/>
  <c r="F250" i="3" s="1"/>
  <c r="L250" i="3"/>
  <c r="E262" i="3" l="1"/>
  <c r="N199" i="3" l="1"/>
  <c r="M199" i="3"/>
  <c r="L199" i="3"/>
  <c r="K199" i="3"/>
  <c r="J199" i="3"/>
  <c r="H199" i="3"/>
  <c r="G199" i="3"/>
  <c r="F199" i="3"/>
  <c r="O237" i="1"/>
  <c r="N237" i="1"/>
  <c r="M237" i="1"/>
  <c r="L237" i="1"/>
  <c r="K237" i="1"/>
  <c r="I237" i="1"/>
  <c r="H237" i="1"/>
  <c r="G237" i="1"/>
  <c r="F237" i="1"/>
  <c r="E199" i="3"/>
  <c r="O313" i="1"/>
  <c r="K313" i="1"/>
  <c r="K309" i="1" s="1"/>
  <c r="J314" i="1"/>
  <c r="O139" i="1"/>
  <c r="N139" i="1"/>
  <c r="M139" i="1"/>
  <c r="L139" i="1"/>
  <c r="K139" i="1"/>
  <c r="I139" i="1"/>
  <c r="H139" i="1"/>
  <c r="G139" i="1"/>
  <c r="F139" i="1"/>
  <c r="O78" i="1"/>
  <c r="N78" i="1"/>
  <c r="M78" i="1"/>
  <c r="L78" i="1"/>
  <c r="K78" i="1"/>
  <c r="I78" i="1"/>
  <c r="H78" i="1"/>
  <c r="G78" i="1"/>
  <c r="F78" i="1"/>
  <c r="E125" i="1"/>
  <c r="E124" i="1"/>
  <c r="J125" i="1"/>
  <c r="J124" i="1"/>
  <c r="O281" i="1"/>
  <c r="K281" i="1"/>
  <c r="O309" i="1" l="1"/>
  <c r="J313" i="1"/>
  <c r="E78" i="1"/>
  <c r="P125" i="1"/>
  <c r="E314" i="1"/>
  <c r="P314" i="1" s="1"/>
  <c r="P124" i="1"/>
  <c r="J78" i="1"/>
  <c r="P78" i="1" l="1"/>
  <c r="N258" i="3"/>
  <c r="N250" i="3" s="1"/>
  <c r="J258" i="3"/>
  <c r="J250" i="3" s="1"/>
  <c r="F75" i="1"/>
  <c r="N56" i="3" l="1"/>
  <c r="N26" i="3" s="1"/>
  <c r="M56" i="3"/>
  <c r="M26" i="3" s="1"/>
  <c r="L56" i="3"/>
  <c r="L26" i="3" s="1"/>
  <c r="K56" i="3"/>
  <c r="K26" i="3" s="1"/>
  <c r="J56" i="3"/>
  <c r="J26" i="3" s="1"/>
  <c r="H56" i="3"/>
  <c r="H26" i="3" s="1"/>
  <c r="G56" i="3"/>
  <c r="G26" i="3" s="1"/>
  <c r="F56" i="3"/>
  <c r="F26" i="3" s="1"/>
  <c r="E56" i="3"/>
  <c r="E26" i="3" s="1"/>
  <c r="O70" i="1"/>
  <c r="N70" i="1"/>
  <c r="M70" i="1"/>
  <c r="L70" i="1"/>
  <c r="K70" i="1"/>
  <c r="I70" i="1"/>
  <c r="H70" i="1"/>
  <c r="G70" i="1"/>
  <c r="F70" i="1"/>
  <c r="J93" i="1"/>
  <c r="I56" i="3" s="1"/>
  <c r="I26" i="3" s="1"/>
  <c r="E93" i="1"/>
  <c r="D56" i="3" s="1"/>
  <c r="D26" i="3" s="1"/>
  <c r="N21" i="3"/>
  <c r="M21" i="3"/>
  <c r="L21" i="3"/>
  <c r="K21" i="3"/>
  <c r="J21" i="3"/>
  <c r="H21" i="3"/>
  <c r="G21" i="3"/>
  <c r="F21" i="3"/>
  <c r="E21" i="3"/>
  <c r="J242" i="1"/>
  <c r="E242" i="1"/>
  <c r="O217" i="1"/>
  <c r="K217" i="1"/>
  <c r="O216" i="1"/>
  <c r="K216" i="1"/>
  <c r="O214" i="1" l="1"/>
  <c r="N19" i="3"/>
  <c r="K214" i="1"/>
  <c r="J19" i="3"/>
  <c r="P242" i="1"/>
  <c r="P93" i="1"/>
  <c r="E70" i="1"/>
  <c r="J70" i="1"/>
  <c r="N212" i="3"/>
  <c r="M212" i="3"/>
  <c r="L212" i="3"/>
  <c r="K212" i="3"/>
  <c r="J212" i="3"/>
  <c r="H212" i="3"/>
  <c r="G212" i="3"/>
  <c r="F212" i="3"/>
  <c r="E212" i="3"/>
  <c r="N213" i="3"/>
  <c r="N202" i="3" s="1"/>
  <c r="M213" i="3"/>
  <c r="M202" i="3" s="1"/>
  <c r="L213" i="3"/>
  <c r="L202" i="3" s="1"/>
  <c r="K213" i="3"/>
  <c r="K202" i="3" s="1"/>
  <c r="J213" i="3"/>
  <c r="J202" i="3" s="1"/>
  <c r="H213" i="3"/>
  <c r="H202" i="3" s="1"/>
  <c r="G213" i="3"/>
  <c r="G202" i="3" s="1"/>
  <c r="F213" i="3"/>
  <c r="F202" i="3" s="1"/>
  <c r="E213" i="3"/>
  <c r="E202" i="3" s="1"/>
  <c r="N58" i="3"/>
  <c r="M58" i="3"/>
  <c r="L58" i="3"/>
  <c r="K58" i="3"/>
  <c r="J58" i="3"/>
  <c r="H58" i="3"/>
  <c r="G58" i="3"/>
  <c r="F58" i="3"/>
  <c r="E58" i="3"/>
  <c r="N59" i="3"/>
  <c r="M59" i="3"/>
  <c r="L59" i="3"/>
  <c r="K59" i="3"/>
  <c r="J59" i="3"/>
  <c r="H59" i="3"/>
  <c r="G59" i="3"/>
  <c r="F59" i="3"/>
  <c r="E59" i="3"/>
  <c r="N75" i="1"/>
  <c r="M75" i="1"/>
  <c r="L75" i="1"/>
  <c r="I75" i="1"/>
  <c r="H75" i="1"/>
  <c r="G75" i="1"/>
  <c r="J130" i="1"/>
  <c r="I257" i="3" s="1"/>
  <c r="I255" i="3" s="1"/>
  <c r="I251" i="3" s="1"/>
  <c r="J129" i="1"/>
  <c r="I256" i="3" s="1"/>
  <c r="I254" i="3" s="1"/>
  <c r="E130" i="1"/>
  <c r="E129" i="1"/>
  <c r="J96" i="1"/>
  <c r="I59" i="3" s="1"/>
  <c r="J95" i="1"/>
  <c r="I58" i="3" s="1"/>
  <c r="E96" i="1"/>
  <c r="P96" i="1" s="1"/>
  <c r="O59" i="3" s="1"/>
  <c r="E95" i="1"/>
  <c r="P95" i="1" s="1"/>
  <c r="O58" i="3" s="1"/>
  <c r="O75" i="1"/>
  <c r="K75" i="1"/>
  <c r="P129" i="1" l="1"/>
  <c r="O256" i="3" s="1"/>
  <c r="O254" i="3" s="1"/>
  <c r="P130" i="1"/>
  <c r="O257" i="3" s="1"/>
  <c r="O255" i="3" s="1"/>
  <c r="O251" i="3" s="1"/>
  <c r="D257" i="3"/>
  <c r="D255" i="3" s="1"/>
  <c r="D251" i="3" s="1"/>
  <c r="D59" i="3"/>
  <c r="O56" i="3"/>
  <c r="O26" i="3" s="1"/>
  <c r="P70" i="1"/>
  <c r="D58" i="3"/>
  <c r="D256" i="3"/>
  <c r="D254" i="3" s="1"/>
  <c r="J177" i="1" l="1"/>
  <c r="E177" i="1" l="1"/>
  <c r="P177" i="1" s="1"/>
  <c r="N57" i="3" l="1"/>
  <c r="N32" i="3" s="1"/>
  <c r="M57" i="3"/>
  <c r="M32" i="3" s="1"/>
  <c r="L57" i="3"/>
  <c r="L32" i="3" s="1"/>
  <c r="K57" i="3"/>
  <c r="K32" i="3" s="1"/>
  <c r="J57" i="3"/>
  <c r="J32" i="3" s="1"/>
  <c r="H57" i="3"/>
  <c r="H32" i="3" s="1"/>
  <c r="G57" i="3"/>
  <c r="G32" i="3" s="1"/>
  <c r="F57" i="3"/>
  <c r="F32" i="3" s="1"/>
  <c r="E57" i="3"/>
  <c r="E32" i="3" s="1"/>
  <c r="J94" i="1"/>
  <c r="J75" i="1" s="1"/>
  <c r="E94" i="1"/>
  <c r="E75" i="1" s="1"/>
  <c r="E258" i="3" l="1"/>
  <c r="E250" i="3" s="1"/>
  <c r="P94" i="1"/>
  <c r="P75" i="1" s="1"/>
  <c r="D57" i="3"/>
  <c r="D32" i="3" s="1"/>
  <c r="I57" i="3"/>
  <c r="I32" i="3" s="1"/>
  <c r="O57" i="3" l="1"/>
  <c r="O32" i="3" s="1"/>
  <c r="F173" i="1"/>
  <c r="N184" i="3" l="1"/>
  <c r="M184" i="3"/>
  <c r="L184" i="3"/>
  <c r="K184" i="3"/>
  <c r="J184" i="3"/>
  <c r="H184" i="3"/>
  <c r="G184" i="3"/>
  <c r="F184" i="3"/>
  <c r="E184" i="3"/>
  <c r="K138" i="1" l="1"/>
  <c r="N55" i="3" l="1"/>
  <c r="M55" i="3"/>
  <c r="L55" i="3"/>
  <c r="K55" i="3"/>
  <c r="J55" i="3"/>
  <c r="H55" i="3"/>
  <c r="G55" i="3"/>
  <c r="F55" i="3"/>
  <c r="E55" i="3"/>
  <c r="J92" i="1"/>
  <c r="I55" i="3" s="1"/>
  <c r="E92" i="1"/>
  <c r="J307" i="1"/>
  <c r="E307" i="1"/>
  <c r="D55" i="3" l="1"/>
  <c r="P307" i="1"/>
  <c r="P92" i="1"/>
  <c r="O55" i="3" s="1"/>
  <c r="J132" i="1"/>
  <c r="E132" i="1" l="1"/>
  <c r="N81" i="3"/>
  <c r="N31" i="3" s="1"/>
  <c r="M81" i="3"/>
  <c r="M31" i="3" s="1"/>
  <c r="L81" i="3"/>
  <c r="L31" i="3" s="1"/>
  <c r="K81" i="3"/>
  <c r="K31" i="3" s="1"/>
  <c r="J81" i="3"/>
  <c r="J31" i="3" s="1"/>
  <c r="H81" i="3"/>
  <c r="H31" i="3" s="1"/>
  <c r="G81" i="3"/>
  <c r="G31" i="3" s="1"/>
  <c r="F81" i="3"/>
  <c r="F31" i="3" s="1"/>
  <c r="E81" i="3"/>
  <c r="E31" i="3" s="1"/>
  <c r="N80" i="3"/>
  <c r="M80" i="3"/>
  <c r="L80" i="3"/>
  <c r="K80" i="3"/>
  <c r="J80" i="3"/>
  <c r="H80" i="3"/>
  <c r="G80" i="3"/>
  <c r="F80" i="3"/>
  <c r="E80" i="3"/>
  <c r="O74" i="1"/>
  <c r="N74" i="1"/>
  <c r="M74" i="1"/>
  <c r="L74" i="1"/>
  <c r="K74" i="1"/>
  <c r="I74" i="1"/>
  <c r="H74" i="1"/>
  <c r="G74" i="1"/>
  <c r="F74" i="1"/>
  <c r="J117" i="1"/>
  <c r="I81" i="3" s="1"/>
  <c r="I31" i="3" s="1"/>
  <c r="J116" i="1"/>
  <c r="I80" i="3" s="1"/>
  <c r="E117" i="1"/>
  <c r="P117" i="1" s="1"/>
  <c r="O81" i="3" s="1"/>
  <c r="O31" i="3" s="1"/>
  <c r="E116" i="1"/>
  <c r="P116" i="1" s="1"/>
  <c r="O80" i="3" s="1"/>
  <c r="D81" i="3" l="1"/>
  <c r="D31" i="3" s="1"/>
  <c r="E74" i="1"/>
  <c r="P132" i="1"/>
  <c r="D80" i="3"/>
  <c r="J74" i="1"/>
  <c r="P74" i="1"/>
  <c r="N61" i="3" l="1"/>
  <c r="M61" i="3"/>
  <c r="L61" i="3"/>
  <c r="K61" i="3"/>
  <c r="J61" i="3"/>
  <c r="H61" i="3"/>
  <c r="G61" i="3"/>
  <c r="F61" i="3"/>
  <c r="E61" i="3"/>
  <c r="E225" i="1"/>
  <c r="J225" i="1"/>
  <c r="I61" i="3" s="1"/>
  <c r="D61" i="3" l="1"/>
  <c r="P225" i="1"/>
  <c r="O61" i="3" s="1"/>
  <c r="N231" i="3" l="1"/>
  <c r="M231" i="3"/>
  <c r="L231" i="3"/>
  <c r="K231" i="3"/>
  <c r="J231" i="3"/>
  <c r="H231" i="3"/>
  <c r="G231" i="3"/>
  <c r="F231" i="3"/>
  <c r="E231" i="3"/>
  <c r="E127" i="1"/>
  <c r="D231" i="3" s="1"/>
  <c r="J127" i="1"/>
  <c r="I231" i="3" s="1"/>
  <c r="N155" i="3"/>
  <c r="M155" i="3"/>
  <c r="L155" i="3"/>
  <c r="K155" i="3"/>
  <c r="J155" i="3"/>
  <c r="H155" i="3"/>
  <c r="G155" i="3"/>
  <c r="F155" i="3"/>
  <c r="E155" i="3"/>
  <c r="N79" i="3"/>
  <c r="N29" i="3" s="1"/>
  <c r="M79" i="3"/>
  <c r="M29" i="3" s="1"/>
  <c r="L79" i="3"/>
  <c r="L29" i="3" s="1"/>
  <c r="K79" i="3"/>
  <c r="K29" i="3" s="1"/>
  <c r="J79" i="3"/>
  <c r="J29" i="3" s="1"/>
  <c r="H79" i="3"/>
  <c r="H29" i="3" s="1"/>
  <c r="G79" i="3"/>
  <c r="G29" i="3" s="1"/>
  <c r="F79" i="3"/>
  <c r="F29" i="3" s="1"/>
  <c r="E79" i="3"/>
  <c r="E29" i="3" s="1"/>
  <c r="N78" i="3"/>
  <c r="M78" i="3"/>
  <c r="L78" i="3"/>
  <c r="K78" i="3"/>
  <c r="J78" i="3"/>
  <c r="H78" i="3"/>
  <c r="G78" i="3"/>
  <c r="F78" i="3"/>
  <c r="E78" i="3"/>
  <c r="N70" i="3"/>
  <c r="M70" i="3"/>
  <c r="L70" i="3"/>
  <c r="K70" i="3"/>
  <c r="J70" i="3"/>
  <c r="H70" i="3"/>
  <c r="G70" i="3"/>
  <c r="F70" i="3"/>
  <c r="E70" i="3"/>
  <c r="B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6" i="3"/>
  <c r="M66" i="3"/>
  <c r="L66" i="3"/>
  <c r="K66" i="3"/>
  <c r="J66" i="3"/>
  <c r="H66" i="3"/>
  <c r="G66" i="3"/>
  <c r="F66" i="3"/>
  <c r="E66" i="3"/>
  <c r="N65" i="3"/>
  <c r="M65" i="3"/>
  <c r="L65" i="3"/>
  <c r="K65" i="3"/>
  <c r="J65" i="3"/>
  <c r="H65" i="3"/>
  <c r="G65" i="3"/>
  <c r="F65" i="3"/>
  <c r="E65" i="3"/>
  <c r="N60" i="3"/>
  <c r="M60" i="3"/>
  <c r="L60" i="3"/>
  <c r="K60" i="3"/>
  <c r="J60" i="3"/>
  <c r="H60" i="3"/>
  <c r="G60" i="3"/>
  <c r="F60" i="3"/>
  <c r="E60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N27" i="3" s="1"/>
  <c r="M50" i="3"/>
  <c r="M27" i="3" s="1"/>
  <c r="L50" i="3"/>
  <c r="L27" i="3" s="1"/>
  <c r="K50" i="3"/>
  <c r="K27" i="3" s="1"/>
  <c r="J50" i="3"/>
  <c r="J27" i="3" s="1"/>
  <c r="H50" i="3"/>
  <c r="H27" i="3" s="1"/>
  <c r="G50" i="3"/>
  <c r="G27" i="3" s="1"/>
  <c r="F50" i="3"/>
  <c r="F27" i="3" s="1"/>
  <c r="E50" i="3"/>
  <c r="E27" i="3" s="1"/>
  <c r="N49" i="3"/>
  <c r="M49" i="3"/>
  <c r="L49" i="3"/>
  <c r="K49" i="3"/>
  <c r="J49" i="3"/>
  <c r="H49" i="3"/>
  <c r="G49" i="3"/>
  <c r="F49" i="3"/>
  <c r="E49" i="3"/>
  <c r="N48" i="3"/>
  <c r="M48" i="3"/>
  <c r="L48" i="3"/>
  <c r="K48" i="3"/>
  <c r="J48" i="3"/>
  <c r="H48" i="3"/>
  <c r="G48" i="3"/>
  <c r="F48" i="3"/>
  <c r="E48" i="3"/>
  <c r="K24" i="3" l="1"/>
  <c r="M24" i="3"/>
  <c r="E25" i="3"/>
  <c r="G25" i="3"/>
  <c r="J25" i="3"/>
  <c r="L25" i="3"/>
  <c r="N25" i="3"/>
  <c r="H24" i="3"/>
  <c r="L24" i="3"/>
  <c r="F25" i="3"/>
  <c r="H25" i="3"/>
  <c r="K25" i="3"/>
  <c r="M25" i="3"/>
  <c r="F24" i="3"/>
  <c r="J24" i="3"/>
  <c r="N24" i="3"/>
  <c r="G24" i="3"/>
  <c r="E24" i="3"/>
  <c r="P127" i="1"/>
  <c r="O231" i="3" s="1"/>
  <c r="J128" i="1"/>
  <c r="J126" i="1"/>
  <c r="J122" i="1"/>
  <c r="J120" i="1"/>
  <c r="J119" i="1"/>
  <c r="J118" i="1"/>
  <c r="E128" i="1"/>
  <c r="E126" i="1"/>
  <c r="E122" i="1"/>
  <c r="E120" i="1"/>
  <c r="E118" i="1"/>
  <c r="P118" i="1" l="1"/>
  <c r="P120" i="1"/>
  <c r="P126" i="1"/>
  <c r="P122" i="1"/>
  <c r="P128" i="1"/>
  <c r="P119" i="1"/>
  <c r="O73" i="1"/>
  <c r="N73" i="1"/>
  <c r="M73" i="1"/>
  <c r="L73" i="1"/>
  <c r="K73" i="1"/>
  <c r="I73" i="1"/>
  <c r="H73" i="1"/>
  <c r="G73" i="1"/>
  <c r="F73" i="1"/>
  <c r="O71" i="1"/>
  <c r="N71" i="1"/>
  <c r="M71" i="1"/>
  <c r="L71" i="1"/>
  <c r="K71" i="1"/>
  <c r="I71" i="1"/>
  <c r="H71" i="1"/>
  <c r="G71" i="1"/>
  <c r="F71" i="1"/>
  <c r="J105" i="1"/>
  <c r="I69" i="3" s="1"/>
  <c r="E105" i="1"/>
  <c r="D69" i="3" s="1"/>
  <c r="J89" i="1"/>
  <c r="I52" i="3" s="1"/>
  <c r="E89" i="1"/>
  <c r="D52" i="3" s="1"/>
  <c r="P105" i="1" l="1"/>
  <c r="O69" i="3" s="1"/>
  <c r="P89" i="1"/>
  <c r="O52" i="3" s="1"/>
  <c r="D227" i="1" l="1"/>
  <c r="D58" i="1" l="1"/>
  <c r="N228" i="3" l="1"/>
  <c r="M228" i="3"/>
  <c r="L228" i="3"/>
  <c r="K228" i="3"/>
  <c r="J228" i="3"/>
  <c r="H228" i="3"/>
  <c r="G228" i="3"/>
  <c r="F228" i="3"/>
  <c r="E228" i="3"/>
  <c r="N189" i="3"/>
  <c r="N192" i="3"/>
  <c r="M192" i="3"/>
  <c r="L192" i="3"/>
  <c r="K192" i="3"/>
  <c r="J192" i="3"/>
  <c r="H192" i="3"/>
  <c r="G192" i="3"/>
  <c r="F192" i="3"/>
  <c r="E192" i="3"/>
  <c r="O223" i="1"/>
  <c r="N223" i="1"/>
  <c r="M223" i="1"/>
  <c r="L223" i="1"/>
  <c r="K223" i="1"/>
  <c r="I223" i="1"/>
  <c r="H223" i="1"/>
  <c r="G223" i="1"/>
  <c r="F223" i="1"/>
  <c r="N226" i="3"/>
  <c r="M226" i="3"/>
  <c r="L226" i="3"/>
  <c r="K226" i="3"/>
  <c r="J226" i="3"/>
  <c r="H226" i="3"/>
  <c r="G226" i="3"/>
  <c r="F226" i="3"/>
  <c r="E226" i="3"/>
  <c r="O240" i="1"/>
  <c r="N240" i="1"/>
  <c r="M240" i="1"/>
  <c r="L240" i="1"/>
  <c r="K240" i="1"/>
  <c r="I240" i="1"/>
  <c r="H240" i="1"/>
  <c r="G240" i="1"/>
  <c r="F240" i="1"/>
  <c r="E313" i="1"/>
  <c r="E271" i="1"/>
  <c r="D226" i="3" s="1"/>
  <c r="J271" i="1"/>
  <c r="I226" i="3" s="1"/>
  <c r="E230" i="1"/>
  <c r="D188" i="3" s="1"/>
  <c r="J230" i="1"/>
  <c r="I188" i="3" s="1"/>
  <c r="D192" i="3" l="1"/>
  <c r="I192" i="3"/>
  <c r="P230" i="1"/>
  <c r="O188" i="3" s="1"/>
  <c r="P271" i="1"/>
  <c r="E240" i="1"/>
  <c r="P313" i="1"/>
  <c r="J240" i="1"/>
  <c r="E20" i="3"/>
  <c r="F20" i="3"/>
  <c r="G20" i="3"/>
  <c r="H20" i="3"/>
  <c r="J20" i="3"/>
  <c r="K20" i="3"/>
  <c r="L20" i="3"/>
  <c r="M20" i="3"/>
  <c r="N20" i="3"/>
  <c r="O192" i="3" l="1"/>
  <c r="O226" i="3"/>
  <c r="P240" i="1"/>
  <c r="N211" i="3"/>
  <c r="M211" i="3"/>
  <c r="L211" i="3"/>
  <c r="K211" i="3"/>
  <c r="J211" i="3"/>
  <c r="H211" i="3"/>
  <c r="G211" i="3"/>
  <c r="F211" i="3"/>
  <c r="E211" i="3"/>
  <c r="J50" i="1" l="1"/>
  <c r="I211" i="3" s="1"/>
  <c r="E50" i="1"/>
  <c r="J22" i="1"/>
  <c r="I20" i="3" s="1"/>
  <c r="E22" i="1"/>
  <c r="D211" i="3" l="1"/>
  <c r="P50" i="1"/>
  <c r="O211" i="3" s="1"/>
  <c r="P22" i="1"/>
  <c r="O20" i="3" s="1"/>
  <c r="D20" i="3"/>
  <c r="F215" i="1" l="1"/>
  <c r="G215" i="1"/>
  <c r="H215" i="1"/>
  <c r="I215" i="1"/>
  <c r="K215" i="1"/>
  <c r="L215" i="1"/>
  <c r="M215" i="1"/>
  <c r="N215" i="1"/>
  <c r="O215" i="1"/>
  <c r="E91" i="3" l="1"/>
  <c r="F91" i="3"/>
  <c r="G91" i="3"/>
  <c r="H91" i="3"/>
  <c r="J91" i="3"/>
  <c r="K91" i="3"/>
  <c r="L91" i="3"/>
  <c r="M91" i="3"/>
  <c r="N91" i="3"/>
  <c r="E147" i="1" l="1"/>
  <c r="J147" i="1"/>
  <c r="I91" i="3" s="1"/>
  <c r="D147" i="1"/>
  <c r="P147" i="1" l="1"/>
  <c r="O91" i="3" s="1"/>
  <c r="D91" i="3"/>
  <c r="E210" i="3"/>
  <c r="F210" i="3"/>
  <c r="G210" i="3"/>
  <c r="H210" i="3"/>
  <c r="J210" i="3"/>
  <c r="K210" i="3"/>
  <c r="L210" i="3"/>
  <c r="M210" i="3"/>
  <c r="N210" i="3"/>
  <c r="E265" i="1"/>
  <c r="J265" i="1"/>
  <c r="F236" i="1"/>
  <c r="F338" i="1" s="1"/>
  <c r="G236" i="1"/>
  <c r="G338" i="1" s="1"/>
  <c r="H236" i="1"/>
  <c r="H338" i="1" s="1"/>
  <c r="I236" i="1"/>
  <c r="I338" i="1" s="1"/>
  <c r="K236" i="1"/>
  <c r="K338" i="1" s="1"/>
  <c r="L236" i="1"/>
  <c r="L338" i="1" s="1"/>
  <c r="M236" i="1"/>
  <c r="M338" i="1" s="1"/>
  <c r="N236" i="1"/>
  <c r="N338" i="1" s="1"/>
  <c r="O236" i="1"/>
  <c r="O338" i="1" s="1"/>
  <c r="D210" i="3" l="1"/>
  <c r="D213" i="3"/>
  <c r="D202" i="3" s="1"/>
  <c r="J236" i="1"/>
  <c r="I213" i="3"/>
  <c r="I202" i="3" s="1"/>
  <c r="E236" i="1"/>
  <c r="P265" i="1"/>
  <c r="O213" i="3" s="1"/>
  <c r="O202" i="3" s="1"/>
  <c r="I210" i="3"/>
  <c r="E221" i="1"/>
  <c r="J221" i="1"/>
  <c r="I170" i="3" s="1"/>
  <c r="L171" i="1"/>
  <c r="E137" i="3"/>
  <c r="F137" i="3"/>
  <c r="G137" i="3"/>
  <c r="H137" i="3"/>
  <c r="J137" i="3"/>
  <c r="K137" i="3"/>
  <c r="L137" i="3"/>
  <c r="M137" i="3"/>
  <c r="N137" i="3"/>
  <c r="E138" i="3"/>
  <c r="F138" i="3"/>
  <c r="G138" i="3"/>
  <c r="H138" i="3"/>
  <c r="J138" i="3"/>
  <c r="K138" i="3"/>
  <c r="L138" i="3"/>
  <c r="M138" i="3"/>
  <c r="N138" i="3"/>
  <c r="E141" i="3"/>
  <c r="F141" i="3"/>
  <c r="G141" i="3"/>
  <c r="H141" i="3"/>
  <c r="J141" i="3"/>
  <c r="K141" i="3"/>
  <c r="L141" i="3"/>
  <c r="M141" i="3"/>
  <c r="N141" i="3"/>
  <c r="E142" i="3"/>
  <c r="E106" i="3" s="1"/>
  <c r="F142" i="3"/>
  <c r="F106" i="3" s="1"/>
  <c r="G142" i="3"/>
  <c r="G106" i="3" s="1"/>
  <c r="H142" i="3"/>
  <c r="H106" i="3" s="1"/>
  <c r="J142" i="3"/>
  <c r="J106" i="3" s="1"/>
  <c r="K142" i="3"/>
  <c r="K106" i="3" s="1"/>
  <c r="L142" i="3"/>
  <c r="L106" i="3" s="1"/>
  <c r="M142" i="3"/>
  <c r="M106" i="3" s="1"/>
  <c r="N142" i="3"/>
  <c r="N106" i="3" s="1"/>
  <c r="E201" i="1"/>
  <c r="E200" i="1"/>
  <c r="D137" i="3" s="1"/>
  <c r="J201" i="1"/>
  <c r="J174" i="1" s="1"/>
  <c r="J200" i="1"/>
  <c r="I137" i="3" s="1"/>
  <c r="E161" i="3"/>
  <c r="F161" i="3"/>
  <c r="G161" i="3"/>
  <c r="H161" i="3"/>
  <c r="J161" i="3"/>
  <c r="K161" i="3"/>
  <c r="L161" i="3"/>
  <c r="M161" i="3"/>
  <c r="N161" i="3"/>
  <c r="J204" i="1"/>
  <c r="I141" i="3" s="1"/>
  <c r="J205" i="1"/>
  <c r="J172" i="1" s="1"/>
  <c r="E204" i="1"/>
  <c r="D141" i="3" s="1"/>
  <c r="E205" i="1"/>
  <c r="F172" i="1"/>
  <c r="G172" i="1"/>
  <c r="H172" i="1"/>
  <c r="I172" i="1"/>
  <c r="K172" i="1"/>
  <c r="L172" i="1"/>
  <c r="M172" i="1"/>
  <c r="N172" i="1"/>
  <c r="O172" i="1"/>
  <c r="F171" i="1"/>
  <c r="G171" i="1"/>
  <c r="H171" i="1"/>
  <c r="I171" i="1"/>
  <c r="K171" i="1"/>
  <c r="M171" i="1"/>
  <c r="N171" i="1"/>
  <c r="O171" i="1"/>
  <c r="D171" i="1"/>
  <c r="D205" i="1"/>
  <c r="D172" i="1"/>
  <c r="D204" i="1"/>
  <c r="J23" i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I21" i="3" l="1"/>
  <c r="E215" i="1"/>
  <c r="D170" i="3"/>
  <c r="D161" i="3" s="1"/>
  <c r="D138" i="3"/>
  <c r="D108" i="3" s="1"/>
  <c r="E174" i="1"/>
  <c r="N105" i="3"/>
  <c r="N108" i="3"/>
  <c r="L105" i="3"/>
  <c r="L108" i="3"/>
  <c r="J105" i="3"/>
  <c r="J108" i="3"/>
  <c r="G105" i="3"/>
  <c r="G108" i="3"/>
  <c r="E105" i="3"/>
  <c r="E108" i="3"/>
  <c r="M105" i="3"/>
  <c r="M108" i="3"/>
  <c r="K105" i="3"/>
  <c r="K108" i="3"/>
  <c r="H105" i="3"/>
  <c r="H108" i="3"/>
  <c r="F105" i="3"/>
  <c r="F108" i="3"/>
  <c r="P236" i="1"/>
  <c r="O210" i="3"/>
  <c r="P221" i="1"/>
  <c r="J215" i="1"/>
  <c r="P201" i="1"/>
  <c r="I161" i="3"/>
  <c r="D142" i="3"/>
  <c r="D106" i="3" s="1"/>
  <c r="I138" i="3"/>
  <c r="J171" i="1"/>
  <c r="I142" i="3"/>
  <c r="I106" i="3" s="1"/>
  <c r="P200" i="1"/>
  <c r="P204" i="1"/>
  <c r="O141" i="3" s="1"/>
  <c r="E171" i="1"/>
  <c r="P205" i="1"/>
  <c r="E172" i="1"/>
  <c r="P25" i="1"/>
  <c r="P20" i="1" s="1"/>
  <c r="E20" i="1"/>
  <c r="P215" i="1" l="1"/>
  <c r="O170" i="3"/>
  <c r="D105" i="3"/>
  <c r="O138" i="3"/>
  <c r="O108" i="3" s="1"/>
  <c r="P174" i="1"/>
  <c r="I105" i="3"/>
  <c r="I108" i="3"/>
  <c r="P171" i="1"/>
  <c r="O137" i="3"/>
  <c r="P172" i="1"/>
  <c r="O142" i="3"/>
  <c r="O106" i="3" s="1"/>
  <c r="O23" i="3"/>
  <c r="O18" i="3" s="1"/>
  <c r="O105" i="3" l="1"/>
  <c r="O161" i="3"/>
  <c r="J220" i="1"/>
  <c r="E220" i="1"/>
  <c r="E305" i="1"/>
  <c r="E303" i="1"/>
  <c r="D199" i="3" s="1"/>
  <c r="N22" i="3"/>
  <c r="M22" i="3"/>
  <c r="L22" i="3"/>
  <c r="K22" i="3"/>
  <c r="J22" i="3"/>
  <c r="H22" i="3"/>
  <c r="G22" i="3"/>
  <c r="F22" i="3"/>
  <c r="E22" i="3"/>
  <c r="I22" i="3"/>
  <c r="E24" i="1"/>
  <c r="D169" i="3" l="1"/>
  <c r="I169" i="3"/>
  <c r="P220" i="1"/>
  <c r="P24" i="1"/>
  <c r="D22" i="3"/>
  <c r="J167" i="1"/>
  <c r="E167" i="1"/>
  <c r="O169" i="3" l="1"/>
  <c r="O22" i="3"/>
  <c r="P167" i="1"/>
  <c r="J303" i="1" l="1"/>
  <c r="I199" i="3" s="1"/>
  <c r="P303" i="1" l="1"/>
  <c r="O199" i="3" s="1"/>
  <c r="N72" i="1" l="1"/>
  <c r="M72" i="1"/>
  <c r="L72" i="1"/>
  <c r="I72" i="1"/>
  <c r="H72" i="1"/>
  <c r="G72" i="1"/>
  <c r="J102" i="1"/>
  <c r="I66" i="3" s="1"/>
  <c r="E102" i="1"/>
  <c r="D66" i="3" s="1"/>
  <c r="P102" i="1" l="1"/>
  <c r="O66" i="3" s="1"/>
  <c r="M217" i="3" l="1"/>
  <c r="M216" i="3" s="1"/>
  <c r="L217" i="3"/>
  <c r="L216" i="3" s="1"/>
  <c r="K217" i="3"/>
  <c r="K216" i="3" s="1"/>
  <c r="H217" i="3"/>
  <c r="H216" i="3" s="1"/>
  <c r="G217" i="3"/>
  <c r="G216" i="3" s="1"/>
  <c r="F217" i="3"/>
  <c r="F216" i="3" s="1"/>
  <c r="J268" i="1" l="1"/>
  <c r="E268" i="1"/>
  <c r="P268" i="1" l="1"/>
  <c r="J299" i="1" l="1"/>
  <c r="I191" i="3" s="1"/>
  <c r="E299" i="1"/>
  <c r="E297" i="1"/>
  <c r="N217" i="3"/>
  <c r="N216" i="3" s="1"/>
  <c r="J217" i="3"/>
  <c r="J216" i="3" s="1"/>
  <c r="P299" i="1" l="1"/>
  <c r="O72" i="1"/>
  <c r="K72" i="1"/>
  <c r="F72" i="1"/>
  <c r="O136" i="1" l="1"/>
  <c r="N136" i="1"/>
  <c r="M136" i="1"/>
  <c r="L136" i="1"/>
  <c r="K136" i="1"/>
  <c r="I136" i="1"/>
  <c r="H136" i="1"/>
  <c r="G136" i="1"/>
  <c r="F136" i="1"/>
  <c r="J162" i="1"/>
  <c r="J163" i="1"/>
  <c r="E162" i="1"/>
  <c r="E163" i="1"/>
  <c r="J139" i="1" l="1"/>
  <c r="E136" i="1"/>
  <c r="E139" i="1"/>
  <c r="P163" i="1"/>
  <c r="P162" i="1"/>
  <c r="J136" i="1"/>
  <c r="P136" i="1" l="1"/>
  <c r="P139" i="1"/>
  <c r="D256" i="1"/>
  <c r="N222" i="3" l="1"/>
  <c r="M222" i="3"/>
  <c r="L222" i="3"/>
  <c r="K222" i="3"/>
  <c r="J222" i="3"/>
  <c r="H222" i="3"/>
  <c r="G222" i="3"/>
  <c r="F222" i="3"/>
  <c r="E222" i="3"/>
  <c r="F219" i="3" l="1"/>
  <c r="F177" i="3" s="1"/>
  <c r="F266" i="3" s="1"/>
  <c r="H219" i="3"/>
  <c r="H177" i="3" s="1"/>
  <c r="H266" i="3" s="1"/>
  <c r="K219" i="3"/>
  <c r="K177" i="3" s="1"/>
  <c r="K266" i="3" s="1"/>
  <c r="M219" i="3"/>
  <c r="M177" i="3" s="1"/>
  <c r="M266" i="3" s="1"/>
  <c r="E219" i="3"/>
  <c r="E177" i="3" s="1"/>
  <c r="E266" i="3" s="1"/>
  <c r="G219" i="3"/>
  <c r="G177" i="3" s="1"/>
  <c r="G266" i="3" s="1"/>
  <c r="L219" i="3"/>
  <c r="L177" i="3" s="1"/>
  <c r="L266" i="3" s="1"/>
  <c r="N219" i="3"/>
  <c r="N177" i="3" s="1"/>
  <c r="N266" i="3" s="1"/>
  <c r="J219" i="3"/>
  <c r="J177" i="3" s="1"/>
  <c r="J266" i="3" s="1"/>
  <c r="O141" i="1"/>
  <c r="N141" i="1"/>
  <c r="M141" i="1"/>
  <c r="L141" i="1"/>
  <c r="K141" i="1"/>
  <c r="I141" i="1"/>
  <c r="H141" i="1"/>
  <c r="G141" i="1"/>
  <c r="F141" i="1"/>
  <c r="O285" i="1"/>
  <c r="N285" i="1"/>
  <c r="M285" i="1"/>
  <c r="L285" i="1"/>
  <c r="K285" i="1"/>
  <c r="I285" i="1"/>
  <c r="H285" i="1"/>
  <c r="G285" i="1"/>
  <c r="F285" i="1"/>
  <c r="E285" i="1"/>
  <c r="F340" i="1" l="1"/>
  <c r="F350" i="1" s="1"/>
  <c r="H340" i="1"/>
  <c r="H350" i="1" s="1"/>
  <c r="K340" i="1"/>
  <c r="K350" i="1" s="1"/>
  <c r="M340" i="1"/>
  <c r="M350" i="1" s="1"/>
  <c r="O340" i="1"/>
  <c r="O350" i="1" s="1"/>
  <c r="G340" i="1"/>
  <c r="G350" i="1" s="1"/>
  <c r="I340" i="1"/>
  <c r="I350" i="1" s="1"/>
  <c r="L340" i="1"/>
  <c r="L350" i="1" s="1"/>
  <c r="N340" i="1"/>
  <c r="N350" i="1" s="1"/>
  <c r="M342" i="1" l="1"/>
  <c r="L342" i="1"/>
  <c r="H342" i="1"/>
  <c r="I342" i="1"/>
  <c r="G342" i="1"/>
  <c r="F342" i="1"/>
  <c r="K342" i="1"/>
  <c r="N342" i="1"/>
  <c r="O342" i="1"/>
  <c r="E217" i="3"/>
  <c r="E216" i="3" s="1"/>
  <c r="M189" i="3" l="1"/>
  <c r="L189" i="3"/>
  <c r="K189" i="3"/>
  <c r="H189" i="3"/>
  <c r="G189" i="3"/>
  <c r="F189" i="3"/>
  <c r="E189" i="3"/>
  <c r="M186" i="3" l="1"/>
  <c r="L186" i="3"/>
  <c r="K186" i="3"/>
  <c r="H186" i="3"/>
  <c r="G186" i="3"/>
  <c r="F186" i="3"/>
  <c r="E186" i="3"/>
  <c r="M190" i="3"/>
  <c r="L190" i="3"/>
  <c r="K190" i="3"/>
  <c r="H190" i="3"/>
  <c r="G190" i="3"/>
  <c r="F190" i="3"/>
  <c r="E190" i="3"/>
  <c r="J209" i="1" l="1"/>
  <c r="I187" i="3" s="1"/>
  <c r="E209" i="1"/>
  <c r="D187" i="3" s="1"/>
  <c r="J160" i="1"/>
  <c r="E160" i="1"/>
  <c r="E45" i="1"/>
  <c r="E44" i="1"/>
  <c r="J45" i="1"/>
  <c r="P45" i="1" s="1"/>
  <c r="D189" i="3" l="1"/>
  <c r="P44" i="1"/>
  <c r="P160" i="1"/>
  <c r="P209" i="1"/>
  <c r="O187" i="3" s="1"/>
  <c r="N190" i="3"/>
  <c r="J190" i="3"/>
  <c r="E165" i="1" l="1"/>
  <c r="J165" i="1"/>
  <c r="J141" i="1" l="1"/>
  <c r="D222" i="3"/>
  <c r="E141" i="1"/>
  <c r="E340" i="1" s="1"/>
  <c r="P165" i="1"/>
  <c r="J305" i="1"/>
  <c r="J285" i="1" s="1"/>
  <c r="J340" i="1" l="1"/>
  <c r="D219" i="3"/>
  <c r="I222" i="3"/>
  <c r="P141" i="1"/>
  <c r="P305" i="1"/>
  <c r="P285" i="1" s="1"/>
  <c r="N209" i="3"/>
  <c r="M209" i="3"/>
  <c r="L209" i="3"/>
  <c r="K209" i="3"/>
  <c r="J209" i="3"/>
  <c r="H209" i="3"/>
  <c r="G209" i="3"/>
  <c r="F209" i="3"/>
  <c r="E209" i="3"/>
  <c r="N145" i="3"/>
  <c r="M145" i="3"/>
  <c r="L145" i="3"/>
  <c r="K145" i="3"/>
  <c r="J145" i="3"/>
  <c r="H145" i="3"/>
  <c r="G145" i="3"/>
  <c r="F145" i="3"/>
  <c r="N131" i="3"/>
  <c r="M131" i="3"/>
  <c r="L131" i="3"/>
  <c r="K131" i="3"/>
  <c r="J131" i="3"/>
  <c r="H131" i="3"/>
  <c r="G131" i="3"/>
  <c r="F131" i="3"/>
  <c r="E131" i="3"/>
  <c r="N129" i="3"/>
  <c r="M129" i="3"/>
  <c r="L129" i="3"/>
  <c r="K129" i="3"/>
  <c r="J129" i="3"/>
  <c r="H129" i="3"/>
  <c r="G129" i="3"/>
  <c r="F129" i="3"/>
  <c r="E129" i="3"/>
  <c r="N119" i="3"/>
  <c r="M119" i="3"/>
  <c r="L119" i="3"/>
  <c r="K119" i="3"/>
  <c r="J119" i="3"/>
  <c r="H119" i="3"/>
  <c r="G119" i="3"/>
  <c r="F119" i="3"/>
  <c r="E119" i="3"/>
  <c r="N117" i="3"/>
  <c r="M117" i="3"/>
  <c r="L117" i="3"/>
  <c r="K117" i="3"/>
  <c r="J117" i="3"/>
  <c r="H117" i="3"/>
  <c r="G117" i="3"/>
  <c r="F117" i="3"/>
  <c r="E117" i="3"/>
  <c r="N113" i="3"/>
  <c r="M113" i="3"/>
  <c r="L113" i="3"/>
  <c r="K113" i="3"/>
  <c r="J113" i="3"/>
  <c r="H113" i="3"/>
  <c r="G113" i="3"/>
  <c r="F113" i="3"/>
  <c r="N101" i="3"/>
  <c r="M101" i="3"/>
  <c r="L101" i="3"/>
  <c r="K101" i="3"/>
  <c r="J101" i="3"/>
  <c r="H101" i="3"/>
  <c r="G101" i="3"/>
  <c r="F101" i="3"/>
  <c r="E101" i="3"/>
  <c r="N100" i="3"/>
  <c r="M100" i="3"/>
  <c r="L100" i="3"/>
  <c r="K100" i="3"/>
  <c r="J100" i="3"/>
  <c r="H100" i="3"/>
  <c r="G100" i="3"/>
  <c r="F100" i="3"/>
  <c r="E100" i="3"/>
  <c r="N98" i="3"/>
  <c r="M98" i="3"/>
  <c r="L98" i="3"/>
  <c r="K98" i="3"/>
  <c r="J98" i="3"/>
  <c r="H98" i="3"/>
  <c r="G98" i="3"/>
  <c r="F98" i="3"/>
  <c r="E98" i="3"/>
  <c r="N96" i="3"/>
  <c r="M96" i="3"/>
  <c r="L96" i="3"/>
  <c r="K96" i="3"/>
  <c r="J96" i="3"/>
  <c r="H96" i="3"/>
  <c r="G96" i="3"/>
  <c r="F96" i="3"/>
  <c r="E96" i="3"/>
  <c r="N93" i="3"/>
  <c r="M93" i="3"/>
  <c r="L93" i="3"/>
  <c r="K93" i="3"/>
  <c r="J93" i="3"/>
  <c r="I93" i="3"/>
  <c r="H93" i="3"/>
  <c r="G93" i="3"/>
  <c r="F93" i="3"/>
  <c r="E93" i="3"/>
  <c r="N89" i="3"/>
  <c r="M89" i="3"/>
  <c r="L89" i="3"/>
  <c r="K89" i="3"/>
  <c r="J89" i="3"/>
  <c r="H89" i="3"/>
  <c r="G89" i="3"/>
  <c r="F89" i="3"/>
  <c r="N88" i="3"/>
  <c r="M88" i="3"/>
  <c r="L88" i="3"/>
  <c r="K88" i="3"/>
  <c r="J88" i="3"/>
  <c r="H88" i="3"/>
  <c r="G88" i="3"/>
  <c r="F88" i="3"/>
  <c r="E88" i="3"/>
  <c r="J72" i="1"/>
  <c r="E72" i="1"/>
  <c r="O135" i="1"/>
  <c r="N135" i="1"/>
  <c r="M135" i="1"/>
  <c r="L135" i="1"/>
  <c r="K135" i="1"/>
  <c r="I135" i="1"/>
  <c r="H135" i="1"/>
  <c r="G135" i="1"/>
  <c r="F135" i="1"/>
  <c r="F107" i="3" l="1"/>
  <c r="H107" i="3"/>
  <c r="K107" i="3"/>
  <c r="M107" i="3"/>
  <c r="G107" i="3"/>
  <c r="J107" i="3"/>
  <c r="L107" i="3"/>
  <c r="N107" i="3"/>
  <c r="D177" i="3"/>
  <c r="D266" i="3" s="1"/>
  <c r="E350" i="1" s="1"/>
  <c r="P340" i="1"/>
  <c r="I219" i="3"/>
  <c r="I177" i="3" s="1"/>
  <c r="I266" i="3" s="1"/>
  <c r="J350" i="1" s="1"/>
  <c r="O222" i="3"/>
  <c r="P72" i="1"/>
  <c r="E342" i="1" l="1"/>
  <c r="J342" i="1"/>
  <c r="O219" i="3"/>
  <c r="O177" i="3" s="1"/>
  <c r="O266" i="3" s="1"/>
  <c r="P350" i="1" s="1"/>
  <c r="O235" i="1"/>
  <c r="N235" i="1"/>
  <c r="M235" i="1"/>
  <c r="L235" i="1"/>
  <c r="K235" i="1"/>
  <c r="I235" i="1"/>
  <c r="H235" i="1"/>
  <c r="G235" i="1"/>
  <c r="F235" i="1"/>
  <c r="P342" i="1" l="1"/>
  <c r="O137" i="1"/>
  <c r="N137" i="1"/>
  <c r="M137" i="1"/>
  <c r="L137" i="1"/>
  <c r="K137" i="1"/>
  <c r="I137" i="1"/>
  <c r="H137" i="1"/>
  <c r="G137" i="1"/>
  <c r="O138" i="1" l="1"/>
  <c r="N138" i="1"/>
  <c r="M138" i="1"/>
  <c r="L138" i="1"/>
  <c r="I138" i="1"/>
  <c r="H138" i="1"/>
  <c r="G138" i="1"/>
  <c r="J146" i="1"/>
  <c r="E146" i="1"/>
  <c r="J145" i="1"/>
  <c r="I89" i="3" s="1"/>
  <c r="J144" i="1"/>
  <c r="I88" i="3" s="1"/>
  <c r="E144" i="1"/>
  <c r="D88" i="3" s="1"/>
  <c r="J152" i="1"/>
  <c r="I96" i="3" s="1"/>
  <c r="E152" i="1"/>
  <c r="D96" i="3" s="1"/>
  <c r="E149" i="1"/>
  <c r="P149" i="1" s="1"/>
  <c r="E140" i="1" l="1"/>
  <c r="D90" i="3"/>
  <c r="D86" i="3" s="1"/>
  <c r="J140" i="1"/>
  <c r="I90" i="3"/>
  <c r="F137" i="1"/>
  <c r="E89" i="3"/>
  <c r="O93" i="3"/>
  <c r="D93" i="3"/>
  <c r="E135" i="1"/>
  <c r="J135" i="1"/>
  <c r="E145" i="1"/>
  <c r="P152" i="1"/>
  <c r="O96" i="3" s="1"/>
  <c r="P144" i="1"/>
  <c r="O88" i="3" s="1"/>
  <c r="P146" i="1"/>
  <c r="P140" i="1" l="1"/>
  <c r="O90" i="3"/>
  <c r="P145" i="1"/>
  <c r="O89" i="3" s="1"/>
  <c r="D89" i="3"/>
  <c r="P135" i="1"/>
  <c r="N201" i="3"/>
  <c r="N175" i="3" s="1"/>
  <c r="M201" i="3"/>
  <c r="M175" i="3" s="1"/>
  <c r="L201" i="3"/>
  <c r="L175" i="3" s="1"/>
  <c r="K201" i="3"/>
  <c r="K175" i="3" s="1"/>
  <c r="J201" i="3"/>
  <c r="J175" i="3" s="1"/>
  <c r="H201" i="3"/>
  <c r="H175" i="3" s="1"/>
  <c r="G201" i="3"/>
  <c r="G175" i="3" s="1"/>
  <c r="F201" i="3"/>
  <c r="F175" i="3" s="1"/>
  <c r="E201" i="3"/>
  <c r="E175" i="3" s="1"/>
  <c r="N181" i="3"/>
  <c r="N264" i="3" s="1"/>
  <c r="O348" i="1" s="1"/>
  <c r="M181" i="3"/>
  <c r="M264" i="3" s="1"/>
  <c r="N348" i="1" s="1"/>
  <c r="L181" i="3"/>
  <c r="L264" i="3" s="1"/>
  <c r="M348" i="1" s="1"/>
  <c r="K181" i="3"/>
  <c r="K264" i="3" s="1"/>
  <c r="L348" i="1" s="1"/>
  <c r="J181" i="3"/>
  <c r="J264" i="3" s="1"/>
  <c r="K348" i="1" s="1"/>
  <c r="H181" i="3"/>
  <c r="H264" i="3" s="1"/>
  <c r="I348" i="1" s="1"/>
  <c r="G181" i="3"/>
  <c r="G264" i="3" s="1"/>
  <c r="H348" i="1" s="1"/>
  <c r="F181" i="3"/>
  <c r="F264" i="3" s="1"/>
  <c r="G348" i="1" s="1"/>
  <c r="E181" i="3"/>
  <c r="E264" i="3" s="1"/>
  <c r="F348" i="1" s="1"/>
  <c r="N85" i="3"/>
  <c r="M85" i="3"/>
  <c r="L85" i="3"/>
  <c r="K85" i="3"/>
  <c r="J85" i="3"/>
  <c r="H85" i="3"/>
  <c r="G85" i="3"/>
  <c r="F85" i="3"/>
  <c r="E85" i="3"/>
  <c r="N86" i="3"/>
  <c r="M86" i="3"/>
  <c r="L86" i="3"/>
  <c r="K86" i="3"/>
  <c r="J86" i="3"/>
  <c r="H86" i="3"/>
  <c r="G86" i="3"/>
  <c r="F86" i="3"/>
  <c r="E86" i="3"/>
  <c r="N84" i="3"/>
  <c r="M84" i="3"/>
  <c r="L84" i="3"/>
  <c r="K84" i="3"/>
  <c r="J84" i="3"/>
  <c r="H84" i="3"/>
  <c r="G84" i="3"/>
  <c r="F84" i="3"/>
  <c r="H83" i="3"/>
  <c r="G83" i="3"/>
  <c r="F83" i="3"/>
  <c r="E83" i="3"/>
  <c r="F174" i="3" l="1"/>
  <c r="H174" i="3"/>
  <c r="K174" i="3"/>
  <c r="M174" i="3"/>
  <c r="E174" i="3"/>
  <c r="G174" i="3"/>
  <c r="J174" i="3"/>
  <c r="L174" i="3"/>
  <c r="N174" i="3"/>
  <c r="K83" i="3"/>
  <c r="M83" i="3"/>
  <c r="J83" i="3"/>
  <c r="L83" i="3"/>
  <c r="N83" i="3"/>
  <c r="J264" i="1"/>
  <c r="E264" i="1"/>
  <c r="D209" i="3" s="1"/>
  <c r="J260" i="1"/>
  <c r="I196" i="3" s="1"/>
  <c r="E260" i="1"/>
  <c r="D196" i="3" s="1"/>
  <c r="J208" i="1"/>
  <c r="I145" i="3" s="1"/>
  <c r="J194" i="1"/>
  <c r="I131" i="3" s="1"/>
  <c r="E194" i="1"/>
  <c r="D131" i="3" s="1"/>
  <c r="J192" i="1"/>
  <c r="I129" i="3" s="1"/>
  <c r="E192" i="1"/>
  <c r="D129" i="3" s="1"/>
  <c r="J187" i="1"/>
  <c r="I119" i="3" s="1"/>
  <c r="E187" i="1"/>
  <c r="D119" i="3" s="1"/>
  <c r="J185" i="1"/>
  <c r="I117" i="3" s="1"/>
  <c r="E185" i="1"/>
  <c r="D117" i="3" s="1"/>
  <c r="J181" i="1"/>
  <c r="J157" i="1"/>
  <c r="I101" i="3" s="1"/>
  <c r="E157" i="1"/>
  <c r="J156" i="1"/>
  <c r="E156" i="1"/>
  <c r="J154" i="1"/>
  <c r="I98" i="3" s="1"/>
  <c r="E154" i="1"/>
  <c r="J115" i="1"/>
  <c r="E115" i="1"/>
  <c r="J101" i="1"/>
  <c r="I65" i="3" s="1"/>
  <c r="D65" i="3"/>
  <c r="J87" i="1"/>
  <c r="I50" i="3" s="1"/>
  <c r="I27" i="3" s="1"/>
  <c r="E87" i="1"/>
  <c r="D50" i="3" s="1"/>
  <c r="D27" i="3" s="1"/>
  <c r="J86" i="1"/>
  <c r="J68" i="1" s="1"/>
  <c r="E86" i="1"/>
  <c r="E68" i="1" s="1"/>
  <c r="J83" i="1"/>
  <c r="I45" i="3" s="1"/>
  <c r="I49" i="3" l="1"/>
  <c r="I25" i="3" s="1"/>
  <c r="D49" i="3"/>
  <c r="D25" i="3" s="1"/>
  <c r="J173" i="1"/>
  <c r="J237" i="1"/>
  <c r="E237" i="1"/>
  <c r="E338" i="1" s="1"/>
  <c r="D181" i="3"/>
  <c r="D101" i="3"/>
  <c r="E138" i="1"/>
  <c r="D98" i="3"/>
  <c r="J73" i="1"/>
  <c r="I79" i="3"/>
  <c r="I29" i="3" s="1"/>
  <c r="E73" i="1"/>
  <c r="D79" i="3"/>
  <c r="D29" i="3" s="1"/>
  <c r="J71" i="1"/>
  <c r="E71" i="1"/>
  <c r="E181" i="1"/>
  <c r="E113" i="3"/>
  <c r="E208" i="1"/>
  <c r="E145" i="3"/>
  <c r="I113" i="3"/>
  <c r="I107" i="3" s="1"/>
  <c r="J235" i="1"/>
  <c r="I209" i="3"/>
  <c r="E137" i="1"/>
  <c r="D100" i="3"/>
  <c r="J137" i="1"/>
  <c r="I100" i="3"/>
  <c r="P264" i="1"/>
  <c r="E235" i="1"/>
  <c r="P260" i="1"/>
  <c r="O196" i="3" s="1"/>
  <c r="J138" i="1"/>
  <c r="E83" i="1"/>
  <c r="D45" i="3" s="1"/>
  <c r="P185" i="1"/>
  <c r="O117" i="3" s="1"/>
  <c r="P187" i="1"/>
  <c r="O119" i="3" s="1"/>
  <c r="P192" i="1"/>
  <c r="O129" i="3" s="1"/>
  <c r="P194" i="1"/>
  <c r="O131" i="3" s="1"/>
  <c r="P154" i="1"/>
  <c r="O98" i="3" s="1"/>
  <c r="P156" i="1"/>
  <c r="P157" i="1"/>
  <c r="O101" i="3" s="1"/>
  <c r="P86" i="1"/>
  <c r="P68" i="1" s="1"/>
  <c r="P87" i="1"/>
  <c r="O50" i="3" s="1"/>
  <c r="O27" i="3" s="1"/>
  <c r="P101" i="1"/>
  <c r="O65" i="3" s="1"/>
  <c r="P115" i="1"/>
  <c r="J338" i="1" l="1"/>
  <c r="D85" i="3"/>
  <c r="D264" i="3"/>
  <c r="E348" i="1" s="1"/>
  <c r="O49" i="3"/>
  <c r="O25" i="3" s="1"/>
  <c r="E173" i="1"/>
  <c r="E107" i="3"/>
  <c r="D113" i="3"/>
  <c r="P237" i="1"/>
  <c r="P208" i="1"/>
  <c r="O145" i="3" s="1"/>
  <c r="P73" i="1"/>
  <c r="O79" i="3"/>
  <c r="O29" i="3" s="1"/>
  <c r="P71" i="1"/>
  <c r="D145" i="3"/>
  <c r="P181" i="1"/>
  <c r="P235" i="1"/>
  <c r="O209" i="3"/>
  <c r="P137" i="1"/>
  <c r="O100" i="3"/>
  <c r="P83" i="1"/>
  <c r="O45" i="3" s="1"/>
  <c r="P138" i="1"/>
  <c r="P338" i="1" l="1"/>
  <c r="P173" i="1"/>
  <c r="D107" i="3"/>
  <c r="O113" i="3"/>
  <c r="O107" i="3" s="1"/>
  <c r="C235" i="3"/>
  <c r="N238" i="3"/>
  <c r="N265" i="3" s="1"/>
  <c r="M238" i="3"/>
  <c r="M265" i="3" s="1"/>
  <c r="L238" i="3"/>
  <c r="L265" i="3" s="1"/>
  <c r="K238" i="3"/>
  <c r="K265" i="3" s="1"/>
  <c r="J238" i="3"/>
  <c r="J265" i="3" s="1"/>
  <c r="H238" i="3"/>
  <c r="H265" i="3" s="1"/>
  <c r="G238" i="3"/>
  <c r="G265" i="3" s="1"/>
  <c r="F238" i="3"/>
  <c r="F265" i="3" s="1"/>
  <c r="E238" i="3"/>
  <c r="E235" i="3" s="1"/>
  <c r="E233" i="3" s="1"/>
  <c r="D59" i="1"/>
  <c r="O19" i="1"/>
  <c r="O339" i="1" s="1"/>
  <c r="N19" i="1"/>
  <c r="N339" i="1" s="1"/>
  <c r="M19" i="1"/>
  <c r="M339" i="1" s="1"/>
  <c r="L19" i="1"/>
  <c r="L339" i="1" s="1"/>
  <c r="K19" i="1"/>
  <c r="K339" i="1" s="1"/>
  <c r="I19" i="1"/>
  <c r="I339" i="1" s="1"/>
  <c r="H19" i="1"/>
  <c r="H339" i="1" s="1"/>
  <c r="G19" i="1"/>
  <c r="G339" i="1" s="1"/>
  <c r="F19" i="1"/>
  <c r="F339" i="1" s="1"/>
  <c r="J59" i="1"/>
  <c r="J19" i="1" s="1"/>
  <c r="J339" i="1" s="1"/>
  <c r="E59" i="1"/>
  <c r="E19" i="1" s="1"/>
  <c r="E339" i="1" s="1"/>
  <c r="H349" i="1" l="1"/>
  <c r="K349" i="1"/>
  <c r="M349" i="1"/>
  <c r="O349" i="1"/>
  <c r="G349" i="1"/>
  <c r="I349" i="1"/>
  <c r="L349" i="1"/>
  <c r="N349" i="1"/>
  <c r="E265" i="3"/>
  <c r="F349" i="1" s="1"/>
  <c r="F235" i="3"/>
  <c r="F233" i="3" s="1"/>
  <c r="K235" i="3"/>
  <c r="K233" i="3" s="1"/>
  <c r="M235" i="3"/>
  <c r="M233" i="3" s="1"/>
  <c r="H235" i="3"/>
  <c r="H233" i="3" s="1"/>
  <c r="G235" i="3"/>
  <c r="G233" i="3" s="1"/>
  <c r="J235" i="3"/>
  <c r="J233" i="3" s="1"/>
  <c r="L235" i="3"/>
  <c r="L233" i="3" s="1"/>
  <c r="N235" i="3"/>
  <c r="N233" i="3" s="1"/>
  <c r="I238" i="3"/>
  <c r="P59" i="1"/>
  <c r="D238" i="3"/>
  <c r="I235" i="3" l="1"/>
  <c r="I233" i="3" s="1"/>
  <c r="D235" i="3"/>
  <c r="D233" i="3" s="1"/>
  <c r="P19" i="1"/>
  <c r="P339" i="1" s="1"/>
  <c r="O238" i="3"/>
  <c r="O235" i="3" l="1"/>
  <c r="O233" i="3" s="1"/>
  <c r="E159" i="1"/>
  <c r="J65" i="1"/>
  <c r="E65" i="1"/>
  <c r="I262" i="3" l="1"/>
  <c r="D262" i="3"/>
  <c r="P65" i="1"/>
  <c r="O262" i="3" l="1"/>
  <c r="E256" i="1"/>
  <c r="D191" i="3" s="1"/>
  <c r="C256" i="1"/>
  <c r="P256" i="1" l="1"/>
  <c r="O191" i="3" s="1"/>
  <c r="J189" i="3" l="1"/>
  <c r="E236" i="3" l="1"/>
  <c r="F236" i="3"/>
  <c r="G236" i="3"/>
  <c r="H236" i="3"/>
  <c r="J236" i="3"/>
  <c r="K236" i="3"/>
  <c r="L236" i="3"/>
  <c r="M236" i="3"/>
  <c r="N236" i="3"/>
  <c r="J273" i="1"/>
  <c r="E273" i="1"/>
  <c r="C273" i="1"/>
  <c r="D273" i="1"/>
  <c r="B273" i="1"/>
  <c r="P273" i="1" l="1"/>
  <c r="E240" i="3" l="1"/>
  <c r="F240" i="3"/>
  <c r="G240" i="3"/>
  <c r="H240" i="3"/>
  <c r="J240" i="3"/>
  <c r="K240" i="3"/>
  <c r="L240" i="3"/>
  <c r="M240" i="3"/>
  <c r="N240" i="3"/>
  <c r="J274" i="1"/>
  <c r="E274" i="1"/>
  <c r="C274" i="1"/>
  <c r="D274" i="1"/>
  <c r="B274" i="1"/>
  <c r="P274" i="1" l="1"/>
  <c r="E205" i="3" l="1"/>
  <c r="F205" i="3"/>
  <c r="G205" i="3"/>
  <c r="H205" i="3"/>
  <c r="J205" i="3"/>
  <c r="K205" i="3"/>
  <c r="L205" i="3"/>
  <c r="M205" i="3"/>
  <c r="N205" i="3"/>
  <c r="E207" i="3"/>
  <c r="F207" i="3"/>
  <c r="G207" i="3"/>
  <c r="H207" i="3"/>
  <c r="J207" i="3"/>
  <c r="K207" i="3"/>
  <c r="L207" i="3"/>
  <c r="M207" i="3"/>
  <c r="N207" i="3"/>
  <c r="E47" i="1"/>
  <c r="E49" i="1"/>
  <c r="J46" i="1"/>
  <c r="J47" i="1"/>
  <c r="I205" i="3" s="1"/>
  <c r="J49" i="1"/>
  <c r="I207" i="3" s="1"/>
  <c r="C47" i="1"/>
  <c r="D47" i="1"/>
  <c r="D49" i="1"/>
  <c r="B49" i="1"/>
  <c r="B47" i="1"/>
  <c r="D207" i="3" l="1"/>
  <c r="P49" i="1"/>
  <c r="O207" i="3" s="1"/>
  <c r="P47" i="1"/>
  <c r="O205" i="3" s="1"/>
  <c r="D205" i="3"/>
  <c r="N186" i="3" l="1"/>
  <c r="J186" i="3" l="1"/>
  <c r="E208" i="3" l="1"/>
  <c r="F208" i="3"/>
  <c r="G208" i="3"/>
  <c r="H208" i="3"/>
  <c r="J208" i="3"/>
  <c r="K208" i="3"/>
  <c r="L208" i="3"/>
  <c r="M208" i="3"/>
  <c r="N208" i="3"/>
  <c r="J263" i="1"/>
  <c r="E263" i="1"/>
  <c r="D212" i="3" s="1"/>
  <c r="B263" i="1"/>
  <c r="I208" i="3" l="1"/>
  <c r="I212" i="3"/>
  <c r="P263" i="1"/>
  <c r="D208" i="3"/>
  <c r="N193" i="3"/>
  <c r="M193" i="3"/>
  <c r="L193" i="3"/>
  <c r="K193" i="3"/>
  <c r="J193" i="3"/>
  <c r="H193" i="3"/>
  <c r="G193" i="3"/>
  <c r="F193" i="3"/>
  <c r="E193" i="3"/>
  <c r="J161" i="1"/>
  <c r="E161" i="1"/>
  <c r="D161" i="1"/>
  <c r="C161" i="1"/>
  <c r="B161" i="1"/>
  <c r="D300" i="1"/>
  <c r="C300" i="1"/>
  <c r="B300" i="1"/>
  <c r="D257" i="1"/>
  <c r="C257" i="1"/>
  <c r="B257" i="1"/>
  <c r="O208" i="3" l="1"/>
  <c r="O212" i="3"/>
  <c r="P161" i="1"/>
  <c r="J300" i="1"/>
  <c r="E300" i="1"/>
  <c r="E257" i="1"/>
  <c r="D193" i="3" l="1"/>
  <c r="P300" i="1"/>
  <c r="I193" i="3"/>
  <c r="P257" i="1"/>
  <c r="O193" i="3" l="1"/>
  <c r="K320" i="1"/>
  <c r="J306" i="1" l="1"/>
  <c r="E306" i="1"/>
  <c r="E259" i="1"/>
  <c r="P306" i="1" l="1"/>
  <c r="P259" i="1" l="1"/>
  <c r="J301" i="1"/>
  <c r="I195" i="3" s="1"/>
  <c r="E301" i="1"/>
  <c r="D195" i="3" s="1"/>
  <c r="P301" i="1" l="1"/>
  <c r="O195" i="3" s="1"/>
  <c r="N230" i="3" l="1"/>
  <c r="M230" i="3"/>
  <c r="L230" i="3"/>
  <c r="K230" i="3"/>
  <c r="J230" i="3"/>
  <c r="H230" i="3"/>
  <c r="G230" i="3"/>
  <c r="F230" i="3"/>
  <c r="E230" i="3"/>
  <c r="J166" i="1"/>
  <c r="I230" i="3" s="1"/>
  <c r="E166" i="1"/>
  <c r="D230" i="3" s="1"/>
  <c r="P166" i="1" l="1"/>
  <c r="D179" i="1"/>
  <c r="O230" i="3" l="1"/>
  <c r="B297" i="1" l="1"/>
  <c r="J297" i="1"/>
  <c r="I189" i="3" s="1"/>
  <c r="P297" i="1" l="1"/>
  <c r="O189" i="3" s="1"/>
  <c r="D212" i="1" l="1"/>
  <c r="F229" i="3"/>
  <c r="G229" i="3"/>
  <c r="H229" i="3"/>
  <c r="J229" i="3"/>
  <c r="K229" i="3"/>
  <c r="L229" i="3"/>
  <c r="M229" i="3"/>
  <c r="N229" i="3"/>
  <c r="F172" i="3"/>
  <c r="G172" i="3"/>
  <c r="H172" i="3"/>
  <c r="J172" i="3"/>
  <c r="K172" i="3"/>
  <c r="L172" i="3"/>
  <c r="M172" i="3"/>
  <c r="N172" i="3"/>
  <c r="G328" i="1"/>
  <c r="H328" i="1"/>
  <c r="I328" i="1"/>
  <c r="K328" i="1"/>
  <c r="L328" i="1"/>
  <c r="M328" i="1"/>
  <c r="N328" i="1"/>
  <c r="O328" i="1"/>
  <c r="G320" i="1"/>
  <c r="H320" i="1"/>
  <c r="L320" i="1"/>
  <c r="M320" i="1"/>
  <c r="N320" i="1"/>
  <c r="O320" i="1"/>
  <c r="G133" i="1"/>
  <c r="H133" i="1"/>
  <c r="I133" i="1"/>
  <c r="L133" i="1"/>
  <c r="M133" i="1"/>
  <c r="N133" i="1"/>
  <c r="I320" i="1" l="1"/>
  <c r="E229" i="3" l="1"/>
  <c r="F320" i="1" l="1"/>
  <c r="F133" i="1"/>
  <c r="D278" i="1" l="1"/>
  <c r="F328" i="1" l="1"/>
  <c r="O133" i="1" l="1"/>
  <c r="K133" i="1"/>
  <c r="J232" i="1"/>
  <c r="E232" i="1"/>
  <c r="C232" i="1"/>
  <c r="D232" i="1"/>
  <c r="B232" i="1"/>
  <c r="P232" i="1" l="1"/>
  <c r="E17" i="3"/>
  <c r="F17" i="3"/>
  <c r="G17" i="3"/>
  <c r="H17" i="3"/>
  <c r="J17" i="3"/>
  <c r="K17" i="3"/>
  <c r="L17" i="3"/>
  <c r="M17" i="3"/>
  <c r="N17" i="3"/>
  <c r="E92" i="3"/>
  <c r="F92" i="3"/>
  <c r="G92" i="3"/>
  <c r="H92" i="3"/>
  <c r="J92" i="3"/>
  <c r="K92" i="3"/>
  <c r="L92" i="3"/>
  <c r="M92" i="3"/>
  <c r="N92" i="3"/>
  <c r="E95" i="3"/>
  <c r="F95" i="3"/>
  <c r="G95" i="3"/>
  <c r="H95" i="3"/>
  <c r="J95" i="3"/>
  <c r="K95" i="3"/>
  <c r="L95" i="3"/>
  <c r="M95" i="3"/>
  <c r="N95" i="3"/>
  <c r="E97" i="3"/>
  <c r="F97" i="3"/>
  <c r="G97" i="3"/>
  <c r="H97" i="3"/>
  <c r="J97" i="3"/>
  <c r="K97" i="3"/>
  <c r="L97" i="3"/>
  <c r="M97" i="3"/>
  <c r="N97" i="3"/>
  <c r="E99" i="3"/>
  <c r="F99" i="3"/>
  <c r="G99" i="3"/>
  <c r="H99" i="3"/>
  <c r="J99" i="3"/>
  <c r="K99" i="3"/>
  <c r="L99" i="3"/>
  <c r="M99" i="3"/>
  <c r="N99" i="3"/>
  <c r="E102" i="3"/>
  <c r="F102" i="3"/>
  <c r="G102" i="3"/>
  <c r="H102" i="3"/>
  <c r="J102" i="3"/>
  <c r="K102" i="3"/>
  <c r="L102" i="3"/>
  <c r="M102" i="3"/>
  <c r="N102" i="3"/>
  <c r="E103" i="3"/>
  <c r="F103" i="3"/>
  <c r="G103" i="3"/>
  <c r="H103" i="3"/>
  <c r="J103" i="3"/>
  <c r="K103" i="3"/>
  <c r="L103" i="3"/>
  <c r="M103" i="3"/>
  <c r="N103" i="3"/>
  <c r="E110" i="3"/>
  <c r="F110" i="3"/>
  <c r="G110" i="3"/>
  <c r="H110" i="3"/>
  <c r="K110" i="3"/>
  <c r="L110" i="3"/>
  <c r="M110" i="3"/>
  <c r="E111" i="3"/>
  <c r="F111" i="3"/>
  <c r="G111" i="3"/>
  <c r="H111" i="3"/>
  <c r="J111" i="3"/>
  <c r="K111" i="3"/>
  <c r="L111" i="3"/>
  <c r="M111" i="3"/>
  <c r="N111" i="3"/>
  <c r="E112" i="3"/>
  <c r="F112" i="3"/>
  <c r="G112" i="3"/>
  <c r="H112" i="3"/>
  <c r="J112" i="3"/>
  <c r="K112" i="3"/>
  <c r="L112" i="3"/>
  <c r="M112" i="3"/>
  <c r="N112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E118" i="3"/>
  <c r="F118" i="3"/>
  <c r="G118" i="3"/>
  <c r="H118" i="3"/>
  <c r="J118" i="3"/>
  <c r="K118" i="3"/>
  <c r="L118" i="3"/>
  <c r="M118" i="3"/>
  <c r="N118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30" i="3"/>
  <c r="F130" i="3"/>
  <c r="G130" i="3"/>
  <c r="H130" i="3"/>
  <c r="J130" i="3"/>
  <c r="K130" i="3"/>
  <c r="L130" i="3"/>
  <c r="M130" i="3"/>
  <c r="N130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5" i="3"/>
  <c r="F135" i="3"/>
  <c r="G135" i="3"/>
  <c r="H135" i="3"/>
  <c r="J135" i="3"/>
  <c r="K135" i="3"/>
  <c r="L135" i="3"/>
  <c r="M135" i="3"/>
  <c r="N135" i="3"/>
  <c r="E136" i="3"/>
  <c r="F136" i="3"/>
  <c r="G136" i="3"/>
  <c r="H136" i="3"/>
  <c r="J136" i="3"/>
  <c r="K136" i="3"/>
  <c r="L136" i="3"/>
  <c r="M136" i="3"/>
  <c r="N136" i="3"/>
  <c r="E143" i="3"/>
  <c r="F143" i="3"/>
  <c r="G143" i="3"/>
  <c r="H143" i="3"/>
  <c r="J143" i="3"/>
  <c r="K143" i="3"/>
  <c r="L143" i="3"/>
  <c r="M143" i="3"/>
  <c r="N143" i="3"/>
  <c r="E147" i="3"/>
  <c r="F147" i="3"/>
  <c r="G147" i="3"/>
  <c r="H147" i="3"/>
  <c r="J147" i="3"/>
  <c r="K147" i="3"/>
  <c r="L147" i="3"/>
  <c r="M147" i="3"/>
  <c r="N147" i="3"/>
  <c r="E148" i="3"/>
  <c r="F148" i="3"/>
  <c r="G148" i="3"/>
  <c r="H148" i="3"/>
  <c r="J148" i="3"/>
  <c r="K148" i="3"/>
  <c r="L148" i="3"/>
  <c r="M148" i="3"/>
  <c r="N148" i="3"/>
  <c r="E149" i="3"/>
  <c r="F149" i="3"/>
  <c r="G149" i="3"/>
  <c r="H149" i="3"/>
  <c r="J149" i="3"/>
  <c r="K149" i="3"/>
  <c r="L149" i="3"/>
  <c r="M149" i="3"/>
  <c r="N149" i="3"/>
  <c r="E150" i="3"/>
  <c r="F150" i="3"/>
  <c r="G150" i="3"/>
  <c r="H150" i="3"/>
  <c r="J150" i="3"/>
  <c r="K150" i="3"/>
  <c r="L150" i="3"/>
  <c r="M150" i="3"/>
  <c r="N150" i="3"/>
  <c r="E153" i="3"/>
  <c r="F153" i="3"/>
  <c r="G153" i="3"/>
  <c r="H153" i="3"/>
  <c r="J153" i="3"/>
  <c r="K153" i="3"/>
  <c r="L153" i="3"/>
  <c r="M153" i="3"/>
  <c r="N153" i="3"/>
  <c r="E154" i="3"/>
  <c r="F154" i="3"/>
  <c r="G154" i="3"/>
  <c r="H154" i="3"/>
  <c r="J154" i="3"/>
  <c r="K154" i="3"/>
  <c r="L154" i="3"/>
  <c r="M154" i="3"/>
  <c r="N154" i="3"/>
  <c r="E157" i="3"/>
  <c r="F157" i="3"/>
  <c r="G157" i="3"/>
  <c r="H157" i="3"/>
  <c r="J157" i="3"/>
  <c r="K157" i="3"/>
  <c r="L157" i="3"/>
  <c r="M157" i="3"/>
  <c r="N157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2" i="3"/>
  <c r="F162" i="3"/>
  <c r="G162" i="3"/>
  <c r="H162" i="3"/>
  <c r="J162" i="3"/>
  <c r="K162" i="3"/>
  <c r="L162" i="3"/>
  <c r="M162" i="3"/>
  <c r="N162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5" i="3"/>
  <c r="F165" i="3"/>
  <c r="G165" i="3"/>
  <c r="H165" i="3"/>
  <c r="J165" i="3"/>
  <c r="K165" i="3"/>
  <c r="L165" i="3"/>
  <c r="M165" i="3"/>
  <c r="N165" i="3"/>
  <c r="E166" i="3"/>
  <c r="F166" i="3"/>
  <c r="G166" i="3"/>
  <c r="H166" i="3"/>
  <c r="J166" i="3"/>
  <c r="K166" i="3"/>
  <c r="L166" i="3"/>
  <c r="M166" i="3"/>
  <c r="N166" i="3"/>
  <c r="E167" i="3"/>
  <c r="F167" i="3"/>
  <c r="G167" i="3"/>
  <c r="H167" i="3"/>
  <c r="K167" i="3"/>
  <c r="L167" i="3"/>
  <c r="M167" i="3"/>
  <c r="N167" i="3"/>
  <c r="E171" i="3"/>
  <c r="F171" i="3"/>
  <c r="G171" i="3"/>
  <c r="H171" i="3"/>
  <c r="J171" i="3"/>
  <c r="K171" i="3"/>
  <c r="L171" i="3"/>
  <c r="M171" i="3"/>
  <c r="N171" i="3"/>
  <c r="E179" i="3"/>
  <c r="E178" i="3" s="1"/>
  <c r="F179" i="3"/>
  <c r="F178" i="3" s="1"/>
  <c r="G179" i="3"/>
  <c r="G178" i="3" s="1"/>
  <c r="H179" i="3"/>
  <c r="H178" i="3" s="1"/>
  <c r="J179" i="3"/>
  <c r="J178" i="3" s="1"/>
  <c r="K179" i="3"/>
  <c r="K178" i="3" s="1"/>
  <c r="L179" i="3"/>
  <c r="L178" i="3" s="1"/>
  <c r="M179" i="3"/>
  <c r="M178" i="3" s="1"/>
  <c r="N179" i="3"/>
  <c r="N178" i="3" s="1"/>
  <c r="E183" i="3"/>
  <c r="E180" i="3" s="1"/>
  <c r="F183" i="3"/>
  <c r="F180" i="3" s="1"/>
  <c r="G183" i="3"/>
  <c r="G180" i="3" s="1"/>
  <c r="H183" i="3"/>
  <c r="H180" i="3" s="1"/>
  <c r="J183" i="3"/>
  <c r="J180" i="3" s="1"/>
  <c r="K183" i="3"/>
  <c r="K180" i="3" s="1"/>
  <c r="L183" i="3"/>
  <c r="L180" i="3" s="1"/>
  <c r="M183" i="3"/>
  <c r="M180" i="3" s="1"/>
  <c r="N183" i="3"/>
  <c r="N180" i="3" s="1"/>
  <c r="E194" i="3"/>
  <c r="F194" i="3"/>
  <c r="G194" i="3"/>
  <c r="H194" i="3"/>
  <c r="J194" i="3"/>
  <c r="K194" i="3"/>
  <c r="L194" i="3"/>
  <c r="M194" i="3"/>
  <c r="N194" i="3"/>
  <c r="E204" i="3"/>
  <c r="E200" i="3" s="1"/>
  <c r="F204" i="3"/>
  <c r="F200" i="3" s="1"/>
  <c r="G204" i="3"/>
  <c r="G200" i="3" s="1"/>
  <c r="H204" i="3"/>
  <c r="H200" i="3" s="1"/>
  <c r="J204" i="3"/>
  <c r="J200" i="3" s="1"/>
  <c r="K204" i="3"/>
  <c r="K200" i="3" s="1"/>
  <c r="L204" i="3"/>
  <c r="L200" i="3" s="1"/>
  <c r="M204" i="3"/>
  <c r="M200" i="3" s="1"/>
  <c r="N204" i="3"/>
  <c r="N200" i="3" s="1"/>
  <c r="E220" i="3"/>
  <c r="F220" i="3"/>
  <c r="G220" i="3"/>
  <c r="H220" i="3"/>
  <c r="J220" i="3"/>
  <c r="K220" i="3"/>
  <c r="L220" i="3"/>
  <c r="M220" i="3"/>
  <c r="N220" i="3"/>
  <c r="E223" i="3"/>
  <c r="F223" i="3"/>
  <c r="G223" i="3"/>
  <c r="H223" i="3"/>
  <c r="J223" i="3"/>
  <c r="K223" i="3"/>
  <c r="L223" i="3"/>
  <c r="M223" i="3"/>
  <c r="N223" i="3"/>
  <c r="E224" i="3"/>
  <c r="F224" i="3"/>
  <c r="G224" i="3"/>
  <c r="H224" i="3"/>
  <c r="J224" i="3"/>
  <c r="K224" i="3"/>
  <c r="L224" i="3"/>
  <c r="M224" i="3"/>
  <c r="N224" i="3"/>
  <c r="E225" i="3"/>
  <c r="F225" i="3"/>
  <c r="G225" i="3"/>
  <c r="H225" i="3"/>
  <c r="J225" i="3"/>
  <c r="K225" i="3"/>
  <c r="L225" i="3"/>
  <c r="M225" i="3"/>
  <c r="N225" i="3"/>
  <c r="F227" i="3"/>
  <c r="G227" i="3"/>
  <c r="H227" i="3"/>
  <c r="J227" i="3"/>
  <c r="K227" i="3"/>
  <c r="L227" i="3"/>
  <c r="M227" i="3"/>
  <c r="N227" i="3"/>
  <c r="E237" i="3"/>
  <c r="F237" i="3"/>
  <c r="G237" i="3"/>
  <c r="H237" i="3"/>
  <c r="J237" i="3"/>
  <c r="K237" i="3"/>
  <c r="L237" i="3"/>
  <c r="M237" i="3"/>
  <c r="N237" i="3"/>
  <c r="E239" i="3"/>
  <c r="F239" i="3"/>
  <c r="G239" i="3"/>
  <c r="H239" i="3"/>
  <c r="J239" i="3"/>
  <c r="K239" i="3"/>
  <c r="L239" i="3"/>
  <c r="M239" i="3"/>
  <c r="N239" i="3"/>
  <c r="E242" i="3"/>
  <c r="E241" i="3" s="1"/>
  <c r="F242" i="3"/>
  <c r="F241" i="3" s="1"/>
  <c r="G242" i="3"/>
  <c r="H242" i="3"/>
  <c r="J242" i="3"/>
  <c r="K242" i="3"/>
  <c r="K241" i="3" s="1"/>
  <c r="L242" i="3"/>
  <c r="M242" i="3"/>
  <c r="M241" i="3" s="1"/>
  <c r="N242" i="3"/>
  <c r="E245" i="3"/>
  <c r="E244" i="3" s="1"/>
  <c r="F245" i="3"/>
  <c r="F244" i="3" s="1"/>
  <c r="G245" i="3"/>
  <c r="G244" i="3" s="1"/>
  <c r="H245" i="3"/>
  <c r="H244" i="3" s="1"/>
  <c r="J245" i="3"/>
  <c r="J244" i="3" s="1"/>
  <c r="K245" i="3"/>
  <c r="K244" i="3" s="1"/>
  <c r="L245" i="3"/>
  <c r="L244" i="3" s="1"/>
  <c r="M245" i="3"/>
  <c r="M244" i="3" s="1"/>
  <c r="N245" i="3"/>
  <c r="N244" i="3" s="1"/>
  <c r="E246" i="3"/>
  <c r="F246" i="3"/>
  <c r="G246" i="3"/>
  <c r="H246" i="3"/>
  <c r="J246" i="3"/>
  <c r="K246" i="3"/>
  <c r="L246" i="3"/>
  <c r="M246" i="3"/>
  <c r="N246" i="3"/>
  <c r="D248" i="3"/>
  <c r="D247" i="3" s="1"/>
  <c r="E248" i="3"/>
  <c r="E247" i="3" s="1"/>
  <c r="F248" i="3"/>
  <c r="F247" i="3" s="1"/>
  <c r="G248" i="3"/>
  <c r="G247" i="3" s="1"/>
  <c r="H248" i="3"/>
  <c r="H247" i="3" s="1"/>
  <c r="J248" i="3"/>
  <c r="J247" i="3" s="1"/>
  <c r="K248" i="3"/>
  <c r="K247" i="3" s="1"/>
  <c r="L248" i="3"/>
  <c r="L247" i="3" s="1"/>
  <c r="M248" i="3"/>
  <c r="M247" i="3" s="1"/>
  <c r="N248" i="3"/>
  <c r="N247" i="3" s="1"/>
  <c r="J81" i="1"/>
  <c r="I36" i="3" s="1"/>
  <c r="J330" i="1"/>
  <c r="J331" i="1"/>
  <c r="J332" i="1"/>
  <c r="I242" i="3" s="1"/>
  <c r="J333" i="1"/>
  <c r="J334" i="1"/>
  <c r="I246" i="3" s="1"/>
  <c r="J335" i="1"/>
  <c r="I248" i="3" s="1"/>
  <c r="I247" i="3" s="1"/>
  <c r="J336" i="1"/>
  <c r="I253" i="3" s="1"/>
  <c r="I252" i="3" s="1"/>
  <c r="J329" i="1"/>
  <c r="J322" i="1"/>
  <c r="I179" i="3" s="1"/>
  <c r="I178" i="3" s="1"/>
  <c r="J323" i="1"/>
  <c r="J324" i="1"/>
  <c r="I223" i="3" s="1"/>
  <c r="J325" i="1"/>
  <c r="I224" i="3" s="1"/>
  <c r="J326" i="1"/>
  <c r="J321" i="1"/>
  <c r="J318" i="1"/>
  <c r="J291" i="1"/>
  <c r="J292" i="1"/>
  <c r="I171" i="3" s="1"/>
  <c r="J293" i="1"/>
  <c r="J294" i="1"/>
  <c r="I184" i="3" s="1"/>
  <c r="J295" i="1"/>
  <c r="I186" i="3" s="1"/>
  <c r="J298" i="1"/>
  <c r="J310" i="1"/>
  <c r="J311" i="1"/>
  <c r="J315" i="1"/>
  <c r="J286" i="1"/>
  <c r="J281" i="1"/>
  <c r="J243" i="1"/>
  <c r="J244" i="1"/>
  <c r="J245" i="1"/>
  <c r="I163" i="3" s="1"/>
  <c r="J246" i="1"/>
  <c r="I164" i="3" s="1"/>
  <c r="J247" i="1"/>
  <c r="I165" i="3" s="1"/>
  <c r="J248" i="1"/>
  <c r="J249" i="1"/>
  <c r="J254" i="1"/>
  <c r="J255" i="1"/>
  <c r="I194" i="3"/>
  <c r="J269" i="1"/>
  <c r="J270" i="1"/>
  <c r="J275" i="1"/>
  <c r="J278" i="1"/>
  <c r="J241" i="1"/>
  <c r="J226" i="1"/>
  <c r="I147" i="3" s="1"/>
  <c r="J227" i="1"/>
  <c r="J228" i="1"/>
  <c r="J229" i="1"/>
  <c r="J231" i="1"/>
  <c r="J224" i="1"/>
  <c r="J217" i="1"/>
  <c r="I121" i="3" s="1"/>
  <c r="J218" i="1"/>
  <c r="I122" i="3" s="1"/>
  <c r="J216" i="1"/>
  <c r="J179" i="1"/>
  <c r="J180" i="1"/>
  <c r="J182" i="1"/>
  <c r="I114" i="3" s="1"/>
  <c r="J183" i="1"/>
  <c r="J184" i="1"/>
  <c r="I116" i="3" s="1"/>
  <c r="J186" i="1"/>
  <c r="I118" i="3" s="1"/>
  <c r="J188" i="1"/>
  <c r="I120" i="3" s="1"/>
  <c r="J190" i="1"/>
  <c r="I127" i="3" s="1"/>
  <c r="J191" i="1"/>
  <c r="I128" i="3" s="1"/>
  <c r="J193" i="1"/>
  <c r="I130" i="3" s="1"/>
  <c r="J195" i="1"/>
  <c r="I132" i="3" s="1"/>
  <c r="J196" i="1"/>
  <c r="I133" i="3" s="1"/>
  <c r="J197" i="1"/>
  <c r="I134" i="3" s="1"/>
  <c r="J198" i="1"/>
  <c r="I135" i="3" s="1"/>
  <c r="J199" i="1"/>
  <c r="J206" i="1"/>
  <c r="J207" i="1"/>
  <c r="J212" i="1"/>
  <c r="I261" i="3" s="1"/>
  <c r="J176" i="1"/>
  <c r="J143" i="1"/>
  <c r="J148" i="1"/>
  <c r="J151" i="1"/>
  <c r="I95" i="3" s="1"/>
  <c r="J153" i="1"/>
  <c r="I97" i="3" s="1"/>
  <c r="J155" i="1"/>
  <c r="I99" i="3" s="1"/>
  <c r="J158" i="1"/>
  <c r="I102" i="3" s="1"/>
  <c r="J159" i="1"/>
  <c r="I103" i="3" s="1"/>
  <c r="J142" i="1"/>
  <c r="J85" i="1"/>
  <c r="I48" i="3" s="1"/>
  <c r="J88" i="1"/>
  <c r="I51" i="3" s="1"/>
  <c r="J97" i="1"/>
  <c r="I60" i="3" s="1"/>
  <c r="J103" i="1"/>
  <c r="I67" i="3" s="1"/>
  <c r="J104" i="1"/>
  <c r="I68" i="3" s="1"/>
  <c r="J106" i="1"/>
  <c r="I70" i="3" s="1"/>
  <c r="J114" i="1"/>
  <c r="I78" i="3" s="1"/>
  <c r="J80" i="1"/>
  <c r="J26" i="1"/>
  <c r="J27" i="1"/>
  <c r="J28" i="1"/>
  <c r="I123" i="3" s="1"/>
  <c r="J29" i="1"/>
  <c r="I124" i="3" s="1"/>
  <c r="J31" i="1"/>
  <c r="I126" i="3" s="1"/>
  <c r="J32" i="1"/>
  <c r="J33" i="1"/>
  <c r="J34" i="1"/>
  <c r="J35" i="1"/>
  <c r="J36" i="1"/>
  <c r="J37" i="1"/>
  <c r="I153" i="3" s="1"/>
  <c r="J38" i="1"/>
  <c r="I154" i="3" s="1"/>
  <c r="J39" i="1"/>
  <c r="I155" i="3" s="1"/>
  <c r="J40" i="1"/>
  <c r="I157" i="3" s="1"/>
  <c r="J41" i="1"/>
  <c r="I158" i="3" s="1"/>
  <c r="J42" i="1"/>
  <c r="I159" i="3" s="1"/>
  <c r="I204" i="3"/>
  <c r="I200" i="3" s="1"/>
  <c r="J51" i="1"/>
  <c r="J52" i="1"/>
  <c r="J53" i="1"/>
  <c r="J54" i="1"/>
  <c r="I227" i="3" s="1"/>
  <c r="J55" i="1"/>
  <c r="J56" i="1"/>
  <c r="J57" i="1"/>
  <c r="I236" i="3" s="1"/>
  <c r="J58" i="1"/>
  <c r="I237" i="3" s="1"/>
  <c r="J60" i="1"/>
  <c r="J61" i="1"/>
  <c r="I245" i="3"/>
  <c r="I244" i="3" s="1"/>
  <c r="J21" i="1"/>
  <c r="J18" i="1" l="1"/>
  <c r="I87" i="3"/>
  <c r="M82" i="3"/>
  <c r="K82" i="3"/>
  <c r="H82" i="3"/>
  <c r="F82" i="3"/>
  <c r="N82" i="3"/>
  <c r="L82" i="3"/>
  <c r="J82" i="3"/>
  <c r="G82" i="3"/>
  <c r="E82" i="3"/>
  <c r="I144" i="3"/>
  <c r="J214" i="1"/>
  <c r="I243" i="3"/>
  <c r="I241" i="3" s="1"/>
  <c r="I19" i="3"/>
  <c r="J309" i="1"/>
  <c r="J308" i="1" s="1"/>
  <c r="N160" i="3"/>
  <c r="L160" i="3"/>
  <c r="J160" i="3"/>
  <c r="G160" i="3"/>
  <c r="M160" i="3"/>
  <c r="K160" i="3"/>
  <c r="H160" i="3"/>
  <c r="F160" i="3"/>
  <c r="M104" i="3"/>
  <c r="K104" i="3"/>
  <c r="G104" i="3"/>
  <c r="L104" i="3"/>
  <c r="H104" i="3"/>
  <c r="F104" i="3"/>
  <c r="M218" i="3"/>
  <c r="M173" i="3" s="1"/>
  <c r="K218" i="3"/>
  <c r="K173" i="3" s="1"/>
  <c r="H218" i="3"/>
  <c r="H173" i="3" s="1"/>
  <c r="F218" i="3"/>
  <c r="F173" i="3" s="1"/>
  <c r="N218" i="3"/>
  <c r="N173" i="3" s="1"/>
  <c r="L218" i="3"/>
  <c r="L173" i="3" s="1"/>
  <c r="J218" i="3"/>
  <c r="J173" i="3" s="1"/>
  <c r="G218" i="3"/>
  <c r="G173" i="3" s="1"/>
  <c r="I217" i="3"/>
  <c r="I216" i="3" s="1"/>
  <c r="I190" i="3"/>
  <c r="I111" i="3"/>
  <c r="I92" i="3"/>
  <c r="I240" i="3"/>
  <c r="I239" i="3" s="1"/>
  <c r="I166" i="3"/>
  <c r="I162" i="3"/>
  <c r="I172" i="3"/>
  <c r="J328" i="1"/>
  <c r="I229" i="3"/>
  <c r="J320" i="1"/>
  <c r="J304" i="1"/>
  <c r="J283" i="1" s="1"/>
  <c r="I150" i="3"/>
  <c r="I148" i="3"/>
  <c r="I225" i="3"/>
  <c r="I149" i="3"/>
  <c r="E158" i="3"/>
  <c r="E151" i="3" s="1"/>
  <c r="I183" i="3"/>
  <c r="L234" i="3"/>
  <c r="J234" i="3"/>
  <c r="G234" i="3"/>
  <c r="G232" i="3" s="1"/>
  <c r="I112" i="3"/>
  <c r="I220" i="3"/>
  <c r="I151" i="3"/>
  <c r="I136" i="3"/>
  <c r="N234" i="3"/>
  <c r="H234" i="3"/>
  <c r="M234" i="3"/>
  <c r="M232" i="3" s="1"/>
  <c r="K234" i="3"/>
  <c r="K232" i="3" s="1"/>
  <c r="F234" i="3"/>
  <c r="F232" i="3" s="1"/>
  <c r="E234" i="3"/>
  <c r="E232" i="3" s="1"/>
  <c r="I167" i="3"/>
  <c r="I234" i="3"/>
  <c r="I232" i="3" s="1"/>
  <c r="M151" i="3"/>
  <c r="F151" i="3"/>
  <c r="I143" i="3"/>
  <c r="I115" i="3"/>
  <c r="N241" i="3"/>
  <c r="L241" i="3"/>
  <c r="J241" i="3"/>
  <c r="H241" i="3"/>
  <c r="G241" i="3"/>
  <c r="K151" i="3"/>
  <c r="L146" i="3"/>
  <c r="H146" i="3"/>
  <c r="N146" i="3"/>
  <c r="J146" i="3"/>
  <c r="G146" i="3"/>
  <c r="M146" i="3"/>
  <c r="K146" i="3"/>
  <c r="F146" i="3"/>
  <c r="E146" i="3"/>
  <c r="N151" i="3"/>
  <c r="L151" i="3"/>
  <c r="J151" i="3"/>
  <c r="H151" i="3"/>
  <c r="G151" i="3"/>
  <c r="J272" i="1"/>
  <c r="J234" i="1" s="1"/>
  <c r="L232" i="3" l="1"/>
  <c r="H232" i="3"/>
  <c r="H263" i="3" s="1"/>
  <c r="N232" i="3"/>
  <c r="J232" i="3"/>
  <c r="I82" i="3"/>
  <c r="I160" i="3"/>
  <c r="I180" i="3"/>
  <c r="I258" i="3"/>
  <c r="I250" i="3" s="1"/>
  <c r="M263" i="3"/>
  <c r="F263" i="3"/>
  <c r="K263" i="3"/>
  <c r="I228" i="3"/>
  <c r="I17" i="3"/>
  <c r="I146" i="3"/>
  <c r="L263" i="3"/>
  <c r="G263" i="3"/>
  <c r="E332" i="1"/>
  <c r="D242" i="3" s="1"/>
  <c r="D332" i="1"/>
  <c r="B332" i="1"/>
  <c r="E172" i="3" l="1"/>
  <c r="E160" i="3" s="1"/>
  <c r="E227" i="3"/>
  <c r="J164" i="1"/>
  <c r="J134" i="1" s="1"/>
  <c r="P332" i="1"/>
  <c r="O242" i="3" s="1"/>
  <c r="I221" i="3" l="1"/>
  <c r="I218" i="3" s="1"/>
  <c r="I173" i="3" s="1"/>
  <c r="J133" i="1"/>
  <c r="E218" i="3"/>
  <c r="E173" i="3" s="1"/>
  <c r="E258" i="1" l="1"/>
  <c r="C258" i="1"/>
  <c r="D258" i="1"/>
  <c r="B258" i="1"/>
  <c r="D194" i="3" l="1"/>
  <c r="P258" i="1"/>
  <c r="O194" i="3" s="1"/>
  <c r="E132" i="3" l="1"/>
  <c r="E104" i="3" s="1"/>
  <c r="E263" i="3" l="1"/>
  <c r="J82" i="1"/>
  <c r="J67" i="1" l="1"/>
  <c r="I38" i="3"/>
  <c r="I24" i="3" s="1"/>
  <c r="J223" i="1"/>
  <c r="D55" i="1"/>
  <c r="D315" i="1"/>
  <c r="D272" i="1"/>
  <c r="C227" i="1"/>
  <c r="B227" i="1"/>
  <c r="D217" i="1"/>
  <c r="P335" i="1"/>
  <c r="O248" i="3" s="1"/>
  <c r="O247" i="3" s="1"/>
  <c r="E330" i="1"/>
  <c r="E331" i="1"/>
  <c r="E333" i="1"/>
  <c r="E334" i="1"/>
  <c r="D246" i="3" s="1"/>
  <c r="D253" i="3"/>
  <c r="D252" i="3" s="1"/>
  <c r="E329" i="1"/>
  <c r="K327" i="1"/>
  <c r="L327" i="1"/>
  <c r="M327" i="1"/>
  <c r="N327" i="1"/>
  <c r="O327" i="1"/>
  <c r="F327" i="1"/>
  <c r="G327" i="1"/>
  <c r="H327" i="1"/>
  <c r="I327" i="1"/>
  <c r="E322" i="1"/>
  <c r="D179" i="3" s="1"/>
  <c r="D178" i="3" s="1"/>
  <c r="E323" i="1"/>
  <c r="E324" i="1"/>
  <c r="D223" i="3" s="1"/>
  <c r="E325" i="1"/>
  <c r="D224" i="3" s="1"/>
  <c r="E326" i="1"/>
  <c r="E321" i="1"/>
  <c r="K319" i="1"/>
  <c r="L319" i="1"/>
  <c r="M319" i="1"/>
  <c r="N319" i="1"/>
  <c r="O319" i="1"/>
  <c r="F319" i="1"/>
  <c r="G319" i="1"/>
  <c r="H319" i="1"/>
  <c r="I319" i="1"/>
  <c r="J317" i="1"/>
  <c r="J316" i="1" s="1"/>
  <c r="E318" i="1"/>
  <c r="E317" i="1" s="1"/>
  <c r="E316" i="1" s="1"/>
  <c r="K317" i="1"/>
  <c r="K316" i="1" s="1"/>
  <c r="L317" i="1"/>
  <c r="L316" i="1" s="1"/>
  <c r="M317" i="1"/>
  <c r="M316" i="1" s="1"/>
  <c r="N317" i="1"/>
  <c r="N316" i="1" s="1"/>
  <c r="O317" i="1"/>
  <c r="O316" i="1" s="1"/>
  <c r="F317" i="1"/>
  <c r="F316" i="1" s="1"/>
  <c r="G317" i="1"/>
  <c r="G316" i="1" s="1"/>
  <c r="H317" i="1"/>
  <c r="H316" i="1" s="1"/>
  <c r="I317" i="1"/>
  <c r="I316" i="1" s="1"/>
  <c r="E311" i="1"/>
  <c r="E315" i="1"/>
  <c r="E310" i="1"/>
  <c r="K308" i="1"/>
  <c r="L308" i="1"/>
  <c r="M308" i="1"/>
  <c r="N308" i="1"/>
  <c r="O308" i="1"/>
  <c r="F308" i="1"/>
  <c r="G308" i="1"/>
  <c r="H308" i="1"/>
  <c r="I308" i="1"/>
  <c r="E291" i="1"/>
  <c r="E292" i="1"/>
  <c r="D171" i="3" s="1"/>
  <c r="E293" i="1"/>
  <c r="E294" i="1"/>
  <c r="D184" i="3" s="1"/>
  <c r="E295" i="1"/>
  <c r="D186" i="3" s="1"/>
  <c r="E298" i="1"/>
  <c r="E304" i="1"/>
  <c r="E286" i="1"/>
  <c r="K282" i="1"/>
  <c r="M282" i="1"/>
  <c r="N282" i="1"/>
  <c r="O282" i="1"/>
  <c r="F282" i="1"/>
  <c r="G282" i="1"/>
  <c r="H282" i="1"/>
  <c r="I282" i="1"/>
  <c r="J280" i="1"/>
  <c r="J279" i="1" s="1"/>
  <c r="E281" i="1"/>
  <c r="E280" i="1" s="1"/>
  <c r="E279" i="1" s="1"/>
  <c r="K280" i="1"/>
  <c r="K279" i="1" s="1"/>
  <c r="L280" i="1"/>
  <c r="L279" i="1" s="1"/>
  <c r="M280" i="1"/>
  <c r="M279" i="1" s="1"/>
  <c r="N280" i="1"/>
  <c r="N279" i="1" s="1"/>
  <c r="O280" i="1"/>
  <c r="O279" i="1" s="1"/>
  <c r="F280" i="1"/>
  <c r="F279" i="1" s="1"/>
  <c r="G280" i="1"/>
  <c r="G279" i="1" s="1"/>
  <c r="H280" i="1"/>
  <c r="H279" i="1" s="1"/>
  <c r="I280" i="1"/>
  <c r="I279" i="1" s="1"/>
  <c r="E243" i="1"/>
  <c r="E244" i="1"/>
  <c r="D162" i="3" s="1"/>
  <c r="E245" i="1"/>
  <c r="E246" i="1"/>
  <c r="D164" i="3" s="1"/>
  <c r="E247" i="1"/>
  <c r="E248" i="1"/>
  <c r="E249" i="1"/>
  <c r="E253" i="1"/>
  <c r="E254" i="1"/>
  <c r="E255" i="1"/>
  <c r="P255" i="1" s="1"/>
  <c r="E269" i="1"/>
  <c r="E270" i="1"/>
  <c r="P270" i="1" s="1"/>
  <c r="E272" i="1"/>
  <c r="P272" i="1" s="1"/>
  <c r="E275" i="1"/>
  <c r="P275" i="1" s="1"/>
  <c r="E278" i="1"/>
  <c r="E241" i="1"/>
  <c r="K233" i="1"/>
  <c r="L233" i="1"/>
  <c r="M233" i="1"/>
  <c r="N233" i="1"/>
  <c r="O233" i="1"/>
  <c r="F233" i="1"/>
  <c r="G233" i="1"/>
  <c r="H233" i="1"/>
  <c r="I233" i="1"/>
  <c r="E226" i="1"/>
  <c r="E227" i="1"/>
  <c r="E228" i="1"/>
  <c r="E229" i="1"/>
  <c r="E231" i="1"/>
  <c r="E224" i="1"/>
  <c r="K222" i="1"/>
  <c r="L222" i="1"/>
  <c r="M222" i="1"/>
  <c r="N222" i="1"/>
  <c r="F222" i="1"/>
  <c r="G222" i="1"/>
  <c r="H222" i="1"/>
  <c r="I222" i="1"/>
  <c r="E217" i="1"/>
  <c r="D121" i="3" s="1"/>
  <c r="E218" i="1"/>
  <c r="D122" i="3" s="1"/>
  <c r="E216" i="1"/>
  <c r="K213" i="1"/>
  <c r="L213" i="1"/>
  <c r="M213" i="1"/>
  <c r="N213" i="1"/>
  <c r="O213" i="1"/>
  <c r="F213" i="1"/>
  <c r="G213" i="1"/>
  <c r="H213" i="1"/>
  <c r="I213" i="1"/>
  <c r="E178" i="1"/>
  <c r="D110" i="3" s="1"/>
  <c r="E179" i="1"/>
  <c r="E180" i="1"/>
  <c r="E182" i="1"/>
  <c r="D114" i="3" s="1"/>
  <c r="E183" i="1"/>
  <c r="E184" i="1"/>
  <c r="D116" i="3" s="1"/>
  <c r="E186" i="1"/>
  <c r="D118" i="3" s="1"/>
  <c r="E188" i="1"/>
  <c r="E190" i="1"/>
  <c r="E191" i="1"/>
  <c r="E193" i="1"/>
  <c r="D130" i="3" s="1"/>
  <c r="E195" i="1"/>
  <c r="D132" i="3" s="1"/>
  <c r="E196" i="1"/>
  <c r="D133" i="3" s="1"/>
  <c r="E197" i="1"/>
  <c r="D134" i="3" s="1"/>
  <c r="E198" i="1"/>
  <c r="D135" i="3" s="1"/>
  <c r="E199" i="1"/>
  <c r="E206" i="1"/>
  <c r="E207" i="1"/>
  <c r="E212" i="1"/>
  <c r="E176" i="1"/>
  <c r="L169" i="1"/>
  <c r="M169" i="1"/>
  <c r="N169" i="1"/>
  <c r="F169" i="1"/>
  <c r="G169" i="1"/>
  <c r="H169" i="1"/>
  <c r="I169" i="1"/>
  <c r="E143" i="1"/>
  <c r="D87" i="3" s="1"/>
  <c r="E148" i="1"/>
  <c r="E151" i="1"/>
  <c r="D95" i="3" s="1"/>
  <c r="E153" i="1"/>
  <c r="D97" i="3" s="1"/>
  <c r="E155" i="1"/>
  <c r="D99" i="3" s="1"/>
  <c r="E158" i="1"/>
  <c r="D102" i="3" s="1"/>
  <c r="D103" i="3"/>
  <c r="E164" i="1"/>
  <c r="E142" i="1"/>
  <c r="K66" i="1"/>
  <c r="L66" i="1"/>
  <c r="M66" i="1"/>
  <c r="N66" i="1"/>
  <c r="O66" i="1"/>
  <c r="F66" i="1"/>
  <c r="G66" i="1"/>
  <c r="H66" i="1"/>
  <c r="I66" i="1"/>
  <c r="E81" i="1"/>
  <c r="D36" i="3" s="1"/>
  <c r="E82" i="1"/>
  <c r="D38" i="3" s="1"/>
  <c r="E85" i="1"/>
  <c r="E88" i="1"/>
  <c r="D51" i="3" s="1"/>
  <c r="E97" i="1"/>
  <c r="D60" i="3" s="1"/>
  <c r="E103" i="1"/>
  <c r="D67" i="3" s="1"/>
  <c r="E104" i="1"/>
  <c r="D68" i="3" s="1"/>
  <c r="E106" i="1"/>
  <c r="D70" i="3" s="1"/>
  <c r="E114" i="1"/>
  <c r="D78" i="3" s="1"/>
  <c r="E80" i="1"/>
  <c r="E23" i="1"/>
  <c r="D21" i="3" s="1"/>
  <c r="E26" i="1"/>
  <c r="E27" i="1"/>
  <c r="E28" i="1"/>
  <c r="D123" i="3" s="1"/>
  <c r="E29" i="1"/>
  <c r="D124" i="3" s="1"/>
  <c r="E31" i="1"/>
  <c r="D126" i="3" s="1"/>
  <c r="E32" i="1"/>
  <c r="E33" i="1"/>
  <c r="E34" i="1"/>
  <c r="E35" i="1"/>
  <c r="E36" i="1"/>
  <c r="E37" i="1"/>
  <c r="D153" i="3" s="1"/>
  <c r="E38" i="1"/>
  <c r="D154" i="3" s="1"/>
  <c r="E39" i="1"/>
  <c r="E40" i="1"/>
  <c r="D157" i="3" s="1"/>
  <c r="E41" i="1"/>
  <c r="E42" i="1"/>
  <c r="E46" i="1"/>
  <c r="D204" i="3" s="1"/>
  <c r="D200" i="3" s="1"/>
  <c r="E51" i="1"/>
  <c r="E52" i="1"/>
  <c r="E53" i="1"/>
  <c r="E54" i="1"/>
  <c r="D227" i="3" s="1"/>
  <c r="E55" i="1"/>
  <c r="E56" i="1"/>
  <c r="E57" i="1"/>
  <c r="D236" i="3" s="1"/>
  <c r="E58" i="1"/>
  <c r="D237" i="3" s="1"/>
  <c r="E60" i="1"/>
  <c r="E61" i="1"/>
  <c r="E62" i="1"/>
  <c r="D245" i="3" s="1"/>
  <c r="D244" i="3" s="1"/>
  <c r="E21" i="1"/>
  <c r="K17" i="1"/>
  <c r="M17" i="1"/>
  <c r="N17" i="1"/>
  <c r="O17" i="1"/>
  <c r="F17" i="1"/>
  <c r="G17" i="1"/>
  <c r="H17" i="1"/>
  <c r="I17" i="1"/>
  <c r="L17" i="1"/>
  <c r="E170" i="1" l="1"/>
  <c r="E18" i="1"/>
  <c r="E17" i="1" s="1"/>
  <c r="E134" i="1"/>
  <c r="E283" i="1"/>
  <c r="E282" i="1" s="1"/>
  <c r="E234" i="1"/>
  <c r="D48" i="3"/>
  <c r="E67" i="1"/>
  <c r="E66" i="1" s="1"/>
  <c r="H337" i="1"/>
  <c r="H347" i="1" s="1"/>
  <c r="F337" i="1"/>
  <c r="F347" i="1" s="1"/>
  <c r="N337" i="1"/>
  <c r="N347" i="1" s="1"/>
  <c r="D19" i="3"/>
  <c r="D17" i="3" s="1"/>
  <c r="I337" i="1"/>
  <c r="I347" i="1" s="1"/>
  <c r="G337" i="1"/>
  <c r="G347" i="1" s="1"/>
  <c r="M337" i="1"/>
  <c r="M347" i="1" s="1"/>
  <c r="D243" i="3"/>
  <c r="D241" i="3" s="1"/>
  <c r="D144" i="3"/>
  <c r="E214" i="1"/>
  <c r="E213" i="1" s="1"/>
  <c r="E309" i="1"/>
  <c r="E308" i="1" s="1"/>
  <c r="E233" i="1"/>
  <c r="E169" i="1"/>
  <c r="D221" i="3"/>
  <c r="D127" i="3"/>
  <c r="P31" i="1"/>
  <c r="O126" i="3" s="1"/>
  <c r="D261" i="3"/>
  <c r="D159" i="3"/>
  <c r="E320" i="1"/>
  <c r="E319" i="1" s="1"/>
  <c r="E133" i="1"/>
  <c r="E223" i="1"/>
  <c r="E222" i="1" s="1"/>
  <c r="E328" i="1"/>
  <c r="E327" i="1" s="1"/>
  <c r="D155" i="3"/>
  <c r="D147" i="3"/>
  <c r="D120" i="3"/>
  <c r="D228" i="3"/>
  <c r="D158" i="3"/>
  <c r="D217" i="3"/>
  <c r="D216" i="3" s="1"/>
  <c r="D190" i="3"/>
  <c r="P207" i="1"/>
  <c r="P243" i="1"/>
  <c r="D111" i="3"/>
  <c r="D92" i="3"/>
  <c r="D82" i="3" s="1"/>
  <c r="D165" i="3"/>
  <c r="D240" i="3"/>
  <c r="D239" i="3" s="1"/>
  <c r="D166" i="3"/>
  <c r="D172" i="3"/>
  <c r="D229" i="3"/>
  <c r="P278" i="1"/>
  <c r="D163" i="3"/>
  <c r="D167" i="3"/>
  <c r="D225" i="3"/>
  <c r="D128" i="3"/>
  <c r="D220" i="3"/>
  <c r="P241" i="1"/>
  <c r="O222" i="1"/>
  <c r="D149" i="3"/>
  <c r="D136" i="3"/>
  <c r="D183" i="3"/>
  <c r="D150" i="3"/>
  <c r="D148" i="3"/>
  <c r="J222" i="1"/>
  <c r="D234" i="3"/>
  <c r="P212" i="1"/>
  <c r="D143" i="3"/>
  <c r="D115" i="3"/>
  <c r="D112" i="3"/>
  <c r="P21" i="1"/>
  <c r="P61" i="1"/>
  <c r="P58" i="1"/>
  <c r="O237" i="3" s="1"/>
  <c r="P56" i="1"/>
  <c r="P54" i="1"/>
  <c r="O227" i="3" s="1"/>
  <c r="P52" i="1"/>
  <c r="P114" i="1"/>
  <c r="O78" i="3" s="1"/>
  <c r="P106" i="1"/>
  <c r="O70" i="3" s="1"/>
  <c r="P104" i="1"/>
  <c r="O68" i="3" s="1"/>
  <c r="P88" i="1"/>
  <c r="O51" i="3" s="1"/>
  <c r="P85" i="1"/>
  <c r="P82" i="1"/>
  <c r="O38" i="3" s="1"/>
  <c r="P142" i="1"/>
  <c r="P198" i="1"/>
  <c r="O135" i="3" s="1"/>
  <c r="P196" i="1"/>
  <c r="O133" i="3" s="1"/>
  <c r="P193" i="1"/>
  <c r="O130" i="3" s="1"/>
  <c r="P190" i="1"/>
  <c r="P186" i="1"/>
  <c r="O118" i="3" s="1"/>
  <c r="P183" i="1"/>
  <c r="P180" i="1"/>
  <c r="P253" i="1"/>
  <c r="P248" i="1"/>
  <c r="P245" i="1"/>
  <c r="O163" i="3" s="1"/>
  <c r="P294" i="1"/>
  <c r="O184" i="3" s="1"/>
  <c r="P336" i="1"/>
  <c r="O253" i="3" s="1"/>
  <c r="O252" i="3" s="1"/>
  <c r="P62" i="1"/>
  <c r="O245" i="3" s="1"/>
  <c r="O244" i="3" s="1"/>
  <c r="P60" i="1"/>
  <c r="P57" i="1"/>
  <c r="O236" i="3" s="1"/>
  <c r="P55" i="1"/>
  <c r="P53" i="1"/>
  <c r="O225" i="3" s="1"/>
  <c r="P51" i="1"/>
  <c r="P103" i="1"/>
  <c r="O67" i="3" s="1"/>
  <c r="P97" i="1"/>
  <c r="O60" i="3" s="1"/>
  <c r="P176" i="1"/>
  <c r="P199" i="1"/>
  <c r="P197" i="1"/>
  <c r="O134" i="3" s="1"/>
  <c r="P195" i="1"/>
  <c r="O132" i="3" s="1"/>
  <c r="P191" i="1"/>
  <c r="O128" i="3" s="1"/>
  <c r="P188" i="1"/>
  <c r="O120" i="3" s="1"/>
  <c r="P184" i="1"/>
  <c r="O116" i="3" s="1"/>
  <c r="P182" i="1"/>
  <c r="O114" i="3" s="1"/>
  <c r="P179" i="1"/>
  <c r="P249" i="1"/>
  <c r="P247" i="1"/>
  <c r="P246" i="1"/>
  <c r="O164" i="3" s="1"/>
  <c r="P295" i="1"/>
  <c r="O186" i="3" s="1"/>
  <c r="P329" i="1"/>
  <c r="J233" i="1"/>
  <c r="P269" i="1"/>
  <c r="P310" i="1"/>
  <c r="P311" i="1"/>
  <c r="P324" i="1"/>
  <c r="O223" i="3" s="1"/>
  <c r="J319" i="1"/>
  <c r="P333" i="1"/>
  <c r="P330" i="1"/>
  <c r="P218" i="1"/>
  <c r="O122" i="3" s="1"/>
  <c r="P217" i="1"/>
  <c r="O121" i="3" s="1"/>
  <c r="P46" i="1"/>
  <c r="O204" i="3" s="1"/>
  <c r="O200" i="3" s="1"/>
  <c r="P39" i="1"/>
  <c r="O155" i="3" s="1"/>
  <c r="P37" i="1"/>
  <c r="O153" i="3" s="1"/>
  <c r="P35" i="1"/>
  <c r="P33" i="1"/>
  <c r="P28" i="1"/>
  <c r="O123" i="3" s="1"/>
  <c r="P26" i="1"/>
  <c r="P224" i="1"/>
  <c r="P304" i="1"/>
  <c r="P318" i="1"/>
  <c r="P317" i="1" s="1"/>
  <c r="P316" i="1" s="1"/>
  <c r="P325" i="1"/>
  <c r="O224" i="3" s="1"/>
  <c r="P323" i="1"/>
  <c r="P322" i="1"/>
  <c r="O179" i="3" s="1"/>
  <c r="O178" i="3" s="1"/>
  <c r="P326" i="1"/>
  <c r="P254" i="1"/>
  <c r="P42" i="1"/>
  <c r="P40" i="1"/>
  <c r="O157" i="3" s="1"/>
  <c r="P38" i="1"/>
  <c r="O154" i="3" s="1"/>
  <c r="P36" i="1"/>
  <c r="P32" i="1"/>
  <c r="P29" i="1"/>
  <c r="O124" i="3" s="1"/>
  <c r="P27" i="1"/>
  <c r="P164" i="1"/>
  <c r="P159" i="1"/>
  <c r="O103" i="3" s="1"/>
  <c r="P158" i="1"/>
  <c r="O102" i="3" s="1"/>
  <c r="P155" i="1"/>
  <c r="O99" i="3" s="1"/>
  <c r="P153" i="1"/>
  <c r="O97" i="3" s="1"/>
  <c r="P151" i="1"/>
  <c r="O95" i="3" s="1"/>
  <c r="P148" i="1"/>
  <c r="P143" i="1"/>
  <c r="O87" i="3" s="1"/>
  <c r="J213" i="1"/>
  <c r="P229" i="1"/>
  <c r="P231" i="1"/>
  <c r="P226" i="1"/>
  <c r="P298" i="1"/>
  <c r="P293" i="1"/>
  <c r="P23" i="1"/>
  <c r="O21" i="3" s="1"/>
  <c r="P34" i="1"/>
  <c r="P244" i="1"/>
  <c r="O162" i="3" s="1"/>
  <c r="P315" i="1"/>
  <c r="P41" i="1"/>
  <c r="O158" i="3" s="1"/>
  <c r="P81" i="1"/>
  <c r="O36" i="3" s="1"/>
  <c r="P216" i="1"/>
  <c r="P228" i="1"/>
  <c r="P227" i="1"/>
  <c r="P331" i="1"/>
  <c r="P286" i="1"/>
  <c r="P291" i="1"/>
  <c r="P334" i="1"/>
  <c r="O246" i="3" s="1"/>
  <c r="J327" i="1"/>
  <c r="J66" i="1"/>
  <c r="P321" i="1"/>
  <c r="P281" i="1"/>
  <c r="P280" i="1" s="1"/>
  <c r="P279" i="1" s="1"/>
  <c r="P80" i="1"/>
  <c r="J17" i="1"/>
  <c r="P206" i="1"/>
  <c r="D232" i="3" l="1"/>
  <c r="P134" i="1"/>
  <c r="P133" i="1" s="1"/>
  <c r="O144" i="3"/>
  <c r="P18" i="1"/>
  <c r="O190" i="3"/>
  <c r="D180" i="3"/>
  <c r="P234" i="1"/>
  <c r="D24" i="3"/>
  <c r="O48" i="3"/>
  <c r="P67" i="1"/>
  <c r="P66" i="1" s="1"/>
  <c r="E337" i="1"/>
  <c r="O19" i="3"/>
  <c r="O17" i="3" s="1"/>
  <c r="P214" i="1"/>
  <c r="P309" i="1"/>
  <c r="O243" i="3"/>
  <c r="O241" i="3" s="1"/>
  <c r="D160" i="3"/>
  <c r="O221" i="3"/>
  <c r="O127" i="3"/>
  <c r="D104" i="3"/>
  <c r="O261" i="3"/>
  <c r="O258" i="3" s="1"/>
  <c r="O250" i="3" s="1"/>
  <c r="O159" i="3"/>
  <c r="O151" i="3" s="1"/>
  <c r="D258" i="3"/>
  <c r="D250" i="3" s="1"/>
  <c r="D218" i="3"/>
  <c r="P223" i="1"/>
  <c r="O228" i="3"/>
  <c r="D151" i="3"/>
  <c r="O217" i="3"/>
  <c r="O216" i="3" s="1"/>
  <c r="O147" i="3"/>
  <c r="O136" i="3"/>
  <c r="O111" i="3"/>
  <c r="O92" i="3"/>
  <c r="O82" i="3" s="1"/>
  <c r="O165" i="3"/>
  <c r="O240" i="3"/>
  <c r="O239" i="3" s="1"/>
  <c r="O166" i="3"/>
  <c r="O229" i="3"/>
  <c r="O172" i="3"/>
  <c r="P328" i="1"/>
  <c r="P320" i="1"/>
  <c r="O183" i="3"/>
  <c r="O143" i="3"/>
  <c r="D146" i="3"/>
  <c r="O220" i="3"/>
  <c r="O234" i="3"/>
  <c r="O232" i="3" s="1"/>
  <c r="O167" i="3"/>
  <c r="O150" i="3"/>
  <c r="O149" i="3"/>
  <c r="O115" i="3"/>
  <c r="O148" i="3"/>
  <c r="O112" i="3"/>
  <c r="L282" i="1"/>
  <c r="O180" i="3" l="1"/>
  <c r="O24" i="3"/>
  <c r="L337" i="1"/>
  <c r="L347" i="1" s="1"/>
  <c r="D173" i="3"/>
  <c r="O218" i="3"/>
  <c r="O173" i="3" s="1"/>
  <c r="O146" i="3"/>
  <c r="P292" i="1"/>
  <c r="P283" i="1" s="1"/>
  <c r="J282" i="1"/>
  <c r="D263" i="3" l="1"/>
  <c r="E347" i="1" s="1"/>
  <c r="O171" i="3"/>
  <c r="O160" i="3" s="1"/>
  <c r="J110" i="3" l="1"/>
  <c r="J104" i="3" s="1"/>
  <c r="K169" i="1"/>
  <c r="K337" i="1" s="1"/>
  <c r="N110" i="3"/>
  <c r="N104" i="3" s="1"/>
  <c r="O169" i="1"/>
  <c r="O337" i="1" s="1"/>
  <c r="J178" i="1"/>
  <c r="J170" i="1" s="1"/>
  <c r="N263" i="3" l="1"/>
  <c r="O347" i="1" s="1"/>
  <c r="J263" i="3"/>
  <c r="K347" i="1" s="1"/>
  <c r="I110" i="3"/>
  <c r="I104" i="3" s="1"/>
  <c r="P178" i="1"/>
  <c r="P170" i="1" s="1"/>
  <c r="P17" i="1"/>
  <c r="P308" i="1"/>
  <c r="P327" i="1"/>
  <c r="I263" i="3" l="1"/>
  <c r="O110" i="3"/>
  <c r="O104" i="3" s="1"/>
  <c r="P169" i="1"/>
  <c r="J169" i="1"/>
  <c r="P319" i="1"/>
  <c r="P282" i="1"/>
  <c r="P233" i="1"/>
  <c r="P222" i="1"/>
  <c r="P213" i="1"/>
  <c r="P337" i="1" l="1"/>
  <c r="J337" i="1"/>
  <c r="J347" i="1" s="1"/>
  <c r="O263" i="3"/>
  <c r="C58" i="1"/>
  <c r="P347" i="1" l="1"/>
  <c r="C331" i="1"/>
  <c r="D331" i="1"/>
  <c r="B331" i="1"/>
  <c r="C270" i="1"/>
  <c r="D270" i="1"/>
  <c r="B270" i="1"/>
  <c r="C182" i="1" l="1"/>
  <c r="D182" i="1"/>
  <c r="B182" i="1"/>
  <c r="C34" i="1"/>
  <c r="B34" i="1"/>
  <c r="B155" i="1"/>
  <c r="C155" i="1"/>
  <c r="D155" i="1"/>
  <c r="B191" i="1"/>
  <c r="C191" i="1"/>
  <c r="D191" i="1"/>
  <c r="B193" i="1"/>
  <c r="C193" i="1"/>
  <c r="C186" i="1"/>
  <c r="D186" i="1"/>
  <c r="B186" i="1"/>
  <c r="C315" i="1"/>
  <c r="B315" i="1"/>
  <c r="C311" i="1"/>
  <c r="D311" i="1"/>
  <c r="B311" i="1"/>
  <c r="D159" i="1"/>
  <c r="C159" i="1"/>
  <c r="B159" i="1"/>
  <c r="C158" i="1"/>
  <c r="D158" i="1"/>
  <c r="B158" i="1"/>
  <c r="C55" i="1"/>
  <c r="B55" i="1"/>
  <c r="C212" i="1"/>
  <c r="B212" i="1"/>
  <c r="C206" i="1"/>
  <c r="D206" i="1"/>
  <c r="C207" i="1"/>
  <c r="B207" i="1"/>
  <c r="B206" i="1"/>
  <c r="C199" i="1"/>
  <c r="D199" i="1"/>
  <c r="B199" i="1"/>
  <c r="C198" i="1"/>
  <c r="D198" i="1"/>
  <c r="B198" i="1"/>
  <c r="C197" i="1"/>
  <c r="B197" i="1"/>
  <c r="C196" i="1"/>
  <c r="D196" i="1"/>
  <c r="B196" i="1"/>
  <c r="C195" i="1"/>
  <c r="D195" i="1"/>
  <c r="B195" i="1"/>
  <c r="C190" i="1"/>
  <c r="D190" i="1"/>
  <c r="B190" i="1"/>
  <c r="C188" i="1"/>
  <c r="D188" i="1"/>
  <c r="B188" i="1"/>
  <c r="C184" i="1"/>
  <c r="D184" i="1"/>
  <c r="B184" i="1"/>
  <c r="C183" i="1"/>
  <c r="D183" i="1"/>
  <c r="B183" i="1"/>
  <c r="C180" i="1"/>
  <c r="D180" i="1"/>
  <c r="B180" i="1"/>
  <c r="C179" i="1"/>
  <c r="B179" i="1"/>
  <c r="C178" i="1"/>
  <c r="D178" i="1"/>
  <c r="B178" i="1"/>
  <c r="C164" i="1"/>
  <c r="B164" i="1"/>
  <c r="C153" i="1"/>
  <c r="D153" i="1"/>
  <c r="B153" i="1"/>
  <c r="C151" i="1"/>
  <c r="B151" i="1"/>
  <c r="C148" i="1"/>
  <c r="B148" i="1"/>
  <c r="C143" i="1"/>
  <c r="B143" i="1"/>
  <c r="C104" i="1"/>
  <c r="C106" i="1"/>
  <c r="C82" i="1"/>
  <c r="B82" i="1"/>
  <c r="C81" i="1"/>
  <c r="B81" i="1"/>
  <c r="C62" i="1"/>
  <c r="D62" i="1"/>
  <c r="B62" i="1"/>
  <c r="C61" i="1"/>
  <c r="D61" i="1"/>
  <c r="B61" i="1"/>
  <c r="C60" i="1"/>
  <c r="D60" i="1"/>
  <c r="B60" i="1"/>
  <c r="B58" i="1"/>
  <c r="C57" i="1"/>
  <c r="D57" i="1"/>
  <c r="B57" i="1"/>
  <c r="C56" i="1"/>
  <c r="D56" i="1"/>
  <c r="B56" i="1"/>
  <c r="C54" i="1"/>
  <c r="D54" i="1"/>
  <c r="B54" i="1"/>
  <c r="C53" i="1"/>
  <c r="B53" i="1"/>
  <c r="C52" i="1"/>
  <c r="D52" i="1"/>
  <c r="B52" i="1"/>
  <c r="C51" i="1"/>
  <c r="B51" i="1"/>
  <c r="C46" i="1"/>
  <c r="D46" i="1"/>
  <c r="B46" i="1"/>
  <c r="C32" i="1"/>
  <c r="C33" i="1"/>
  <c r="B33" i="1"/>
  <c r="B32" i="1"/>
  <c r="C35" i="1"/>
  <c r="C36" i="1"/>
  <c r="B35" i="1"/>
  <c r="C42" i="1"/>
  <c r="D42" i="1"/>
  <c r="B42" i="1"/>
  <c r="C41" i="1"/>
  <c r="B41" i="1"/>
  <c r="C40" i="1"/>
  <c r="B40" i="1"/>
  <c r="C39" i="1"/>
  <c r="B39" i="1"/>
  <c r="C38" i="1"/>
  <c r="B38" i="1"/>
  <c r="C37" i="1"/>
  <c r="B37" i="1"/>
  <c r="C31" i="1"/>
  <c r="B31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218" i="1"/>
  <c r="C218" i="1"/>
  <c r="B218" i="1"/>
  <c r="C226" i="1"/>
  <c r="D226" i="1"/>
  <c r="B226" i="1"/>
  <c r="C228" i="1"/>
  <c r="D228" i="1"/>
  <c r="C229" i="1"/>
  <c r="D229" i="1"/>
  <c r="B229" i="1"/>
  <c r="B228" i="1"/>
  <c r="C231" i="1"/>
  <c r="B231" i="1"/>
  <c r="C243" i="1"/>
  <c r="D243" i="1"/>
  <c r="B243" i="1"/>
  <c r="C247" i="1"/>
  <c r="D247" i="1"/>
  <c r="B247" i="1"/>
  <c r="C246" i="1"/>
  <c r="D246" i="1"/>
  <c r="B246" i="1"/>
  <c r="C245" i="1"/>
  <c r="D245" i="1"/>
  <c r="B245" i="1"/>
  <c r="C244" i="1"/>
  <c r="D244" i="1"/>
  <c r="B244" i="1"/>
  <c r="C248" i="1"/>
  <c r="D248" i="1"/>
  <c r="B248" i="1"/>
  <c r="C249" i="1"/>
  <c r="D249" i="1"/>
  <c r="B249" i="1"/>
  <c r="C253" i="1"/>
  <c r="D253" i="1"/>
  <c r="B253" i="1"/>
  <c r="C254" i="1"/>
  <c r="B254" i="1"/>
  <c r="C255" i="1"/>
  <c r="B255" i="1"/>
  <c r="C269" i="1"/>
  <c r="B269" i="1"/>
  <c r="C275" i="1"/>
  <c r="D275" i="1"/>
  <c r="B275" i="1"/>
  <c r="C278" i="1"/>
  <c r="B278" i="1"/>
  <c r="C291" i="1"/>
  <c r="D291" i="1"/>
  <c r="B291" i="1"/>
  <c r="C292" i="1"/>
  <c r="B292" i="1"/>
  <c r="C293" i="1"/>
  <c r="D293" i="1"/>
  <c r="B293" i="1"/>
  <c r="C295" i="1"/>
  <c r="B295" i="1"/>
  <c r="C294" i="1"/>
  <c r="B294" i="1"/>
  <c r="C298" i="1"/>
  <c r="B298" i="1"/>
  <c r="C304" i="1"/>
  <c r="B304" i="1"/>
  <c r="C322" i="1"/>
  <c r="D322" i="1"/>
  <c r="B322" i="1"/>
  <c r="C323" i="1"/>
  <c r="D323" i="1"/>
  <c r="B323" i="1"/>
  <c r="C324" i="1"/>
  <c r="D324" i="1"/>
  <c r="B324" i="1"/>
  <c r="C325" i="1"/>
  <c r="D325" i="1"/>
  <c r="B325" i="1"/>
  <c r="C326" i="1"/>
  <c r="D326" i="1"/>
  <c r="B326" i="1"/>
  <c r="C330" i="1"/>
  <c r="B330" i="1"/>
  <c r="C333" i="1"/>
  <c r="D333" i="1"/>
  <c r="B333" i="1"/>
  <c r="C334" i="1"/>
  <c r="D334" i="1"/>
  <c r="B334" i="1"/>
  <c r="C335" i="1"/>
  <c r="D335" i="1"/>
  <c r="C336" i="1"/>
  <c r="D336" i="1"/>
  <c r="B336" i="1"/>
  <c r="C329" i="1"/>
  <c r="B329" i="1"/>
  <c r="C321" i="1"/>
  <c r="B321" i="1"/>
  <c r="C318" i="1"/>
  <c r="B318" i="1"/>
  <c r="C310" i="1"/>
  <c r="B310" i="1"/>
  <c r="C286" i="1"/>
  <c r="B286" i="1"/>
  <c r="C281" i="1"/>
  <c r="B281" i="1"/>
  <c r="C241" i="1"/>
  <c r="B241" i="1"/>
  <c r="C224" i="1"/>
  <c r="B224" i="1"/>
  <c r="C216" i="1"/>
  <c r="B216" i="1"/>
  <c r="C176" i="1"/>
  <c r="B176" i="1"/>
  <c r="C142" i="1"/>
  <c r="B142" i="1"/>
  <c r="C80" i="1"/>
  <c r="B80" i="1"/>
  <c r="C21" i="1"/>
  <c r="B21" i="1"/>
  <c r="E84" i="3" l="1"/>
  <c r="D84" i="3" l="1"/>
  <c r="I84" i="3"/>
  <c r="O84" i="3" l="1"/>
  <c r="D83" i="3" l="1"/>
  <c r="I86" i="3"/>
  <c r="I85" i="3"/>
  <c r="O86" i="3"/>
  <c r="O85" i="3" l="1"/>
  <c r="I83" i="3"/>
  <c r="O83" i="3" l="1"/>
  <c r="I201" i="3" l="1"/>
  <c r="I175" i="3" s="1"/>
  <c r="I265" i="3" s="1"/>
  <c r="J349" i="1" s="1"/>
  <c r="D201" i="3"/>
  <c r="D175" i="3" s="1"/>
  <c r="D265" i="3" s="1"/>
  <c r="E349" i="1" s="1"/>
  <c r="O201" i="3" l="1"/>
  <c r="O175" i="3" s="1"/>
  <c r="O265" i="3" s="1"/>
  <c r="P349" i="1" s="1"/>
  <c r="D174" i="3" l="1"/>
  <c r="I181" i="3" l="1"/>
  <c r="I264" i="3" s="1"/>
  <c r="J348" i="1" s="1"/>
  <c r="O181" i="3"/>
  <c r="O264" i="3" s="1"/>
  <c r="P348" i="1" s="1"/>
  <c r="O174" i="3" l="1"/>
  <c r="I174" i="3"/>
</calcChain>
</file>

<file path=xl/sharedStrings.xml><?xml version="1.0" encoding="utf-8"?>
<sst xmlns="http://schemas.openxmlformats.org/spreadsheetml/2006/main" count="1053" uniqueCount="634">
  <si>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</si>
  <si>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</si>
  <si>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</si>
  <si>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</si>
  <si>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</si>
  <si>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</si>
  <si>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</si>
  <si>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</si>
  <si>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</si>
  <si>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</si>
  <si>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</si>
  <si>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</si>
  <si>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</si>
  <si>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</si>
  <si>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</si>
  <si>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</si>
  <si>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</si>
  <si>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</si>
  <si>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</si>
  <si>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</si>
  <si>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</si>
  <si>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</si>
  <si>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</si>
  <si>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</si>
  <si>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</si>
  <si>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</si>
  <si>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</si>
  <si>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</si>
  <si>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</si>
  <si>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</si>
  <si>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</si>
  <si>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</si>
  <si>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</si>
  <si>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</si>
  <si>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</si>
  <si>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</si>
  <si>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</si>
  <si>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</si>
  <si>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</si>
  <si>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</si>
  <si>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</si>
  <si>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</si>
  <si>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</si>
  <si>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</si>
  <si>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</si>
  <si>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</si>
  <si>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</si>
  <si>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</si>
  <si>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</si>
  <si>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</si>
  <si>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</si>
  <si>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</si>
  <si>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</si>
  <si>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</si>
  <si>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</si>
  <si>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</si>
  <si>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</si>
  <si>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</si>
  <si>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</si>
  <si>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</si>
  <si>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</si>
  <si>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</si>
  <si>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</si>
  <si>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</si>
  <si>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</si>
  <si>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</si>
  <si>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</si>
  <si>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</si>
  <si>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</si>
  <si>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</si>
  <si>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</si>
  <si>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</si>
  <si>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</si>
  <si>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</si>
  <si>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</si>
  <si>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</si>
  <si>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</si>
  <si>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</si>
  <si>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</si>
  <si>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</si>
  <si>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</si>
  <si>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</si>
  <si>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</si>
  <si>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</si>
  <si>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</si>
  <si>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</si>
  <si>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</si>
  <si>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</si>
  <si>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</si>
  <si>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</si>
  <si>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</si>
  <si>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</si>
  <si>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</si>
  <si>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</si>
  <si>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</si>
  <si>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</si>
  <si>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</si>
  <si>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</si>
  <si>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</si>
  <si>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</si>
  <si>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</si>
  <si>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</si>
  <si>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</si>
  <si>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</si>
  <si>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</si>
  <si>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</si>
  <si>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</si>
  <si>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</si>
  <si>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</si>
  <si>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</si>
  <si>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</si>
  <si>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</si>
  <si>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</si>
  <si>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</si>
  <si>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</si>
  <si>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</si>
  <si>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</si>
  <si>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</si>
  <si>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</si>
  <si>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</si>
  <si>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</si>
  <si>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</si>
  <si>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</si>
  <si>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</si>
  <si>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</si>
  <si>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</si>
  <si>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</si>
  <si>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</si>
  <si>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</si>
  <si>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</si>
  <si>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</si>
  <si>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</si>
  <si>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</si>
  <si>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</si>
  <si>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</si>
  <si>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</si>
  <si>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</si>
  <si>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</si>
  <si>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</si>
  <si>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</si>
  <si>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</si>
  <si>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</si>
  <si>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</si>
  <si>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</si>
  <si>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</si>
  <si>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</si>
  <si>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</si>
  <si>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</si>
  <si>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</si>
  <si>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</si>
  <si>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</si>
  <si>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</si>
  <si>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</si>
  <si>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</si>
  <si>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</si>
  <si>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</si>
  <si>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</si>
  <si>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</si>
  <si>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</si>
  <si>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</si>
  <si>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</si>
  <si>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</si>
  <si>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</si>
  <si>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</si>
  <si>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</si>
  <si>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</si>
  <si>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</si>
  <si>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</si>
  <si>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</si>
  <si>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</si>
  <si>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</si>
  <si>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</si>
  <si>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</si>
  <si>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</si>
  <si>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</si>
  <si>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</si>
  <si>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</si>
  <si>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</si>
  <si>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</si>
  <si>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</si>
  <si>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</si>
  <si>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</si>
  <si>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</si>
  <si>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</si>
  <si>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</si>
  <si>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</si>
  <si>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</si>
  <si>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</si>
  <si>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</si>
  <si>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</si>
  <si>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</si>
  <si>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</si>
  <si>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</si>
  <si>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</si>
  <si>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</si>
  <si>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</si>
  <si>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</si>
  <si>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</si>
  <si>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</si>
  <si>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</si>
  <si>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</si>
  <si>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</si>
  <si>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</si>
  <si>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</si>
  <si>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</si>
  <si>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</si>
  <si>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</si>
  <si>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</si>
  <si>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</si>
  <si>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</si>
  <si>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</si>
  <si>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</si>
  <si>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</si>
  <si>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</si>
  <si>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</si>
  <si>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</si>
  <si>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</si>
  <si>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</si>
  <si>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</si>
  <si>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</si>
  <si>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</si>
  <si>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</si>
  <si>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</si>
  <si>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</si>
  <si>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</si>
  <si>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</si>
  <si>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</si>
  <si>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</si>
  <si>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</si>
  <si>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</si>
  <si>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</si>
  <si>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</si>
  <si>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</si>
  <si>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</si>
  <si>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</si>
  <si>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</si>
  <si>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</si>
  <si>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</si>
  <si>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</si>
  <si>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</si>
  <si>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</si>
  <si>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</si>
  <si>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</si>
  <si>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</si>
  <si>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</si>
  <si>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</si>
  <si>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</si>
  <si>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</si>
  <si>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</si>
  <si>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</si>
  <si>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</si>
  <si>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</si>
  <si>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</si>
  <si>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</si>
  <si>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</si>
  <si>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</si>
  <si>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</si>
  <si>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</si>
  <si>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</si>
  <si>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</si>
  <si>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</si>
  <si>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</si>
  <si>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</si>
  <si>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</si>
  <si>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</si>
  <si>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</si>
  <si>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</si>
  <si>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</si>
  <si>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</si>
  <si>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</si>
  <si>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</si>
  <si>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</si>
  <si>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</si>
  <si>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</si>
  <si>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</si>
  <si>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</si>
  <si>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</si>
  <si>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</si>
  <si>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</si>
  <si>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</si>
  <si>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</si>
  <si>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</si>
  <si>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</si>
  <si>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</si>
  <si>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</si>
  <si>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</si>
  <si>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</si>
  <si>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</si>
  <si>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</si>
  <si>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</si>
  <si>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</si>
  <si>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</si>
  <si>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</si>
  <si>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</si>
  <si>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</si>
  <si>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</si>
  <si>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</si>
  <si>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</si>
  <si>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</si>
  <si>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</si>
  <si>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</si>
  <si>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</si>
  <si>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</si>
  <si>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</si>
  <si>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</si>
  <si>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</si>
  <si>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</si>
  <si>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</si>
  <si>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</si>
  <si>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</si>
  <si>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</si>
  <si>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</si>
  <si>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</si>
  <si>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</si>
  <si>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</si>
  <si>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</si>
  <si>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</si>
  <si>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</si>
  <si>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</si>
  <si>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</si>
  <si>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</si>
  <si>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</si>
  <si>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</si>
  <si>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</si>
  <si>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</si>
  <si>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</si>
  <si>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</si>
  <si>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</si>
  <si>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</si>
  <si>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</si>
  <si>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</si>
  <si>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</si>
  <si>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</si>
  <si>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</si>
  <si>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</si>
  <si>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</si>
  <si>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</si>
  <si>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</si>
  <si>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</si>
  <si>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</si>
  <si>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</si>
  <si>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</si>
  <si>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</si>
  <si>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</si>
  <si>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</si>
  <si>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</si>
  <si>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</si>
  <si>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</si>
  <si>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</si>
  <si>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</si>
  <si>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</si>
  <si>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</si>
  <si>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</si>
  <si>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</si>
  <si>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</si>
  <si>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</si>
  <si>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</si>
  <si>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</si>
  <si>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</si>
  <si>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</si>
  <si>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</si>
  <si>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</si>
  <si>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</si>
  <si>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</si>
  <si>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</si>
  <si>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</si>
  <si>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</si>
  <si>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</si>
  <si>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</si>
  <si>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</si>
  <si>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</si>
  <si>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</si>
  <si>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</si>
  <si>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</si>
  <si>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</si>
  <si>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</si>
  <si>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</si>
  <si>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</si>
  <si>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</si>
  <si>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</si>
  <si>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</si>
  <si>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</si>
  <si>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</si>
  <si>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</si>
  <si>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</si>
  <si>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</si>
  <si>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</si>
  <si>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</si>
  <si>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</si>
  <si>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</si>
  <si>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</si>
  <si>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</si>
  <si>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</si>
  <si>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</si>
  <si>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</si>
  <si>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</si>
  <si>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</si>
  <si>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</si>
  <si>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</si>
  <si>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</si>
  <si>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</si>
  <si>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</si>
  <si>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</si>
  <si>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</si>
  <si>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</si>
  <si>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</si>
  <si>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</si>
  <si>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</si>
  <si>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</si>
  <si>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</si>
  <si>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</si>
  <si>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</si>
  <si>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</si>
  <si>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</si>
  <si>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</si>
  <si>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</si>
  <si>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</si>
  <si>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</si>
  <si>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</si>
  <si>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</si>
  <si>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</si>
  <si>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</si>
  <si>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</si>
  <si>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</si>
  <si>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</si>
  <si>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</si>
  <si>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</si>
  <si>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</si>
  <si>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</si>
  <si>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</si>
  <si>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</si>
  <si>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</si>
  <si>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</si>
  <si>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</si>
  <si>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</si>
  <si>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</si>
  <si>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</si>
  <si>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</si>
  <si>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</si>
  <si>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</si>
  <si>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</si>
  <si>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</si>
  <si>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</si>
  <si>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</si>
  <si>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</si>
  <si>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</si>
  <si>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</si>
  <si>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</si>
  <si>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</si>
  <si>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</si>
  <si>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</si>
  <si>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</si>
  <si>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</si>
  <si>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</si>
  <si>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</si>
  <si>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</si>
  <si>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</si>
  <si>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</si>
  <si>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</si>
  <si>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</si>
  <si>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</si>
  <si>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</si>
  <si>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</si>
  <si>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</si>
  <si>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</si>
  <si>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</si>
  <si>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</si>
  <si>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</si>
  <si>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</si>
  <si>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</si>
  <si>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</si>
  <si>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</si>
  <si>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</si>
  <si>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</si>
  <si>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</si>
  <si>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</si>
  <si>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</si>
  <si>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</si>
  <si>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</si>
  <si>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</si>
  <si>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</si>
  <si>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</si>
  <si>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</si>
  <si>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</si>
  <si>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</si>
  <si>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</si>
  <si>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</si>
  <si>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</si>
  <si>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</si>
  <si>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</si>
  <si>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</si>
  <si>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</si>
  <si>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</si>
  <si>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</si>
  <si>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</si>
  <si>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</si>
  <si>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</si>
  <si>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</si>
  <si>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</si>
  <si>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</si>
  <si>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</si>
  <si>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</si>
  <si>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</si>
  <si>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</si>
  <si>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</si>
  <si>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</si>
  <si>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</si>
  <si>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</si>
  <si>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</si>
  <si>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</si>
  <si>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</si>
  <si>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</si>
  <si>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</si>
  <si>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</si>
  <si>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</si>
  <si>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</si>
  <si>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</si>
  <si>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</si>
  <si>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</si>
  <si>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</si>
  <si>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</si>
  <si>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</si>
  <si>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</si>
  <si>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</si>
  <si>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</si>
  <si>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</si>
  <si>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</si>
  <si>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</si>
  <si>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</si>
  <si>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</si>
  <si>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</si>
  <si>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</si>
  <si>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</si>
  <si>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</si>
  <si>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</si>
  <si>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</si>
  <si>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</si>
  <si>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</si>
  <si>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</si>
  <si>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субвенції з державного бюджету місцевим бюджнтам на здійснення заходів щодо соціально-економічного розвитку окремих територій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</si>
  <si>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</si>
  <si>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</si>
  <si>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</si>
  <si>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</si>
  <si>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</si>
  <si>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</si>
  <si>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</si>
  <si>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</si>
  <si>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</si>
  <si>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</si>
  <si>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</si>
  <si>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</si>
  <si>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</si>
  <si>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</si>
  <si>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</si>
  <si>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</si>
  <si>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</si>
  <si>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</si>
  <si>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</si>
  <si>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</si>
  <si>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</si>
  <si>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</si>
  <si>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</si>
  <si>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</si>
  <si>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</si>
  <si>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</si>
  <si>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</si>
  <si>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</si>
  <si>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</si>
  <si>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Сумський міський голова</t>
  </si>
  <si>
    <t>0219770</t>
  </si>
  <si>
    <t>Олександр ЛИСЕНКО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</si>
  <si>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</si>
  <si>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</si>
  <si>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</si>
  <si>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РОЗПОДІЛ
видатків бюджету Сумської міської територіальної громади на 2022 рік за головними розпорядниками бюджетних коштів </t>
  </si>
  <si>
    <t>РОЗПОДІЛ
видатків бюджету Сумської міської територіальної громади на 2022 рік за програмною класифікацією видатків та кредитування місцевого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</si>
  <si>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</si>
  <si>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</si>
  <si>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</si>
  <si>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</si>
  <si>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</si>
  <si>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</si>
  <si>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</si>
  <si>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</si>
  <si>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</si>
  <si>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</si>
  <si>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</si>
  <si>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Управління охорони здоров’я Сумської міської ради</t>
  </si>
  <si>
    <t>Багатопрофільна стаціонарна медична допомога населенню</t>
  </si>
  <si>
    <t>Охорона здоров’я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</si>
  <si>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</si>
  <si>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</si>
  <si>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</si>
  <si>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</si>
  <si>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</si>
  <si>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</si>
  <si>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</si>
  <si>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</si>
  <si>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</si>
  <si>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Внески до статутного капіталу суб'єктів господарювання, у т. ч. за рахунок: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</si>
  <si>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</si>
  <si>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</si>
  <si>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</si>
  <si>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</si>
  <si>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</si>
  <si>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</si>
  <si>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</si>
  <si>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</si>
  <si>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</si>
  <si>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</si>
  <si>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</si>
  <si>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Сумської міської ради від 26 січня 2022 року</t>
  </si>
  <si>
    <t xml:space="preserve">№ 2704 - МР «Про бюджет Сумської міської </t>
  </si>
  <si>
    <t>до       рішення      Сумської    міської     ради</t>
  </si>
  <si>
    <t>«Про          внесення      змін    до       рішення</t>
  </si>
  <si>
    <t xml:space="preserve">                              Додаток 2</t>
  </si>
  <si>
    <t>Виконавець: Липова С.А.  ____________</t>
  </si>
  <si>
    <t>Виконавець: Липова С.А. ___________</t>
  </si>
  <si>
    <t xml:space="preserve">територіальної     громади     на    2022     рік» </t>
  </si>
  <si>
    <t xml:space="preserve">(зі змінами)»  </t>
  </si>
  <si>
    <t>територіальної     громади     на    2022     рік»</t>
  </si>
  <si>
    <t xml:space="preserve"> (зі змінами)» </t>
  </si>
  <si>
    <t>0712070</t>
  </si>
  <si>
    <t>0724</t>
  </si>
  <si>
    <t>Екстрена та швидка медична допомога населенню</t>
  </si>
  <si>
    <t xml:space="preserve">                            Додаток 3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</si>
  <si>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</si>
  <si>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</si>
  <si>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</si>
  <si>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</si>
  <si>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</si>
  <si>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від   11   березня   2022   року  № 2996 -  МР</t>
  </si>
  <si>
    <t>від   11  березня   2022   року   № 2996 -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</si>
</sst>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.00;* \-#,##0.00;* &quot;-&quot;??;@"/>
  </numFmts>
  <fonts count="5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87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4" fontId="29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45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3" fontId="28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wrapText="1"/>
    </xf>
    <xf numFmtId="0" fontId="28" fillId="0" borderId="0" xfId="0" applyFont="1" applyFill="1" applyBorder="1"/>
    <xf numFmtId="0" fontId="21" fillId="0" borderId="0" xfId="0" applyFont="1" applyFill="1" applyAlignment="1">
      <alignment vertical="center" wrapText="1"/>
    </xf>
    <xf numFmtId="4" fontId="50" fillId="0" borderId="0" xfId="0" applyNumberFormat="1" applyFont="1" applyFill="1" applyBorder="1" applyAlignment="1">
      <alignment horizontal="right"/>
    </xf>
    <xf numFmtId="49" fontId="52" fillId="0" borderId="0" xfId="0" applyNumberFormat="1" applyFont="1" applyFill="1" applyBorder="1" applyAlignment="1" applyProtection="1"/>
    <xf numFmtId="3" fontId="52" fillId="0" borderId="0" xfId="0" applyNumberFormat="1" applyFont="1" applyFill="1" applyBorder="1"/>
    <xf numFmtId="0" fontId="31" fillId="0" borderId="7" xfId="0" applyFont="1" applyFill="1" applyBorder="1" applyAlignment="1">
      <alignment vertical="center" wrapText="1"/>
    </xf>
    <xf numFmtId="49" fontId="50" fillId="0" borderId="0" xfId="0" applyNumberFormat="1" applyFont="1" applyFill="1" applyBorder="1" applyAlignment="1"/>
    <xf numFmtId="49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3" fontId="51" fillId="0" borderId="0" xfId="0" applyNumberFormat="1" applyFont="1" applyFill="1" applyAlignment="1"/>
    <xf numFmtId="3" fontId="51" fillId="0" borderId="0" xfId="0" applyNumberFormat="1" applyFont="1" applyFill="1" applyBorder="1" applyAlignment="1"/>
    <xf numFmtId="1" fontId="53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2" fontId="37" fillId="0" borderId="0" xfId="0" applyNumberFormat="1" applyFont="1" applyFill="1" applyBorder="1" applyAlignment="1" applyProtection="1">
      <alignment horizontal="center"/>
    </xf>
    <xf numFmtId="2" fontId="37" fillId="0" borderId="0" xfId="0" applyNumberFormat="1" applyFont="1" applyFill="1" applyBorder="1" applyAlignment="1" applyProtection="1">
      <alignment horizontal="left" wrapText="1"/>
    </xf>
    <xf numFmtId="2" fontId="37" fillId="0" borderId="0" xfId="0" applyNumberFormat="1" applyFont="1" applyFill="1" applyBorder="1"/>
    <xf numFmtId="2" fontId="23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left" wrapText="1"/>
    </xf>
    <xf numFmtId="2" fontId="2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Alignment="1"/>
    <xf numFmtId="4" fontId="39" fillId="0" borderId="0" xfId="0" applyNumberFormat="1" applyFont="1" applyFill="1" applyAlignment="1">
      <alignment vertical="center"/>
    </xf>
    <xf numFmtId="4" fontId="28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right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4" fontId="30" fillId="0" borderId="7" xfId="0" applyNumberFormat="1" applyFont="1" applyFill="1" applyBorder="1" applyAlignment="1">
      <alignment horizontal="right" wrapText="1"/>
    </xf>
    <xf numFmtId="4" fontId="41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43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9" fillId="0" borderId="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left" wrapText="1"/>
    </xf>
    <xf numFmtId="4" fontId="51" fillId="0" borderId="0" xfId="0" applyNumberFormat="1" applyFont="1" applyFill="1" applyAlignment="1"/>
    <xf numFmtId="4" fontId="51" fillId="0" borderId="0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37" fillId="0" borderId="7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4" fontId="33" fillId="0" borderId="0" xfId="0" applyNumberFormat="1" applyFont="1" applyFill="1" applyBorder="1"/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21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 applyProtection="1">
      <alignment horizontal="left" wrapText="1"/>
    </xf>
    <xf numFmtId="4" fontId="52" fillId="0" borderId="0" xfId="0" applyNumberFormat="1" applyFont="1" applyFill="1" applyBorder="1" applyAlignment="1" applyProtection="1"/>
    <xf numFmtId="4" fontId="28" fillId="0" borderId="0" xfId="0" applyNumberFormat="1" applyFont="1" applyFill="1" applyBorder="1" applyAlignment="1" applyProtection="1">
      <alignment horizontal="left" wrapText="1"/>
    </xf>
    <xf numFmtId="4" fontId="28" fillId="0" borderId="0" xfId="0" applyNumberFormat="1" applyFont="1" applyFill="1" applyBorder="1"/>
    <xf numFmtId="4" fontId="54" fillId="0" borderId="0" xfId="0" applyNumberFormat="1" applyFont="1" applyFill="1" applyAlignment="1"/>
    <xf numFmtId="4" fontId="54" fillId="0" borderId="0" xfId="0" applyNumberFormat="1" applyFont="1" applyFill="1" applyAlignment="1">
      <alignment vertical="center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4" fontId="48" fillId="0" borderId="7" xfId="0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4" fontId="47" fillId="0" borderId="7" xfId="0" applyNumberFormat="1" applyFont="1" applyFill="1" applyBorder="1" applyAlignment="1" applyProtection="1">
      <alignment horizontal="center" vertical="center" wrapText="1"/>
    </xf>
    <xf numFmtId="49" fontId="46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49" fontId="28" fillId="0" borderId="0" xfId="0" applyNumberFormat="1" applyFont="1" applyFill="1" applyBorder="1" applyAlignment="1" applyProtection="1"/>
    <xf numFmtId="49" fontId="46" fillId="0" borderId="0" xfId="0" applyNumberFormat="1" applyFont="1" applyFill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 xr:uid="{00000000-0005-0000-0000-000000000000}"/>
    <cellStyle name="20% — акцент1" xfId="62" builtinId="30" hidden="1"/>
    <cellStyle name="20% - Акцент2" xfId="2" xr:uid="{00000000-0005-0000-0000-000002000000}"/>
    <cellStyle name="20% — акцент2" xfId="65" builtinId="34" hidden="1"/>
    <cellStyle name="20% - Акцент3" xfId="3" xr:uid="{00000000-0005-0000-0000-000004000000}"/>
    <cellStyle name="20% — акцент3" xfId="68" builtinId="38" hidden="1"/>
    <cellStyle name="20% - Акцент4" xfId="4" xr:uid="{00000000-0005-0000-0000-000006000000}"/>
    <cellStyle name="20% — акцент4" xfId="71" builtinId="42" hidden="1"/>
    <cellStyle name="20% - Акцент5" xfId="5" xr:uid="{00000000-0005-0000-0000-000008000000}"/>
    <cellStyle name="20% — акцент5" xfId="74" builtinId="46" hidden="1"/>
    <cellStyle name="20% - Акцент6" xfId="6" xr:uid="{00000000-0005-0000-0000-00000A000000}"/>
    <cellStyle name="20% — акцент6" xfId="77" builtinId="50" hidden="1"/>
    <cellStyle name="40% - Акцент1" xfId="7" xr:uid="{00000000-0005-0000-0000-00000C000000}"/>
    <cellStyle name="40% — акцент1" xfId="63" builtinId="31" hidden="1"/>
    <cellStyle name="40% - Акцент2" xfId="8" xr:uid="{00000000-0005-0000-0000-00000E000000}"/>
    <cellStyle name="40% — акцент2" xfId="66" builtinId="35" hidden="1"/>
    <cellStyle name="40% - Акцент3" xfId="9" xr:uid="{00000000-0005-0000-0000-000010000000}"/>
    <cellStyle name="40% — акцент3" xfId="69" builtinId="39" hidden="1"/>
    <cellStyle name="40% - Акцент4" xfId="10" xr:uid="{00000000-0005-0000-0000-000012000000}"/>
    <cellStyle name="40% — акцент4" xfId="72" builtinId="43" hidden="1"/>
    <cellStyle name="40% - Акцент5" xfId="11" xr:uid="{00000000-0005-0000-0000-000014000000}"/>
    <cellStyle name="40% — акцент5" xfId="75" builtinId="47" hidden="1"/>
    <cellStyle name="40% - Акцент6" xfId="12" xr:uid="{00000000-0005-0000-0000-000016000000}"/>
    <cellStyle name="40% — акцент6" xfId="78" builtinId="51" hidden="1"/>
    <cellStyle name="60% - Акцент1" xfId="13" xr:uid="{00000000-0005-0000-0000-000018000000}"/>
    <cellStyle name="60% — акцент1" xfId="64" builtinId="32" hidden="1"/>
    <cellStyle name="60% - Акцент2" xfId="14" xr:uid="{00000000-0005-0000-0000-00001A000000}"/>
    <cellStyle name="60% — акцент2" xfId="67" builtinId="36" hidden="1"/>
    <cellStyle name="60% - Акцент3" xfId="15" xr:uid="{00000000-0005-0000-0000-00001C000000}"/>
    <cellStyle name="60% — акцент3" xfId="70" builtinId="40" hidden="1"/>
    <cellStyle name="60% - Акцент4" xfId="16" xr:uid="{00000000-0005-0000-0000-00001E000000}"/>
    <cellStyle name="60% — акцент4" xfId="73" builtinId="44" hidden="1"/>
    <cellStyle name="60% - Акцент5" xfId="17" xr:uid="{00000000-0005-0000-0000-000020000000}"/>
    <cellStyle name="60% — акцент5" xfId="76" builtinId="48" hidden="1"/>
    <cellStyle name="60% - Акцент6" xfId="18" xr:uid="{00000000-0005-0000-0000-000022000000}"/>
    <cellStyle name="60% — акцент6" xfId="79" builtinId="52" hidden="1"/>
    <cellStyle name="Normal_meresha_07" xfId="19" xr:uid="{00000000-0005-0000-0000-000024000000}"/>
    <cellStyle name="Акцент1" xfId="20" xr:uid="{00000000-0005-0000-0000-000025000000}"/>
    <cellStyle name="Акцент2" xfId="21" xr:uid="{00000000-0005-0000-0000-000026000000}"/>
    <cellStyle name="Акцент3" xfId="22" xr:uid="{00000000-0005-0000-0000-000027000000}"/>
    <cellStyle name="Акцент4" xfId="23" xr:uid="{00000000-0005-0000-0000-000028000000}"/>
    <cellStyle name="Акцент5" xfId="24" xr:uid="{00000000-0005-0000-0000-000029000000}"/>
    <cellStyle name="Акцент6" xfId="25" xr:uid="{00000000-0005-0000-0000-00002A000000}"/>
    <cellStyle name="Ввод " xfId="26" xr:uid="{00000000-0005-0000-0000-00002B000000}"/>
    <cellStyle name="Вывод" xfId="27" xr:uid="{00000000-0005-0000-0000-00002C000000}"/>
    <cellStyle name="Вычисление" xfId="28" xr:uid="{00000000-0005-0000-0000-00002D000000}"/>
    <cellStyle name="Денежный" xfId="29" builtinId="4"/>
    <cellStyle name="Звичайний 10" xfId="30" xr:uid="{00000000-0005-0000-0000-00002F000000}"/>
    <cellStyle name="Звичайний 11" xfId="31" xr:uid="{00000000-0005-0000-0000-000030000000}"/>
    <cellStyle name="Звичайний 12" xfId="32" xr:uid="{00000000-0005-0000-0000-000031000000}"/>
    <cellStyle name="Звичайний 13" xfId="33" xr:uid="{00000000-0005-0000-0000-000032000000}"/>
    <cellStyle name="Звичайний 14" xfId="34" xr:uid="{00000000-0005-0000-0000-000033000000}"/>
    <cellStyle name="Звичайний 15" xfId="35" xr:uid="{00000000-0005-0000-0000-000034000000}"/>
    <cellStyle name="Звичайний 16" xfId="36" xr:uid="{00000000-0005-0000-0000-000035000000}"/>
    <cellStyle name="Звичайний 17" xfId="37" xr:uid="{00000000-0005-0000-0000-000036000000}"/>
    <cellStyle name="Звичайний 18" xfId="38" xr:uid="{00000000-0005-0000-0000-000037000000}"/>
    <cellStyle name="Звичайний 19" xfId="39" xr:uid="{00000000-0005-0000-0000-000038000000}"/>
    <cellStyle name="Звичайний 2" xfId="40" xr:uid="{00000000-0005-0000-0000-000039000000}"/>
    <cellStyle name="Звичайний 20" xfId="41" xr:uid="{00000000-0005-0000-0000-00003A000000}"/>
    <cellStyle name="Звичайний 3" xfId="42" xr:uid="{00000000-0005-0000-0000-00003B000000}"/>
    <cellStyle name="Звичайний 4" xfId="43" xr:uid="{00000000-0005-0000-0000-00003C000000}"/>
    <cellStyle name="Звичайний 5" xfId="44" xr:uid="{00000000-0005-0000-0000-00003D000000}"/>
    <cellStyle name="Звичайний 6" xfId="45" xr:uid="{00000000-0005-0000-0000-00003E000000}"/>
    <cellStyle name="Звичайний 7" xfId="46" xr:uid="{00000000-0005-0000-0000-00003F000000}"/>
    <cellStyle name="Звичайний 8" xfId="47" xr:uid="{00000000-0005-0000-0000-000040000000}"/>
    <cellStyle name="Звичайний 9" xfId="48" xr:uid="{00000000-0005-0000-0000-000041000000}"/>
    <cellStyle name="Звичайний_Додаток _ 3 зм_ни 4575" xfId="49" xr:uid="{00000000-0005-0000-0000-000042000000}"/>
    <cellStyle name="Итог" xfId="50" xr:uid="{00000000-0005-0000-0000-000043000000}"/>
    <cellStyle name="Контрольная ячейка" xfId="51" xr:uid="{00000000-0005-0000-0000-000044000000}"/>
    <cellStyle name="Название" xfId="52" xr:uid="{00000000-0005-0000-0000-000045000000}"/>
    <cellStyle name="Нейтральный" xfId="53" xr:uid="{00000000-0005-0000-0000-000046000000}"/>
    <cellStyle name="Обычный" xfId="0" builtinId="0"/>
    <cellStyle name="Обычный 2" xfId="54" xr:uid="{00000000-0005-0000-0000-000048000000}"/>
    <cellStyle name="Плохой" xfId="55" xr:uid="{00000000-0005-0000-0000-000049000000}"/>
    <cellStyle name="Пояснение" xfId="56" xr:uid="{00000000-0005-0000-0000-00004A000000}"/>
    <cellStyle name="Примечание" xfId="57" xr:uid="{00000000-0005-0000-0000-00004B000000}"/>
    <cellStyle name="Связанная ячейка" xfId="58" xr:uid="{00000000-0005-0000-0000-00004C000000}"/>
    <cellStyle name="Стиль 1" xfId="59" xr:uid="{00000000-0005-0000-0000-00004D000000}"/>
    <cellStyle name="Текст предупреждения" xfId="60" xr:uid="{00000000-0005-0000-0000-00004E000000}"/>
    <cellStyle name="Хороший" xfId="61" xr:uid="{00000000-0005-0000-0000-00004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TE1716"/>
  <sheetViews>
    <sheetView showGridLines="0" showZeros="0" view="pageBreakPreview" zoomScale="55" zoomScaleNormal="82" zoomScaleSheetLayoutView="55" workbookViewId="0">
      <selection activeCell="L8" sqref="L8"/>
    </sheetView>
  </sheetViews>
  <sheetFormatPr defaultColWidth="9.1640625" defaultRowHeight="15" x14ac:dyDescent="0.25"/>
  <cols>
    <col min="1" max="1" width="16.1640625" style="54" customWidth="1"/>
    <col min="2" max="2" width="15.33203125" style="18" customWidth="1"/>
    <col min="3" max="3" width="14.6640625" style="18" customWidth="1"/>
    <col min="4" max="4" width="62" style="26" customWidth="1"/>
    <col min="5" max="5" width="22.83203125" style="131" customWidth="1"/>
    <col min="6" max="6" width="22.5" style="131" customWidth="1"/>
    <col min="7" max="7" width="23.83203125" style="131" customWidth="1"/>
    <col min="8" max="8" width="21.5" style="131" customWidth="1"/>
    <col min="9" max="9" width="22.1640625" style="131" customWidth="1"/>
    <col min="10" max="10" width="20.5" style="131" customWidth="1"/>
    <col min="11" max="11" width="22.5" style="131" customWidth="1"/>
    <col min="12" max="12" width="20" style="131" customWidth="1"/>
    <col min="13" max="13" width="19.5" style="131" customWidth="1"/>
    <col min="14" max="14" width="18" style="131" customWidth="1"/>
    <col min="15" max="15" width="21.1640625" style="131" customWidth="1"/>
    <col min="16" max="16" width="23" style="156" bestFit="1" customWidth="1"/>
    <col min="17" max="525" width="9.1640625" style="28"/>
    <col min="526" max="16384" width="9.1640625" style="20"/>
  </cols>
  <sheetData>
    <row r="1" spans="1:525" ht="26.25" customHeight="1" x14ac:dyDescent="0.4">
      <c r="K1" s="168" t="s">
        <v>616</v>
      </c>
      <c r="L1" s="168"/>
      <c r="M1" s="168"/>
      <c r="N1" s="168"/>
      <c r="O1" s="168"/>
      <c r="P1" s="168"/>
    </row>
    <row r="2" spans="1:525" ht="26.25" customHeight="1" x14ac:dyDescent="0.25">
      <c r="K2" s="169" t="s">
        <v>614</v>
      </c>
      <c r="L2" s="169"/>
      <c r="M2" s="169"/>
      <c r="N2" s="169"/>
      <c r="O2" s="169"/>
      <c r="P2" s="169"/>
    </row>
    <row r="3" spans="1:525" ht="26.25" customHeight="1" x14ac:dyDescent="0.4">
      <c r="K3" s="168" t="s">
        <v>615</v>
      </c>
      <c r="L3" s="169"/>
      <c r="M3" s="169"/>
      <c r="N3" s="169"/>
      <c r="O3" s="169"/>
      <c r="P3" s="169"/>
    </row>
    <row r="4" spans="1:525" ht="26.25" customHeight="1" x14ac:dyDescent="0.4">
      <c r="K4" s="168" t="s">
        <v>612</v>
      </c>
      <c r="L4" s="169"/>
      <c r="M4" s="169"/>
      <c r="N4" s="169"/>
      <c r="O4" s="169"/>
      <c r="P4" s="169"/>
    </row>
    <row r="5" spans="1:525" ht="26.25" customHeight="1" x14ac:dyDescent="0.4">
      <c r="K5" s="168" t="s">
        <v>613</v>
      </c>
      <c r="L5" s="169"/>
      <c r="M5" s="169"/>
      <c r="N5" s="169"/>
      <c r="O5" s="169"/>
      <c r="P5" s="169"/>
    </row>
    <row r="6" spans="1:525" ht="28.5" customHeight="1" x14ac:dyDescent="0.4">
      <c r="K6" s="168" t="s">
        <v>621</v>
      </c>
      <c r="L6" s="168"/>
      <c r="M6" s="168"/>
      <c r="N6" s="168"/>
      <c r="O6" s="168"/>
      <c r="P6" s="168"/>
    </row>
    <row r="7" spans="1:525" ht="28.5" customHeight="1" x14ac:dyDescent="0.4">
      <c r="K7" s="168" t="s">
        <v>622</v>
      </c>
      <c r="L7" s="168"/>
      <c r="M7" s="168"/>
      <c r="N7" s="168"/>
      <c r="O7" s="168"/>
      <c r="P7" s="168"/>
    </row>
    <row r="8" spans="1:525" ht="29.25" customHeight="1" x14ac:dyDescent="0.4">
      <c r="K8" s="168" t="s">
        <v>632</v>
      </c>
      <c r="L8" s="168"/>
      <c r="M8" s="168"/>
      <c r="N8" s="168"/>
      <c r="O8" s="168"/>
      <c r="P8" s="168"/>
    </row>
    <row r="9" spans="1:525" ht="26.25" x14ac:dyDescent="0.4">
      <c r="L9" s="134"/>
      <c r="M9" s="134"/>
      <c r="N9" s="134"/>
      <c r="O9" s="134"/>
      <c r="P9" s="134"/>
    </row>
    <row r="10" spans="1:525" s="44" customFormat="1" ht="71.25" customHeight="1" x14ac:dyDescent="0.3">
      <c r="A10" s="176" t="s">
        <v>575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</row>
    <row r="11" spans="1:525" s="44" customFormat="1" ht="23.25" customHeight="1" x14ac:dyDescent="0.35">
      <c r="A11" s="180" t="s">
        <v>552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</row>
    <row r="12" spans="1:525" s="44" customFormat="1" ht="19.5" customHeight="1" x14ac:dyDescent="0.3">
      <c r="A12" s="181" t="s">
        <v>551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</row>
    <row r="13" spans="1:525" s="46" customFormat="1" ht="22.5" customHeight="1" x14ac:dyDescent="0.3">
      <c r="A13" s="52"/>
      <c r="B13" s="48"/>
      <c r="C13" s="48"/>
      <c r="D13" s="19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 t="s">
        <v>353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</row>
    <row r="14" spans="1:525" s="21" customFormat="1" ht="34.5" customHeight="1" x14ac:dyDescent="0.2">
      <c r="A14" s="177" t="s">
        <v>331</v>
      </c>
      <c r="B14" s="178" t="s">
        <v>332</v>
      </c>
      <c r="C14" s="178" t="s">
        <v>322</v>
      </c>
      <c r="D14" s="178" t="s">
        <v>333</v>
      </c>
      <c r="E14" s="175" t="s">
        <v>221</v>
      </c>
      <c r="F14" s="175"/>
      <c r="G14" s="175"/>
      <c r="H14" s="175"/>
      <c r="I14" s="175"/>
      <c r="J14" s="175" t="s">
        <v>222</v>
      </c>
      <c r="K14" s="175"/>
      <c r="L14" s="175"/>
      <c r="M14" s="175"/>
      <c r="N14" s="175"/>
      <c r="O14" s="175"/>
      <c r="P14" s="175" t="s">
        <v>223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</row>
    <row r="15" spans="1:525" s="21" customFormat="1" ht="19.5" customHeight="1" x14ac:dyDescent="0.2">
      <c r="A15" s="177"/>
      <c r="B15" s="178"/>
      <c r="C15" s="178"/>
      <c r="D15" s="178"/>
      <c r="E15" s="174" t="s">
        <v>323</v>
      </c>
      <c r="F15" s="174" t="s">
        <v>224</v>
      </c>
      <c r="G15" s="179" t="s">
        <v>225</v>
      </c>
      <c r="H15" s="179"/>
      <c r="I15" s="174" t="s">
        <v>226</v>
      </c>
      <c r="J15" s="174" t="s">
        <v>323</v>
      </c>
      <c r="K15" s="174" t="s">
        <v>324</v>
      </c>
      <c r="L15" s="174" t="s">
        <v>224</v>
      </c>
      <c r="M15" s="179" t="s">
        <v>225</v>
      </c>
      <c r="N15" s="179"/>
      <c r="O15" s="174" t="s">
        <v>226</v>
      </c>
      <c r="P15" s="175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</row>
    <row r="16" spans="1:525" s="21" customFormat="1" ht="88.5" customHeight="1" x14ac:dyDescent="0.2">
      <c r="A16" s="177"/>
      <c r="B16" s="178"/>
      <c r="C16" s="178"/>
      <c r="D16" s="178"/>
      <c r="E16" s="174"/>
      <c r="F16" s="174"/>
      <c r="G16" s="170" t="s">
        <v>227</v>
      </c>
      <c r="H16" s="170" t="s">
        <v>228</v>
      </c>
      <c r="I16" s="174"/>
      <c r="J16" s="174"/>
      <c r="K16" s="174"/>
      <c r="L16" s="174"/>
      <c r="M16" s="170" t="s">
        <v>227</v>
      </c>
      <c r="N16" s="170" t="s">
        <v>228</v>
      </c>
      <c r="O16" s="174"/>
      <c r="P16" s="175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</row>
    <row r="17" spans="1:525" s="27" customFormat="1" ht="24" customHeight="1" x14ac:dyDescent="0.25">
      <c r="A17" s="102" t="s">
        <v>146</v>
      </c>
      <c r="B17" s="103"/>
      <c r="C17" s="103"/>
      <c r="D17" s="104" t="s">
        <v>34</v>
      </c>
      <c r="E17" s="137">
        <f>E18</f>
        <v>281933163</v>
      </c>
      <c r="F17" s="137">
        <f t="shared" ref="F17:J17" si="0">F18</f>
        <v>223071017</v>
      </c>
      <c r="G17" s="137">
        <f t="shared" si="0"/>
        <v>107666685</v>
      </c>
      <c r="H17" s="137">
        <f t="shared" si="0"/>
        <v>8880100</v>
      </c>
      <c r="I17" s="137">
        <f t="shared" si="0"/>
        <v>58862146</v>
      </c>
      <c r="J17" s="137">
        <f t="shared" si="0"/>
        <v>36252026</v>
      </c>
      <c r="K17" s="137">
        <f t="shared" ref="K17" si="1">K18</f>
        <v>35520000</v>
      </c>
      <c r="L17" s="137">
        <f t="shared" ref="L17" si="2">L18</f>
        <v>702584</v>
      </c>
      <c r="M17" s="137">
        <f t="shared" ref="M17" si="3">M18</f>
        <v>288239</v>
      </c>
      <c r="N17" s="137">
        <f t="shared" ref="N17" si="4">N18</f>
        <v>109690</v>
      </c>
      <c r="O17" s="137">
        <f t="shared" ref="O17:P17" si="5">O18</f>
        <v>35549442</v>
      </c>
      <c r="P17" s="137">
        <f t="shared" si="5"/>
        <v>318185189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</row>
    <row r="18" spans="1:525" s="34" customFormat="1" ht="36" customHeight="1" x14ac:dyDescent="0.25">
      <c r="A18" s="86" t="s">
        <v>147</v>
      </c>
      <c r="B18" s="87"/>
      <c r="C18" s="87"/>
      <c r="D18" s="70" t="s">
        <v>500</v>
      </c>
      <c r="E18" s="138">
        <f>E21+E22+E23+E24+E26+E27+E28+E29+E31+E32+E33+E34+E35+E36+E37+E38+E39+E40+E41+E42+E44+E45+E46+E48+E50+E51+E52+E53+E54+E55+E56+E57+E58+E60+E61+E62+E47+E49+E65+E63+E43+E30+E64</f>
        <v>281933163</v>
      </c>
      <c r="F18" s="138">
        <f t="shared" ref="F18:P18" si="6">F21+F22+F23+F24+F26+F27+F28+F29+F31+F32+F33+F34+F35+F36+F37+F38+F39+F40+F41+F42+F44+F45+F46+F48+F50+F51+F52+F53+F54+F55+F56+F57+F58+F60+F61+F62+F47+F49+F65+F63+F43+F30+F64</f>
        <v>223071017</v>
      </c>
      <c r="G18" s="138">
        <f t="shared" si="6"/>
        <v>107666685</v>
      </c>
      <c r="H18" s="138">
        <f t="shared" si="6"/>
        <v>8880100</v>
      </c>
      <c r="I18" s="138">
        <f t="shared" si="6"/>
        <v>58862146</v>
      </c>
      <c r="J18" s="138">
        <f t="shared" si="6"/>
        <v>36252026</v>
      </c>
      <c r="K18" s="138">
        <f t="shared" si="6"/>
        <v>35520000</v>
      </c>
      <c r="L18" s="138">
        <f t="shared" si="6"/>
        <v>702584</v>
      </c>
      <c r="M18" s="138">
        <f t="shared" si="6"/>
        <v>288239</v>
      </c>
      <c r="N18" s="138">
        <f t="shared" si="6"/>
        <v>109690</v>
      </c>
      <c r="O18" s="138">
        <f t="shared" si="6"/>
        <v>35549442</v>
      </c>
      <c r="P18" s="138">
        <f t="shared" si="6"/>
        <v>318185189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</row>
    <row r="19" spans="1:525" s="34" customFormat="1" ht="63" x14ac:dyDescent="0.25">
      <c r="A19" s="86"/>
      <c r="B19" s="87"/>
      <c r="C19" s="87"/>
      <c r="D19" s="70" t="s">
        <v>377</v>
      </c>
      <c r="E19" s="138">
        <f>E59</f>
        <v>493540</v>
      </c>
      <c r="F19" s="138">
        <f t="shared" ref="F19:P19" si="7">F59</f>
        <v>493540</v>
      </c>
      <c r="G19" s="138">
        <f t="shared" si="7"/>
        <v>404541</v>
      </c>
      <c r="H19" s="138">
        <f t="shared" si="7"/>
        <v>0</v>
      </c>
      <c r="I19" s="138">
        <f t="shared" si="7"/>
        <v>0</v>
      </c>
      <c r="J19" s="138">
        <f t="shared" si="7"/>
        <v>0</v>
      </c>
      <c r="K19" s="138">
        <f t="shared" si="7"/>
        <v>0</v>
      </c>
      <c r="L19" s="138">
        <f t="shared" si="7"/>
        <v>0</v>
      </c>
      <c r="M19" s="138">
        <f t="shared" si="7"/>
        <v>0</v>
      </c>
      <c r="N19" s="138">
        <f t="shared" si="7"/>
        <v>0</v>
      </c>
      <c r="O19" s="138">
        <f t="shared" si="7"/>
        <v>0</v>
      </c>
      <c r="P19" s="138">
        <f t="shared" si="7"/>
        <v>493540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</row>
    <row r="20" spans="1:525" s="34" customFormat="1" ht="63" hidden="1" customHeight="1" x14ac:dyDescent="0.25">
      <c r="A20" s="86"/>
      <c r="B20" s="87"/>
      <c r="C20" s="87"/>
      <c r="D20" s="70" t="str">
        <f>'дод 3'!C23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138">
        <f>E25</f>
        <v>0</v>
      </c>
      <c r="F20" s="138">
        <f t="shared" ref="F20:P20" si="8">F25</f>
        <v>0</v>
      </c>
      <c r="G20" s="138">
        <f t="shared" si="8"/>
        <v>0</v>
      </c>
      <c r="H20" s="138">
        <f t="shared" si="8"/>
        <v>0</v>
      </c>
      <c r="I20" s="138">
        <f t="shared" si="8"/>
        <v>0</v>
      </c>
      <c r="J20" s="138">
        <f t="shared" si="8"/>
        <v>0</v>
      </c>
      <c r="K20" s="138">
        <f t="shared" si="8"/>
        <v>0</v>
      </c>
      <c r="L20" s="138">
        <f t="shared" si="8"/>
        <v>0</v>
      </c>
      <c r="M20" s="138">
        <f t="shared" si="8"/>
        <v>0</v>
      </c>
      <c r="N20" s="138">
        <f t="shared" si="8"/>
        <v>0</v>
      </c>
      <c r="O20" s="138">
        <f t="shared" si="8"/>
        <v>0</v>
      </c>
      <c r="P20" s="138">
        <f t="shared" si="8"/>
        <v>0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</row>
    <row r="21" spans="1:525" s="22" customFormat="1" ht="46.5" customHeight="1" x14ac:dyDescent="0.25">
      <c r="A21" s="56" t="s">
        <v>148</v>
      </c>
      <c r="B21" s="84" t="str">
        <f>'дод 3'!A19</f>
        <v>0160</v>
      </c>
      <c r="C21" s="84" t="str">
        <f>'дод 3'!B19</f>
        <v>0111</v>
      </c>
      <c r="D21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21" s="139">
        <f t="shared" ref="E21:E65" si="9">F21+I21</f>
        <v>110794200</v>
      </c>
      <c r="F21" s="139">
        <f>119042400-8248200</f>
        <v>110794200</v>
      </c>
      <c r="G21" s="139">
        <f>84423000-6760800</f>
        <v>77662200</v>
      </c>
      <c r="H21" s="139">
        <v>4901000</v>
      </c>
      <c r="I21" s="139"/>
      <c r="J21" s="139">
        <f>L21+O21</f>
        <v>600000</v>
      </c>
      <c r="K21" s="139">
        <f>600000</f>
        <v>600000</v>
      </c>
      <c r="L21" s="139"/>
      <c r="M21" s="139"/>
      <c r="N21" s="139"/>
      <c r="O21" s="139">
        <f>600000</f>
        <v>600000</v>
      </c>
      <c r="P21" s="139">
        <f t="shared" ref="P21:P65" si="10">E21+J21</f>
        <v>111394200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</row>
    <row r="22" spans="1:525" s="22" customFormat="1" ht="35.25" hidden="1" customHeight="1" x14ac:dyDescent="0.25">
      <c r="A22" s="56" t="s">
        <v>439</v>
      </c>
      <c r="B22" s="56" t="s">
        <v>89</v>
      </c>
      <c r="C22" s="56" t="s">
        <v>449</v>
      </c>
      <c r="D22" s="36" t="s">
        <v>440</v>
      </c>
      <c r="E22" s="139">
        <f t="shared" si="9"/>
        <v>0</v>
      </c>
      <c r="F22" s="139"/>
      <c r="G22" s="139"/>
      <c r="H22" s="139"/>
      <c r="I22" s="139"/>
      <c r="J22" s="139">
        <f>L22+O22</f>
        <v>0</v>
      </c>
      <c r="K22" s="139"/>
      <c r="L22" s="139"/>
      <c r="M22" s="139"/>
      <c r="N22" s="139"/>
      <c r="O22" s="139"/>
      <c r="P22" s="139">
        <f t="shared" si="10"/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</row>
    <row r="23" spans="1:525" s="22" customFormat="1" ht="28.5" customHeight="1" x14ac:dyDescent="0.25">
      <c r="A23" s="56" t="s">
        <v>238</v>
      </c>
      <c r="B23" s="84" t="str">
        <f>'дод 3'!A21</f>
        <v>0180</v>
      </c>
      <c r="C23" s="84" t="str">
        <f>'дод 3'!B21</f>
        <v>0133</v>
      </c>
      <c r="D23" s="57" t="str">
        <f>'дод 3'!C21</f>
        <v>Інша діяльність у сфері державного управління</v>
      </c>
      <c r="E23" s="139">
        <f t="shared" si="9"/>
        <v>396000</v>
      </c>
      <c r="F23" s="139">
        <v>396000</v>
      </c>
      <c r="G23" s="139"/>
      <c r="H23" s="139"/>
      <c r="I23" s="139"/>
      <c r="J23" s="139">
        <f t="shared" ref="J23:J25" si="11">L23+O23</f>
        <v>0</v>
      </c>
      <c r="K23" s="139"/>
      <c r="L23" s="139"/>
      <c r="M23" s="139"/>
      <c r="N23" s="139"/>
      <c r="O23" s="139"/>
      <c r="P23" s="139">
        <f t="shared" si="10"/>
        <v>396000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</row>
    <row r="24" spans="1:525" s="22" customFormat="1" ht="15.75" hidden="1" customHeight="1" x14ac:dyDescent="0.25">
      <c r="A24" s="56" t="s">
        <v>424</v>
      </c>
      <c r="B24" s="56" t="s">
        <v>425</v>
      </c>
      <c r="C24" s="56" t="s">
        <v>117</v>
      </c>
      <c r="D24" s="57" t="s">
        <v>426</v>
      </c>
      <c r="E24" s="139">
        <f t="shared" si="9"/>
        <v>0</v>
      </c>
      <c r="F24" s="139"/>
      <c r="G24" s="139"/>
      <c r="H24" s="139"/>
      <c r="I24" s="139"/>
      <c r="J24" s="139">
        <f t="shared" si="11"/>
        <v>0</v>
      </c>
      <c r="K24" s="139"/>
      <c r="L24" s="139"/>
      <c r="M24" s="139"/>
      <c r="N24" s="139"/>
      <c r="O24" s="139"/>
      <c r="P24" s="139">
        <f t="shared" si="10"/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</row>
    <row r="25" spans="1:525" s="24" customFormat="1" ht="60" hidden="1" customHeight="1" x14ac:dyDescent="0.25">
      <c r="A25" s="76"/>
      <c r="B25" s="88"/>
      <c r="C25" s="88"/>
      <c r="D25" s="79" t="str">
        <f>'дод 3'!C23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40">
        <f t="shared" si="9"/>
        <v>0</v>
      </c>
      <c r="F25" s="140"/>
      <c r="G25" s="140"/>
      <c r="H25" s="140"/>
      <c r="I25" s="140"/>
      <c r="J25" s="140">
        <f t="shared" si="11"/>
        <v>0</v>
      </c>
      <c r="K25" s="140"/>
      <c r="L25" s="140"/>
      <c r="M25" s="140"/>
      <c r="N25" s="140"/>
      <c r="O25" s="140"/>
      <c r="P25" s="140">
        <f t="shared" si="10"/>
        <v>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</row>
    <row r="26" spans="1:525" s="22" customFormat="1" ht="47.25" customHeight="1" x14ac:dyDescent="0.25">
      <c r="A26" s="56" t="s">
        <v>254</v>
      </c>
      <c r="B26" s="84" t="str">
        <f>'дод 3'!A112</f>
        <v>3033</v>
      </c>
      <c r="C26" s="84" t="str">
        <f>'дод 3'!B112</f>
        <v>1070</v>
      </c>
      <c r="D26" s="57" t="str">
        <f>'дод 3'!C112</f>
        <v>Компенсаційні виплати на пільговий проїзд автомобільним транспортом окремим категоріям громадян</v>
      </c>
      <c r="E26" s="139">
        <f t="shared" si="9"/>
        <v>800400</v>
      </c>
      <c r="F26" s="139">
        <v>800400</v>
      </c>
      <c r="G26" s="139"/>
      <c r="H26" s="139"/>
      <c r="I26" s="139"/>
      <c r="J26" s="139">
        <f t="shared" ref="J26:J65" si="12">L26+O26</f>
        <v>0</v>
      </c>
      <c r="K26" s="139"/>
      <c r="L26" s="139"/>
      <c r="M26" s="139"/>
      <c r="N26" s="139"/>
      <c r="O26" s="139"/>
      <c r="P26" s="139">
        <f t="shared" si="10"/>
        <v>800400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</row>
    <row r="27" spans="1:525" s="22" customFormat="1" ht="31.5" customHeight="1" x14ac:dyDescent="0.25">
      <c r="A27" s="56" t="s">
        <v>149</v>
      </c>
      <c r="B27" s="84" t="str">
        <f>'дод 3'!A115</f>
        <v>3036</v>
      </c>
      <c r="C27" s="84" t="str">
        <f>'дод 3'!B115</f>
        <v>1070</v>
      </c>
      <c r="D27" s="57" t="str">
        <f>'дод 3'!C115</f>
        <v>Компенсаційні виплати на пільговий проїзд електротранспортом окремим категоріям громадян</v>
      </c>
      <c r="E27" s="139">
        <f t="shared" si="9"/>
        <v>1104700</v>
      </c>
      <c r="F27" s="139">
        <v>1104700</v>
      </c>
      <c r="G27" s="139"/>
      <c r="H27" s="139"/>
      <c r="I27" s="139"/>
      <c r="J27" s="139">
        <f t="shared" si="12"/>
        <v>0</v>
      </c>
      <c r="K27" s="139"/>
      <c r="L27" s="139"/>
      <c r="M27" s="139"/>
      <c r="N27" s="139"/>
      <c r="O27" s="139"/>
      <c r="P27" s="139">
        <f t="shared" si="10"/>
        <v>1104700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</row>
    <row r="28" spans="1:525" s="22" customFormat="1" ht="36" customHeight="1" x14ac:dyDescent="0.25">
      <c r="A28" s="56" t="s">
        <v>150</v>
      </c>
      <c r="B28" s="84" t="str">
        <f>'дод 3'!A123</f>
        <v>3121</v>
      </c>
      <c r="C28" s="84" t="str">
        <f>'дод 3'!B123</f>
        <v>1040</v>
      </c>
      <c r="D28" s="57" t="str">
        <f>'дод 3'!C123</f>
        <v>Утримання та забезпечення діяльності центрів соціальних служб</v>
      </c>
      <c r="E28" s="139">
        <f t="shared" si="9"/>
        <v>3552000</v>
      </c>
      <c r="F28" s="139">
        <v>3552000</v>
      </c>
      <c r="G28" s="139">
        <v>2624000</v>
      </c>
      <c r="H28" s="139">
        <v>84700</v>
      </c>
      <c r="I28" s="139"/>
      <c r="J28" s="139">
        <f t="shared" si="12"/>
        <v>200000</v>
      </c>
      <c r="K28" s="139">
        <v>200000</v>
      </c>
      <c r="L28" s="139"/>
      <c r="M28" s="139"/>
      <c r="N28" s="139"/>
      <c r="O28" s="139">
        <v>200000</v>
      </c>
      <c r="P28" s="139">
        <f t="shared" si="10"/>
        <v>3752000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</row>
    <row r="29" spans="1:525" s="22" customFormat="1" ht="48.75" customHeight="1" x14ac:dyDescent="0.25">
      <c r="A29" s="56" t="s">
        <v>151</v>
      </c>
      <c r="B29" s="84" t="str">
        <f>'дод 3'!A124</f>
        <v>3131</v>
      </c>
      <c r="C29" s="84" t="str">
        <f>'дод 3'!B124</f>
        <v>1040</v>
      </c>
      <c r="D29" s="57" t="str">
        <f>'дод 3'!C124</f>
        <v>Здійснення заходів та реалізація проектів на виконання Державної цільової соціальної програми "Молодь України"</v>
      </c>
      <c r="E29" s="139">
        <f t="shared" si="9"/>
        <v>2009310</v>
      </c>
      <c r="F29" s="139">
        <f>684300+1325010-1325010+1325010</f>
        <v>2009310</v>
      </c>
      <c r="G29" s="139"/>
      <c r="H29" s="139"/>
      <c r="I29" s="139"/>
      <c r="J29" s="139">
        <f t="shared" si="12"/>
        <v>0</v>
      </c>
      <c r="K29" s="141"/>
      <c r="L29" s="141"/>
      <c r="M29" s="141"/>
      <c r="N29" s="141"/>
      <c r="O29" s="141"/>
      <c r="P29" s="139">
        <f t="shared" si="10"/>
        <v>2009310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</row>
    <row r="30" spans="1:525" s="22" customFormat="1" ht="27.75" customHeight="1" x14ac:dyDescent="0.25">
      <c r="A30" s="56" t="s">
        <v>579</v>
      </c>
      <c r="B30" s="84">
        <v>3133</v>
      </c>
      <c r="C30" s="84">
        <v>1040</v>
      </c>
      <c r="D30" s="57" t="str">
        <f>'дод 3'!C125</f>
        <v>Інші заходи та заклади молодіжної політики</v>
      </c>
      <c r="E30" s="139">
        <f t="shared" si="9"/>
        <v>5884800</v>
      </c>
      <c r="F30" s="139">
        <f>4240800+1644000-434000+434000</f>
        <v>5884800</v>
      </c>
      <c r="G30" s="139">
        <f>2432700+336000</f>
        <v>2768700</v>
      </c>
      <c r="H30" s="139">
        <v>779400</v>
      </c>
      <c r="I30" s="139"/>
      <c r="J30" s="139">
        <f t="shared" si="12"/>
        <v>1235000</v>
      </c>
      <c r="K30" s="139">
        <f>100000+1000000</f>
        <v>1100000</v>
      </c>
      <c r="L30" s="139">
        <v>105558</v>
      </c>
      <c r="M30" s="139"/>
      <c r="N30" s="139">
        <v>45558</v>
      </c>
      <c r="O30" s="139">
        <f>100000+29442+1000000</f>
        <v>1129442</v>
      </c>
      <c r="P30" s="139">
        <f t="shared" si="10"/>
        <v>7119800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</row>
    <row r="31" spans="1:525" s="22" customFormat="1" ht="78.75" x14ac:dyDescent="0.25">
      <c r="A31" s="56" t="s">
        <v>152</v>
      </c>
      <c r="B31" s="84" t="str">
        <f>'дод 3'!A126</f>
        <v>3140</v>
      </c>
      <c r="C31" s="84" t="str">
        <f>'дод 3'!B126</f>
        <v>1040</v>
      </c>
      <c r="D31" s="57" t="str">
        <f>'дод 3'!C126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1" s="139">
        <f t="shared" si="9"/>
        <v>475000</v>
      </c>
      <c r="F31" s="139">
        <v>475000</v>
      </c>
      <c r="G31" s="139"/>
      <c r="H31" s="139"/>
      <c r="I31" s="139"/>
      <c r="J31" s="139">
        <f t="shared" si="12"/>
        <v>0</v>
      </c>
      <c r="K31" s="139"/>
      <c r="L31" s="139"/>
      <c r="M31" s="139"/>
      <c r="N31" s="139"/>
      <c r="O31" s="139"/>
      <c r="P31" s="139">
        <f t="shared" si="10"/>
        <v>475000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</row>
    <row r="32" spans="1:525" s="22" customFormat="1" ht="32.25" customHeight="1" x14ac:dyDescent="0.25">
      <c r="A32" s="56" t="s">
        <v>300</v>
      </c>
      <c r="B32" s="84" t="str">
        <f>'дод 3'!A143</f>
        <v>3241</v>
      </c>
      <c r="C32" s="84" t="str">
        <f>'дод 3'!B143</f>
        <v>1090</v>
      </c>
      <c r="D32" s="3" t="str">
        <f>'дод 3'!C143</f>
        <v>Забезпечення діяльності інших закладів у сфері соціального захисту і соціального забезпечення</v>
      </c>
      <c r="E32" s="139">
        <f t="shared" si="9"/>
        <v>1731600</v>
      </c>
      <c r="F32" s="139">
        <v>1731600</v>
      </c>
      <c r="G32" s="139">
        <v>1145500</v>
      </c>
      <c r="H32" s="139">
        <v>195700</v>
      </c>
      <c r="I32" s="139"/>
      <c r="J32" s="139">
        <f t="shared" si="12"/>
        <v>0</v>
      </c>
      <c r="K32" s="139"/>
      <c r="L32" s="139"/>
      <c r="M32" s="139"/>
      <c r="N32" s="139"/>
      <c r="O32" s="139"/>
      <c r="P32" s="139">
        <f t="shared" si="10"/>
        <v>1731600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</row>
    <row r="33" spans="1:525" s="22" customFormat="1" ht="33.75" customHeight="1" x14ac:dyDescent="0.25">
      <c r="A33" s="56" t="s">
        <v>301</v>
      </c>
      <c r="B33" s="84" t="str">
        <f>'дод 3'!A144</f>
        <v>3242</v>
      </c>
      <c r="C33" s="84" t="str">
        <f>'дод 3'!B144</f>
        <v>1090</v>
      </c>
      <c r="D33" s="57" t="s">
        <v>406</v>
      </c>
      <c r="E33" s="139">
        <f t="shared" si="9"/>
        <v>249300</v>
      </c>
      <c r="F33" s="139">
        <v>249300</v>
      </c>
      <c r="G33" s="139"/>
      <c r="H33" s="139"/>
      <c r="I33" s="139"/>
      <c r="J33" s="139">
        <f t="shared" si="12"/>
        <v>0</v>
      </c>
      <c r="K33" s="139"/>
      <c r="L33" s="139"/>
      <c r="M33" s="139"/>
      <c r="N33" s="139"/>
      <c r="O33" s="139"/>
      <c r="P33" s="139">
        <f t="shared" si="10"/>
        <v>249300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</row>
    <row r="34" spans="1:525" s="22" customFormat="1" ht="49.5" customHeight="1" x14ac:dyDescent="0.25">
      <c r="A34" s="56" t="s">
        <v>313</v>
      </c>
      <c r="B34" s="84" t="str">
        <f>'дод 3'!A148</f>
        <v>4060</v>
      </c>
      <c r="C34" s="84" t="str">
        <f>'дод 3'!B148</f>
        <v>0828</v>
      </c>
      <c r="D34" s="57" t="str">
        <f>'дод 3'!C148</f>
        <v>Забезпечення діяльності палаців i будинків культури, клубів, центрів дозвілля та iнших клубних закладів</v>
      </c>
      <c r="E34" s="139">
        <f t="shared" si="9"/>
        <v>860438</v>
      </c>
      <c r="F34" s="142">
        <f>622800+237638</f>
        <v>860438</v>
      </c>
      <c r="G34" s="139">
        <f>310000+194785</f>
        <v>504785</v>
      </c>
      <c r="H34" s="139">
        <v>206600</v>
      </c>
      <c r="I34" s="139"/>
      <c r="J34" s="139">
        <f t="shared" si="12"/>
        <v>0</v>
      </c>
      <c r="K34" s="139"/>
      <c r="L34" s="139"/>
      <c r="M34" s="139"/>
      <c r="N34" s="139"/>
      <c r="O34" s="139"/>
      <c r="P34" s="139">
        <f t="shared" si="10"/>
        <v>860438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</row>
    <row r="35" spans="1:525" s="22" customFormat="1" ht="30.75" customHeight="1" x14ac:dyDescent="0.25">
      <c r="A35" s="56" t="s">
        <v>298</v>
      </c>
      <c r="B35" s="84" t="str">
        <f>'дод 3'!A149</f>
        <v>4081</v>
      </c>
      <c r="C35" s="84" t="str">
        <f>'дод 3'!B149</f>
        <v>0829</v>
      </c>
      <c r="D35" s="57" t="str">
        <f>'дод 3'!C149</f>
        <v>Забезпечення діяльності інших закладів в галузі культури і мистецтва</v>
      </c>
      <c r="E35" s="139">
        <f t="shared" si="9"/>
        <v>2913000</v>
      </c>
      <c r="F35" s="139">
        <v>2913000</v>
      </c>
      <c r="G35" s="139">
        <v>1782700</v>
      </c>
      <c r="H35" s="139">
        <v>159400</v>
      </c>
      <c r="I35" s="139"/>
      <c r="J35" s="139">
        <f t="shared" si="12"/>
        <v>0</v>
      </c>
      <c r="K35" s="139"/>
      <c r="L35" s="139"/>
      <c r="M35" s="139"/>
      <c r="N35" s="139"/>
      <c r="O35" s="139"/>
      <c r="P35" s="139">
        <f t="shared" si="10"/>
        <v>2913000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</row>
    <row r="36" spans="1:525" s="22" customFormat="1" ht="25.5" customHeight="1" x14ac:dyDescent="0.25">
      <c r="A36" s="56" t="s">
        <v>299</v>
      </c>
      <c r="B36" s="84">
        <v>4082</v>
      </c>
      <c r="C36" s="84" t="str">
        <f>'дод 3'!B150</f>
        <v>0829</v>
      </c>
      <c r="D36" s="57" t="str">
        <f>'дод 3'!C150</f>
        <v>Інші заходи в галузі культури і мистецтва</v>
      </c>
      <c r="E36" s="139">
        <f t="shared" si="9"/>
        <v>654300</v>
      </c>
      <c r="F36" s="139">
        <v>654300</v>
      </c>
      <c r="G36" s="139"/>
      <c r="H36" s="139"/>
      <c r="I36" s="139"/>
      <c r="J36" s="139">
        <f t="shared" si="12"/>
        <v>0</v>
      </c>
      <c r="K36" s="139"/>
      <c r="L36" s="139"/>
      <c r="M36" s="139"/>
      <c r="N36" s="139"/>
      <c r="O36" s="139"/>
      <c r="P36" s="139">
        <f t="shared" si="10"/>
        <v>654300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</row>
    <row r="37" spans="1:525" s="22" customFormat="1" ht="36.75" customHeight="1" x14ac:dyDescent="0.25">
      <c r="A37" s="89" t="s">
        <v>153</v>
      </c>
      <c r="B37" s="42" t="str">
        <f>'дод 3'!A153</f>
        <v>5011</v>
      </c>
      <c r="C37" s="42" t="str">
        <f>'дод 3'!B153</f>
        <v>0810</v>
      </c>
      <c r="D37" s="36" t="str">
        <f>'дод 3'!C153</f>
        <v>Проведення навчально-тренувальних зборів і змагань з олімпійських видів спорту</v>
      </c>
      <c r="E37" s="139">
        <f t="shared" si="9"/>
        <v>750000</v>
      </c>
      <c r="F37" s="139">
        <f>600000+150000+1000000-650000-350000</f>
        <v>750000</v>
      </c>
      <c r="G37" s="139"/>
      <c r="H37" s="139"/>
      <c r="I37" s="139"/>
      <c r="J37" s="139">
        <f t="shared" si="12"/>
        <v>0</v>
      </c>
      <c r="K37" s="139"/>
      <c r="L37" s="139"/>
      <c r="M37" s="139"/>
      <c r="N37" s="139"/>
      <c r="O37" s="139"/>
      <c r="P37" s="139">
        <f t="shared" si="10"/>
        <v>750000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</row>
    <row r="38" spans="1:525" s="22" customFormat="1" ht="34.5" customHeight="1" x14ac:dyDescent="0.25">
      <c r="A38" s="89" t="s">
        <v>154</v>
      </c>
      <c r="B38" s="42" t="str">
        <f>'дод 3'!A154</f>
        <v>5012</v>
      </c>
      <c r="C38" s="42" t="str">
        <f>'дод 3'!B154</f>
        <v>0810</v>
      </c>
      <c r="D38" s="36" t="str">
        <f>'дод 3'!C154</f>
        <v>Проведення навчально-тренувальних зборів і змагань з неолімпійських видів спорту</v>
      </c>
      <c r="E38" s="139">
        <f t="shared" si="9"/>
        <v>750000</v>
      </c>
      <c r="F38" s="139">
        <f>600000+150000</f>
        <v>750000</v>
      </c>
      <c r="G38" s="139"/>
      <c r="H38" s="139"/>
      <c r="I38" s="139"/>
      <c r="J38" s="139">
        <f t="shared" si="12"/>
        <v>0</v>
      </c>
      <c r="K38" s="139"/>
      <c r="L38" s="139"/>
      <c r="M38" s="139"/>
      <c r="N38" s="139"/>
      <c r="O38" s="139"/>
      <c r="P38" s="139">
        <f t="shared" si="10"/>
        <v>750000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</row>
    <row r="39" spans="1:525" s="22" customFormat="1" ht="31.5" x14ac:dyDescent="0.25">
      <c r="A39" s="89" t="s">
        <v>155</v>
      </c>
      <c r="B39" s="42" t="str">
        <f>'дод 3'!A155</f>
        <v>5031</v>
      </c>
      <c r="C39" s="42" t="str">
        <f>'дод 3'!B155</f>
        <v>0810</v>
      </c>
      <c r="D39" s="36" t="str">
        <f>'дод 3'!C155</f>
        <v>Утримання та навчально-тренувальна робота комунальних дитячо-юнацьких спортивних шкіл</v>
      </c>
      <c r="E39" s="139">
        <f t="shared" si="9"/>
        <v>21682800</v>
      </c>
      <c r="F39" s="139">
        <f>19466705+622395+1000000+40000+553700</f>
        <v>21682800</v>
      </c>
      <c r="G39" s="139">
        <f>14241800+511000+820000+453900</f>
        <v>16026700</v>
      </c>
      <c r="H39" s="139">
        <v>1407700</v>
      </c>
      <c r="I39" s="139"/>
      <c r="J39" s="139">
        <f t="shared" si="12"/>
        <v>350000</v>
      </c>
      <c r="K39" s="139">
        <f>560000-560000+350000</f>
        <v>350000</v>
      </c>
      <c r="L39" s="139"/>
      <c r="M39" s="139"/>
      <c r="N39" s="139"/>
      <c r="O39" s="139">
        <f>560000-560000+350000</f>
        <v>350000</v>
      </c>
      <c r="P39" s="139">
        <f t="shared" si="10"/>
        <v>22032800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</row>
    <row r="40" spans="1:525" s="22" customFormat="1" ht="50.25" customHeight="1" x14ac:dyDescent="0.25">
      <c r="A40" s="89" t="s">
        <v>352</v>
      </c>
      <c r="B40" s="42" t="str">
        <f>'дод 3'!A157</f>
        <v>5032</v>
      </c>
      <c r="C40" s="42" t="str">
        <f>'дод 3'!B157</f>
        <v>0810</v>
      </c>
      <c r="D40" s="36" t="str">
        <f>'дод 3'!C157</f>
        <v>Фінансова підтримка дитячо-юнацьких спортивних шкіл фізкультурно-спортивних товариств</v>
      </c>
      <c r="E40" s="139">
        <f t="shared" si="9"/>
        <v>15560000</v>
      </c>
      <c r="F40" s="139">
        <f>14463700+150000+946300</f>
        <v>15560000</v>
      </c>
      <c r="G40" s="139"/>
      <c r="H40" s="139"/>
      <c r="I40" s="139"/>
      <c r="J40" s="139">
        <f t="shared" si="12"/>
        <v>0</v>
      </c>
      <c r="K40" s="139"/>
      <c r="L40" s="139"/>
      <c r="M40" s="139"/>
      <c r="N40" s="139"/>
      <c r="O40" s="139"/>
      <c r="P40" s="139">
        <f t="shared" si="10"/>
        <v>15560000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</row>
    <row r="41" spans="1:525" s="22" customFormat="1" ht="70.5" customHeight="1" x14ac:dyDescent="0.25">
      <c r="A41" s="89" t="s">
        <v>156</v>
      </c>
      <c r="B41" s="42" t="str">
        <f>'дод 3'!A158</f>
        <v>5061</v>
      </c>
      <c r="C41" s="42" t="str">
        <f>'дод 3'!B158</f>
        <v>0810</v>
      </c>
      <c r="D41" s="36" t="str">
        <f>'дод 3'!C158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1" s="139">
        <f t="shared" si="9"/>
        <v>5512100</v>
      </c>
      <c r="F41" s="139">
        <f>5412100+100000</f>
        <v>5512100</v>
      </c>
      <c r="G41" s="139">
        <v>3154100</v>
      </c>
      <c r="H41" s="139">
        <v>630400</v>
      </c>
      <c r="I41" s="139"/>
      <c r="J41" s="139">
        <f t="shared" si="12"/>
        <v>10436660</v>
      </c>
      <c r="K41" s="139">
        <v>10000000</v>
      </c>
      <c r="L41" s="139">
        <v>436660</v>
      </c>
      <c r="M41" s="139">
        <v>288239</v>
      </c>
      <c r="N41" s="139">
        <v>62532</v>
      </c>
      <c r="O41" s="139">
        <v>10000000</v>
      </c>
      <c r="P41" s="139">
        <f t="shared" si="10"/>
        <v>15948760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</row>
    <row r="42" spans="1:525" s="22" customFormat="1" ht="47.25" x14ac:dyDescent="0.25">
      <c r="A42" s="89" t="s">
        <v>344</v>
      </c>
      <c r="B42" s="42" t="str">
        <f>'дод 3'!A159</f>
        <v>5062</v>
      </c>
      <c r="C42" s="42" t="str">
        <f>'дод 3'!B159</f>
        <v>0810</v>
      </c>
      <c r="D42" s="36" t="str">
        <f>'дод 3'!C159</f>
        <v>Підтримка спорту вищих досягнень та організацій, які здійснюють фізкультурно-спортивну діяльність в регіоні</v>
      </c>
      <c r="E42" s="139">
        <f t="shared" si="9"/>
        <v>17912700</v>
      </c>
      <c r="F42" s="139">
        <f>16012700+500000+700000+700000</f>
        <v>17912700</v>
      </c>
      <c r="G42" s="139"/>
      <c r="H42" s="139"/>
      <c r="I42" s="139"/>
      <c r="J42" s="139">
        <f t="shared" si="12"/>
        <v>0</v>
      </c>
      <c r="K42" s="139"/>
      <c r="L42" s="139"/>
      <c r="M42" s="139"/>
      <c r="N42" s="139"/>
      <c r="O42" s="139"/>
      <c r="P42" s="139">
        <f t="shared" si="10"/>
        <v>17912700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</row>
    <row r="43" spans="1:525" s="22" customFormat="1" ht="37.5" hidden="1" customHeight="1" x14ac:dyDescent="0.25">
      <c r="A43" s="89" t="s">
        <v>578</v>
      </c>
      <c r="B43" s="42">
        <v>7323</v>
      </c>
      <c r="C43" s="89" t="s">
        <v>110</v>
      </c>
      <c r="D43" s="36" t="str">
        <f>'дод 3'!C187</f>
        <v>Будівництво1 установ та закладів соціальної сфери</v>
      </c>
      <c r="E43" s="139"/>
      <c r="F43" s="139"/>
      <c r="G43" s="139"/>
      <c r="H43" s="139"/>
      <c r="I43" s="139"/>
      <c r="J43" s="139">
        <f t="shared" si="12"/>
        <v>0</v>
      </c>
      <c r="K43" s="139"/>
      <c r="L43" s="139"/>
      <c r="M43" s="139"/>
      <c r="N43" s="139"/>
      <c r="O43" s="139"/>
      <c r="P43" s="139">
        <f t="shared" si="10"/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</row>
    <row r="44" spans="1:525" s="22" customFormat="1" ht="31.5" hidden="1" customHeight="1" x14ac:dyDescent="0.25">
      <c r="A44" s="89" t="s">
        <v>408</v>
      </c>
      <c r="B44" s="42">
        <v>7325</v>
      </c>
      <c r="C44" s="67" t="s">
        <v>110</v>
      </c>
      <c r="D44" s="6" t="str">
        <f>'дод 3'!C189</f>
        <v>Будівництво1 споруд, установ та закладів фізичної культури і спорту</v>
      </c>
      <c r="E44" s="139">
        <f t="shared" si="9"/>
        <v>0</v>
      </c>
      <c r="F44" s="139"/>
      <c r="G44" s="139"/>
      <c r="H44" s="139"/>
      <c r="I44" s="139"/>
      <c r="J44" s="139">
        <f t="shared" si="12"/>
        <v>0</v>
      </c>
      <c r="K44" s="139"/>
      <c r="L44" s="139"/>
      <c r="M44" s="139"/>
      <c r="N44" s="139"/>
      <c r="O44" s="139"/>
      <c r="P44" s="139">
        <f t="shared" si="10"/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</row>
    <row r="45" spans="1:525" s="22" customFormat="1" ht="15.75" hidden="1" customHeight="1" x14ac:dyDescent="0.25">
      <c r="A45" s="89" t="s">
        <v>409</v>
      </c>
      <c r="B45" s="42">
        <v>7330</v>
      </c>
      <c r="C45" s="67" t="s">
        <v>110</v>
      </c>
      <c r="D45" s="6" t="str">
        <f>'дод 3'!C190</f>
        <v>Будівництво1 інших об'єктів комунальної власності</v>
      </c>
      <c r="E45" s="139">
        <f t="shared" si="9"/>
        <v>0</v>
      </c>
      <c r="F45" s="139"/>
      <c r="G45" s="139"/>
      <c r="H45" s="139"/>
      <c r="I45" s="139"/>
      <c r="J45" s="139">
        <f t="shared" si="12"/>
        <v>0</v>
      </c>
      <c r="K45" s="139"/>
      <c r="L45" s="139"/>
      <c r="M45" s="139"/>
      <c r="N45" s="139"/>
      <c r="O45" s="139"/>
      <c r="P45" s="139">
        <f t="shared" si="10"/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</row>
    <row r="46" spans="1:525" s="22" customFormat="1" ht="31.5" x14ac:dyDescent="0.25">
      <c r="A46" s="89" t="s">
        <v>157</v>
      </c>
      <c r="B46" s="42" t="str">
        <f>'дод 3'!A204</f>
        <v>7412</v>
      </c>
      <c r="C46" s="42" t="str">
        <f>'дод 3'!B204</f>
        <v>0451</v>
      </c>
      <c r="D46" s="36" t="str">
        <f>'дод 3'!C204</f>
        <v>Регулювання цін на послуги місцевого автотранспорту</v>
      </c>
      <c r="E46" s="139">
        <f t="shared" si="9"/>
        <v>17594929</v>
      </c>
      <c r="F46" s="139"/>
      <c r="G46" s="139"/>
      <c r="H46" s="139"/>
      <c r="I46" s="139">
        <v>17594929</v>
      </c>
      <c r="J46" s="139">
        <f t="shared" si="12"/>
        <v>0</v>
      </c>
      <c r="K46" s="139"/>
      <c r="L46" s="139"/>
      <c r="M46" s="139"/>
      <c r="N46" s="139"/>
      <c r="O46" s="139"/>
      <c r="P46" s="139">
        <f t="shared" si="10"/>
        <v>17594929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</row>
    <row r="47" spans="1:525" s="22" customFormat="1" ht="24" hidden="1" customHeight="1" x14ac:dyDescent="0.25">
      <c r="A47" s="89" t="s">
        <v>372</v>
      </c>
      <c r="B47" s="42">
        <f>'дод 3'!A205</f>
        <v>7413</v>
      </c>
      <c r="C47" s="42" t="str">
        <f>'дод 3'!B205</f>
        <v>0451</v>
      </c>
      <c r="D47" s="90" t="str">
        <f>'дод 3'!C205</f>
        <v>Інші заходи у сфері автотранспорту</v>
      </c>
      <c r="E47" s="139">
        <f t="shared" si="9"/>
        <v>0</v>
      </c>
      <c r="F47" s="139"/>
      <c r="G47" s="139"/>
      <c r="H47" s="139"/>
      <c r="I47" s="139"/>
      <c r="J47" s="139">
        <f t="shared" si="12"/>
        <v>0</v>
      </c>
      <c r="K47" s="139"/>
      <c r="L47" s="139"/>
      <c r="M47" s="139"/>
      <c r="N47" s="139"/>
      <c r="O47" s="139"/>
      <c r="P47" s="139">
        <f t="shared" si="10"/>
        <v>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</row>
    <row r="48" spans="1:525" s="22" customFormat="1" ht="33" customHeight="1" x14ac:dyDescent="0.25">
      <c r="A48" s="89" t="s">
        <v>540</v>
      </c>
      <c r="B48" s="42">
        <v>7422</v>
      </c>
      <c r="C48" s="89" t="s">
        <v>407</v>
      </c>
      <c r="D48" s="90" t="str">
        <f>'дод 3'!C206</f>
        <v>Регулювання цін на послуги місцевого наземного електротранспорту</v>
      </c>
      <c r="E48" s="139">
        <f t="shared" si="9"/>
        <v>41267217</v>
      </c>
      <c r="F48" s="139"/>
      <c r="G48" s="139"/>
      <c r="H48" s="139"/>
      <c r="I48" s="139">
        <f>39414871+1852346</f>
        <v>41267217</v>
      </c>
      <c r="J48" s="139">
        <f t="shared" si="12"/>
        <v>0</v>
      </c>
      <c r="K48" s="139"/>
      <c r="L48" s="139"/>
      <c r="M48" s="139"/>
      <c r="N48" s="139"/>
      <c r="O48" s="139"/>
      <c r="P48" s="139">
        <f t="shared" si="10"/>
        <v>41267217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</row>
    <row r="49" spans="1:525" s="22" customFormat="1" ht="24" hidden="1" customHeight="1" x14ac:dyDescent="0.25">
      <c r="A49" s="89" t="s">
        <v>373</v>
      </c>
      <c r="B49" s="42">
        <f>'дод 3'!A207</f>
        <v>7426</v>
      </c>
      <c r="C49" s="89" t="s">
        <v>407</v>
      </c>
      <c r="D49" s="90" t="str">
        <f>'дод 3'!C207</f>
        <v>Інші заходи у сфері електротранспорту</v>
      </c>
      <c r="E49" s="139">
        <f t="shared" si="9"/>
        <v>0</v>
      </c>
      <c r="F49" s="139"/>
      <c r="G49" s="139"/>
      <c r="H49" s="139"/>
      <c r="I49" s="139"/>
      <c r="J49" s="139">
        <f t="shared" si="12"/>
        <v>0</v>
      </c>
      <c r="K49" s="139"/>
      <c r="L49" s="139"/>
      <c r="M49" s="139"/>
      <c r="N49" s="139"/>
      <c r="O49" s="139"/>
      <c r="P49" s="139">
        <f t="shared" si="10"/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</row>
    <row r="50" spans="1:525" s="22" customFormat="1" ht="24" customHeight="1" x14ac:dyDescent="0.25">
      <c r="A50" s="89" t="s">
        <v>441</v>
      </c>
      <c r="B50" s="89" t="s">
        <v>442</v>
      </c>
      <c r="C50" s="89" t="s">
        <v>394</v>
      </c>
      <c r="D50" s="90" t="str">
        <f>'дод 3'!C211</f>
        <v>Інша діяльність у сфері транспорту</v>
      </c>
      <c r="E50" s="139">
        <f t="shared" si="9"/>
        <v>2585480</v>
      </c>
      <c r="F50" s="139">
        <v>2585480</v>
      </c>
      <c r="G50" s="139"/>
      <c r="H50" s="139"/>
      <c r="I50" s="139"/>
      <c r="J50" s="139">
        <f t="shared" si="12"/>
        <v>0</v>
      </c>
      <c r="K50" s="139"/>
      <c r="L50" s="139"/>
      <c r="M50" s="139"/>
      <c r="N50" s="139"/>
      <c r="O50" s="139"/>
      <c r="P50" s="139">
        <f t="shared" si="10"/>
        <v>2585480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</row>
    <row r="51" spans="1:525" s="22" customFormat="1" ht="30.75" customHeight="1" x14ac:dyDescent="0.25">
      <c r="A51" s="89" t="s">
        <v>230</v>
      </c>
      <c r="B51" s="42" t="str">
        <f>'дод 3'!A217</f>
        <v>7530</v>
      </c>
      <c r="C51" s="42" t="str">
        <f>'дод 3'!B217</f>
        <v>0460</v>
      </c>
      <c r="D51" s="36" t="str">
        <f>'дод 3'!C217</f>
        <v>Інші заходи у сфері зв'язку, телекомунікації та інформатики</v>
      </c>
      <c r="E51" s="139">
        <f t="shared" si="9"/>
        <v>7850000</v>
      </c>
      <c r="F51" s="139">
        <v>7850000</v>
      </c>
      <c r="G51" s="139"/>
      <c r="H51" s="139"/>
      <c r="I51" s="139"/>
      <c r="J51" s="139">
        <f t="shared" si="12"/>
        <v>3150000</v>
      </c>
      <c r="K51" s="139">
        <v>3150000</v>
      </c>
      <c r="L51" s="139"/>
      <c r="M51" s="139"/>
      <c r="N51" s="139"/>
      <c r="O51" s="139">
        <v>3150000</v>
      </c>
      <c r="P51" s="139">
        <f t="shared" si="10"/>
        <v>11000000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</row>
    <row r="52" spans="1:525" s="22" customFormat="1" ht="31.5" customHeight="1" x14ac:dyDescent="0.25">
      <c r="A52" s="89" t="s">
        <v>158</v>
      </c>
      <c r="B52" s="42" t="str">
        <f>'дод 3'!A220</f>
        <v>7610</v>
      </c>
      <c r="C52" s="42" t="str">
        <f>'дод 3'!B220</f>
        <v>0411</v>
      </c>
      <c r="D52" s="36" t="str">
        <f>'дод 3'!C220</f>
        <v>Сприяння розвитку малого та середнього підприємництва</v>
      </c>
      <c r="E52" s="139">
        <f t="shared" si="9"/>
        <v>60000</v>
      </c>
      <c r="F52" s="139">
        <v>60000</v>
      </c>
      <c r="G52" s="139"/>
      <c r="H52" s="139"/>
      <c r="I52" s="139"/>
      <c r="J52" s="139">
        <f t="shared" si="12"/>
        <v>0</v>
      </c>
      <c r="K52" s="139"/>
      <c r="L52" s="139"/>
      <c r="M52" s="139"/>
      <c r="N52" s="139"/>
      <c r="O52" s="139"/>
      <c r="P52" s="139">
        <f t="shared" si="10"/>
        <v>60000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</row>
    <row r="53" spans="1:525" s="22" customFormat="1" ht="33.75" customHeight="1" x14ac:dyDescent="0.25">
      <c r="A53" s="89" t="s">
        <v>159</v>
      </c>
      <c r="B53" s="42" t="str">
        <f>'дод 3'!A225</f>
        <v>7670</v>
      </c>
      <c r="C53" s="42" t="str">
        <f>'дод 3'!B225</f>
        <v>0490</v>
      </c>
      <c r="D53" s="36" t="str">
        <f>'дод 3'!C225</f>
        <v>Внески до статутного капіталу суб'єктів господарювання, у т. ч. за рахунок:</v>
      </c>
      <c r="E53" s="139">
        <f t="shared" si="9"/>
        <v>0</v>
      </c>
      <c r="F53" s="139"/>
      <c r="G53" s="139"/>
      <c r="H53" s="139"/>
      <c r="I53" s="139"/>
      <c r="J53" s="139">
        <f t="shared" si="12"/>
        <v>19800000</v>
      </c>
      <c r="K53" s="139">
        <v>19800000</v>
      </c>
      <c r="L53" s="139"/>
      <c r="M53" s="139"/>
      <c r="N53" s="139"/>
      <c r="O53" s="139">
        <f>19800000</f>
        <v>19800000</v>
      </c>
      <c r="P53" s="139">
        <f t="shared" si="10"/>
        <v>19800000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</row>
    <row r="54" spans="1:525" s="22" customFormat="1" ht="36.75" customHeight="1" x14ac:dyDescent="0.25">
      <c r="A54" s="89" t="s">
        <v>244</v>
      </c>
      <c r="B54" s="42" t="str">
        <f>'дод 3'!A227</f>
        <v>7680</v>
      </c>
      <c r="C54" s="42" t="str">
        <f>'дод 3'!B227</f>
        <v>0490</v>
      </c>
      <c r="D54" s="36" t="str">
        <f>'дод 3'!C227</f>
        <v>Членські внески до асоціацій органів місцевого самоврядування</v>
      </c>
      <c r="E54" s="139">
        <f t="shared" si="9"/>
        <v>366939</v>
      </c>
      <c r="F54" s="139">
        <v>366939</v>
      </c>
      <c r="G54" s="139"/>
      <c r="H54" s="139"/>
      <c r="I54" s="139"/>
      <c r="J54" s="139">
        <f t="shared" si="12"/>
        <v>0</v>
      </c>
      <c r="K54" s="139"/>
      <c r="L54" s="139"/>
      <c r="M54" s="139"/>
      <c r="N54" s="139"/>
      <c r="O54" s="139"/>
      <c r="P54" s="139">
        <f t="shared" si="10"/>
        <v>366939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</row>
    <row r="55" spans="1:525" s="22" customFormat="1" ht="120.75" customHeight="1" x14ac:dyDescent="0.25">
      <c r="A55" s="89" t="s">
        <v>296</v>
      </c>
      <c r="B55" s="42" t="str">
        <f>'дод 3'!A228</f>
        <v>7691</v>
      </c>
      <c r="C55" s="42" t="str">
        <f>'дод 3'!B228</f>
        <v>0490</v>
      </c>
      <c r="D55" s="36" t="str">
        <f>'дод 3'!C228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5" s="139">
        <f t="shared" si="9"/>
        <v>0</v>
      </c>
      <c r="F55" s="139"/>
      <c r="G55" s="139"/>
      <c r="H55" s="139"/>
      <c r="I55" s="139"/>
      <c r="J55" s="139">
        <f t="shared" si="12"/>
        <v>54466</v>
      </c>
      <c r="K55" s="139"/>
      <c r="L55" s="139">
        <v>54466</v>
      </c>
      <c r="M55" s="139"/>
      <c r="N55" s="139"/>
      <c r="O55" s="139"/>
      <c r="P55" s="139">
        <f t="shared" si="10"/>
        <v>54466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</row>
    <row r="56" spans="1:525" s="22" customFormat="1" ht="23.25" customHeight="1" x14ac:dyDescent="0.25">
      <c r="A56" s="89" t="s">
        <v>237</v>
      </c>
      <c r="B56" s="42" t="str">
        <f>'дод 3'!A229</f>
        <v>7693</v>
      </c>
      <c r="C56" s="42" t="str">
        <f>'дод 3'!B229</f>
        <v>0490</v>
      </c>
      <c r="D56" s="36" t="str">
        <f>'дод 3'!C229</f>
        <v>Інші заходи, пов'язані з економічною діяльністю</v>
      </c>
      <c r="E56" s="139">
        <f t="shared" si="9"/>
        <v>1450000</v>
      </c>
      <c r="F56" s="139">
        <v>1450000</v>
      </c>
      <c r="G56" s="139"/>
      <c r="H56" s="139"/>
      <c r="I56" s="139"/>
      <c r="J56" s="139">
        <f t="shared" si="12"/>
        <v>0</v>
      </c>
      <c r="K56" s="139"/>
      <c r="L56" s="139"/>
      <c r="M56" s="139"/>
      <c r="N56" s="139"/>
      <c r="O56" s="139"/>
      <c r="P56" s="139">
        <f t="shared" si="10"/>
        <v>1450000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</row>
    <row r="57" spans="1:525" s="22" customFormat="1" ht="34.5" customHeight="1" x14ac:dyDescent="0.25">
      <c r="A57" s="89" t="s">
        <v>160</v>
      </c>
      <c r="B57" s="42" t="str">
        <f>'дод 3'!A236</f>
        <v>8110</v>
      </c>
      <c r="C57" s="42" t="str">
        <f>'дод 3'!B236</f>
        <v>0320</v>
      </c>
      <c r="D57" s="36" t="str">
        <f>'дод 3'!C236</f>
        <v>Заходи із запобігання та ліквідації надзвичайних ситуацій та наслідків стихійного лиха</v>
      </c>
      <c r="E57" s="139">
        <f t="shared" si="9"/>
        <v>735850</v>
      </c>
      <c r="F57" s="139">
        <f>282100+408750+45000</f>
        <v>735850</v>
      </c>
      <c r="G57" s="139"/>
      <c r="H57" s="139">
        <f>8600-100</f>
        <v>8500</v>
      </c>
      <c r="I57" s="139"/>
      <c r="J57" s="139">
        <f t="shared" si="12"/>
        <v>0</v>
      </c>
      <c r="K57" s="139"/>
      <c r="L57" s="139"/>
      <c r="M57" s="139"/>
      <c r="N57" s="139"/>
      <c r="O57" s="139"/>
      <c r="P57" s="139">
        <f t="shared" si="10"/>
        <v>735850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</row>
    <row r="58" spans="1:525" s="22" customFormat="1" ht="30.75" customHeight="1" x14ac:dyDescent="0.25">
      <c r="A58" s="89" t="s">
        <v>220</v>
      </c>
      <c r="B58" s="42" t="str">
        <f>'дод 3'!A237</f>
        <v>8120</v>
      </c>
      <c r="C58" s="42" t="str">
        <f>'дод 3'!B237</f>
        <v>0320</v>
      </c>
      <c r="D58" s="36" t="str">
        <f>'дод 3'!C237</f>
        <v>Заходи з організації рятування на водах, у т.ч. за рахунок:</v>
      </c>
      <c r="E58" s="139">
        <f t="shared" si="9"/>
        <v>2599200</v>
      </c>
      <c r="F58" s="139">
        <v>2599200</v>
      </c>
      <c r="G58" s="139">
        <v>1998000</v>
      </c>
      <c r="H58" s="139">
        <v>79800</v>
      </c>
      <c r="I58" s="139"/>
      <c r="J58" s="139">
        <f t="shared" si="12"/>
        <v>5900</v>
      </c>
      <c r="K58" s="139"/>
      <c r="L58" s="139">
        <v>5900</v>
      </c>
      <c r="M58" s="139"/>
      <c r="N58" s="139">
        <v>1600</v>
      </c>
      <c r="O58" s="139"/>
      <c r="P58" s="139">
        <f t="shared" si="10"/>
        <v>2605100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</row>
    <row r="59" spans="1:525" s="24" customFormat="1" ht="69.75" customHeight="1" x14ac:dyDescent="0.25">
      <c r="A59" s="91"/>
      <c r="B59" s="80"/>
      <c r="C59" s="80"/>
      <c r="D59" s="79" t="str">
        <f>'дод 3'!C238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9" s="140">
        <f t="shared" si="9"/>
        <v>493540</v>
      </c>
      <c r="F59" s="140">
        <f>475205+18335</f>
        <v>493540</v>
      </c>
      <c r="G59" s="140">
        <f>389512+15029</f>
        <v>404541</v>
      </c>
      <c r="H59" s="140"/>
      <c r="I59" s="140"/>
      <c r="J59" s="140">
        <f t="shared" si="12"/>
        <v>0</v>
      </c>
      <c r="K59" s="140"/>
      <c r="L59" s="140"/>
      <c r="M59" s="140"/>
      <c r="N59" s="140"/>
      <c r="O59" s="140"/>
      <c r="P59" s="140">
        <f t="shared" si="10"/>
        <v>493540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0"/>
      <c r="NH59" s="30"/>
      <c r="NI59" s="30"/>
      <c r="NJ59" s="30"/>
      <c r="NK59" s="30"/>
      <c r="NL59" s="30"/>
      <c r="NM59" s="30"/>
      <c r="NN59" s="30"/>
      <c r="NO59" s="30"/>
      <c r="NP59" s="30"/>
      <c r="NQ59" s="30"/>
      <c r="NR59" s="30"/>
      <c r="NS59" s="30"/>
      <c r="NT59" s="30"/>
      <c r="NU59" s="30"/>
      <c r="NV59" s="30"/>
      <c r="NW59" s="30"/>
      <c r="NX59" s="30"/>
      <c r="NY59" s="30"/>
      <c r="NZ59" s="30"/>
      <c r="OA59" s="30"/>
      <c r="OB59" s="30"/>
      <c r="OC59" s="30"/>
      <c r="OD59" s="30"/>
      <c r="OE59" s="30"/>
      <c r="OF59" s="30"/>
      <c r="OG59" s="30"/>
      <c r="OH59" s="30"/>
      <c r="OI59" s="30"/>
      <c r="OJ59" s="30"/>
      <c r="OK59" s="30"/>
      <c r="OL59" s="30"/>
      <c r="OM59" s="30"/>
      <c r="ON59" s="30"/>
      <c r="OO59" s="30"/>
      <c r="OP59" s="30"/>
      <c r="OQ59" s="30"/>
      <c r="OR59" s="30"/>
      <c r="OS59" s="30"/>
      <c r="OT59" s="30"/>
      <c r="OU59" s="30"/>
      <c r="OV59" s="30"/>
      <c r="OW59" s="30"/>
      <c r="OX59" s="30"/>
      <c r="OY59" s="30"/>
      <c r="OZ59" s="30"/>
      <c r="PA59" s="30"/>
      <c r="PB59" s="30"/>
      <c r="PC59" s="30"/>
      <c r="PD59" s="30"/>
      <c r="PE59" s="30"/>
      <c r="PF59" s="30"/>
      <c r="PG59" s="30"/>
      <c r="PH59" s="30"/>
      <c r="PI59" s="30"/>
      <c r="PJ59" s="30"/>
      <c r="PK59" s="30"/>
      <c r="PL59" s="30"/>
      <c r="PM59" s="30"/>
      <c r="PN59" s="30"/>
      <c r="PO59" s="30"/>
      <c r="PP59" s="30"/>
      <c r="PQ59" s="30"/>
      <c r="PR59" s="30"/>
      <c r="PS59" s="30"/>
      <c r="PT59" s="30"/>
      <c r="PU59" s="30"/>
      <c r="PV59" s="30"/>
      <c r="PW59" s="30"/>
      <c r="PX59" s="30"/>
      <c r="PY59" s="30"/>
      <c r="PZ59" s="30"/>
      <c r="QA59" s="30"/>
      <c r="QB59" s="30"/>
      <c r="QC59" s="30"/>
      <c r="QD59" s="30"/>
      <c r="QE59" s="30"/>
      <c r="QF59" s="30"/>
      <c r="QG59" s="30"/>
      <c r="QH59" s="30"/>
      <c r="QI59" s="30"/>
      <c r="QJ59" s="30"/>
      <c r="QK59" s="30"/>
      <c r="QL59" s="30"/>
      <c r="QM59" s="30"/>
      <c r="QN59" s="30"/>
      <c r="QO59" s="30"/>
      <c r="QP59" s="30"/>
      <c r="QQ59" s="30"/>
      <c r="QR59" s="30"/>
      <c r="QS59" s="30"/>
      <c r="QT59" s="30"/>
      <c r="QU59" s="30"/>
      <c r="QV59" s="30"/>
      <c r="QW59" s="30"/>
      <c r="QX59" s="30"/>
      <c r="QY59" s="30"/>
      <c r="QZ59" s="30"/>
      <c r="RA59" s="30"/>
      <c r="RB59" s="30"/>
      <c r="RC59" s="30"/>
      <c r="RD59" s="30"/>
      <c r="RE59" s="30"/>
      <c r="RF59" s="30"/>
      <c r="RG59" s="30"/>
      <c r="RH59" s="30"/>
      <c r="RI59" s="30"/>
      <c r="RJ59" s="30"/>
      <c r="RK59" s="30"/>
      <c r="RL59" s="30"/>
      <c r="RM59" s="30"/>
      <c r="RN59" s="30"/>
      <c r="RO59" s="30"/>
      <c r="RP59" s="30"/>
      <c r="RQ59" s="30"/>
      <c r="RR59" s="30"/>
      <c r="RS59" s="30"/>
      <c r="RT59" s="30"/>
      <c r="RU59" s="30"/>
      <c r="RV59" s="30"/>
      <c r="RW59" s="30"/>
      <c r="RX59" s="30"/>
      <c r="RY59" s="30"/>
      <c r="RZ59" s="30"/>
      <c r="SA59" s="30"/>
      <c r="SB59" s="30"/>
      <c r="SC59" s="30"/>
      <c r="SD59" s="30"/>
      <c r="SE59" s="30"/>
      <c r="SF59" s="30"/>
      <c r="SG59" s="30"/>
      <c r="SH59" s="30"/>
      <c r="SI59" s="30"/>
      <c r="SJ59" s="30"/>
      <c r="SK59" s="30"/>
      <c r="SL59" s="30"/>
      <c r="SM59" s="30"/>
      <c r="SN59" s="30"/>
      <c r="SO59" s="30"/>
      <c r="SP59" s="30"/>
      <c r="SQ59" s="30"/>
      <c r="SR59" s="30"/>
      <c r="SS59" s="30"/>
      <c r="ST59" s="30"/>
      <c r="SU59" s="30"/>
      <c r="SV59" s="30"/>
      <c r="SW59" s="30"/>
      <c r="SX59" s="30"/>
      <c r="SY59" s="30"/>
      <c r="SZ59" s="30"/>
      <c r="TA59" s="30"/>
      <c r="TB59" s="30"/>
      <c r="TC59" s="30"/>
      <c r="TD59" s="30"/>
      <c r="TE59" s="30"/>
    </row>
    <row r="60" spans="1:525" s="22" customFormat="1" ht="27" customHeight="1" x14ac:dyDescent="0.25">
      <c r="A60" s="89" t="s">
        <v>240</v>
      </c>
      <c r="B60" s="42" t="str">
        <f>'дод 3'!A240</f>
        <v>8230</v>
      </c>
      <c r="C60" s="42" t="str">
        <f>'дод 3'!B240</f>
        <v>0380</v>
      </c>
      <c r="D60" s="36" t="str">
        <f>'дод 3'!C240</f>
        <v>Інші заходи громадського порядку та безпеки</v>
      </c>
      <c r="E60" s="139">
        <f t="shared" si="9"/>
        <v>589100</v>
      </c>
      <c r="F60" s="139">
        <v>589100</v>
      </c>
      <c r="G60" s="139"/>
      <c r="H60" s="139">
        <v>426900</v>
      </c>
      <c r="I60" s="139"/>
      <c r="J60" s="139">
        <f t="shared" si="12"/>
        <v>0</v>
      </c>
      <c r="K60" s="139"/>
      <c r="L60" s="139"/>
      <c r="M60" s="139"/>
      <c r="N60" s="139"/>
      <c r="O60" s="139"/>
      <c r="P60" s="139">
        <f t="shared" si="10"/>
        <v>589100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</row>
    <row r="61" spans="1:525" s="22" customFormat="1" ht="36" customHeight="1" x14ac:dyDescent="0.25">
      <c r="A61" s="56" t="s">
        <v>161</v>
      </c>
      <c r="B61" s="84" t="str">
        <f>'дод 3'!A243</f>
        <v>8340</v>
      </c>
      <c r="C61" s="84" t="str">
        <f>'дод 3'!B243</f>
        <v>0540</v>
      </c>
      <c r="D61" s="57" t="str">
        <f>'дод 3'!C243</f>
        <v>Природоохоронні заходи за рахунок цільових фондів</v>
      </c>
      <c r="E61" s="139">
        <f t="shared" si="9"/>
        <v>0</v>
      </c>
      <c r="F61" s="139"/>
      <c r="G61" s="139"/>
      <c r="H61" s="139"/>
      <c r="I61" s="139"/>
      <c r="J61" s="139">
        <f t="shared" si="12"/>
        <v>100000</v>
      </c>
      <c r="K61" s="139"/>
      <c r="L61" s="139">
        <v>100000</v>
      </c>
      <c r="M61" s="139"/>
      <c r="N61" s="139"/>
      <c r="O61" s="139"/>
      <c r="P61" s="139">
        <f t="shared" si="10"/>
        <v>100000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</row>
    <row r="62" spans="1:525" s="22" customFormat="1" ht="26.25" hidden="1" customHeight="1" x14ac:dyDescent="0.25">
      <c r="A62" s="89" t="s">
        <v>251</v>
      </c>
      <c r="B62" s="42" t="str">
        <f>'дод 3'!A245</f>
        <v>8420</v>
      </c>
      <c r="C62" s="42" t="str">
        <f>'дод 3'!B245</f>
        <v>0830</v>
      </c>
      <c r="D62" s="36" t="str">
        <f>'дод 3'!C245</f>
        <v>Інші заходи у сфері засобів масової інформації</v>
      </c>
      <c r="E62" s="139">
        <f t="shared" si="9"/>
        <v>0</v>
      </c>
      <c r="F62" s="139"/>
      <c r="G62" s="139"/>
      <c r="H62" s="139"/>
      <c r="I62" s="139"/>
      <c r="J62" s="139">
        <f t="shared" si="12"/>
        <v>0</v>
      </c>
      <c r="K62" s="139"/>
      <c r="L62" s="139"/>
      <c r="M62" s="139"/>
      <c r="N62" s="139"/>
      <c r="O62" s="139"/>
      <c r="P62" s="139">
        <f t="shared" si="10"/>
        <v>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</row>
    <row r="63" spans="1:525" s="22" customFormat="1" ht="26.25" hidden="1" customHeight="1" x14ac:dyDescent="0.25">
      <c r="A63" s="89" t="s">
        <v>570</v>
      </c>
      <c r="B63" s="42">
        <v>9770</v>
      </c>
      <c r="C63" s="89" t="s">
        <v>44</v>
      </c>
      <c r="D63" s="36" t="s">
        <v>351</v>
      </c>
      <c r="E63" s="139">
        <f t="shared" si="9"/>
        <v>0</v>
      </c>
      <c r="F63" s="139"/>
      <c r="G63" s="139"/>
      <c r="H63" s="139"/>
      <c r="I63" s="139"/>
      <c r="J63" s="139">
        <f t="shared" si="12"/>
        <v>0</v>
      </c>
      <c r="K63" s="139"/>
      <c r="L63" s="139"/>
      <c r="M63" s="139"/>
      <c r="N63" s="139"/>
      <c r="O63" s="139"/>
      <c r="P63" s="139">
        <f t="shared" si="10"/>
        <v>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</row>
    <row r="64" spans="1:525" s="173" customFormat="1" ht="38.25" customHeight="1" x14ac:dyDescent="0.25">
      <c r="A64" s="89" t="s">
        <v>627</v>
      </c>
      <c r="B64" s="42">
        <v>8775</v>
      </c>
      <c r="C64" s="89" t="s">
        <v>92</v>
      </c>
      <c r="D64" s="36" t="s">
        <v>628</v>
      </c>
      <c r="E64" s="139">
        <f>F64</f>
        <v>12000000</v>
      </c>
      <c r="F64" s="139">
        <v>12000000</v>
      </c>
      <c r="G64" s="139"/>
      <c r="H64" s="139"/>
      <c r="I64" s="139"/>
      <c r="J64" s="139">
        <f t="shared" ref="J64" si="13">L64+O64</f>
        <v>0</v>
      </c>
      <c r="K64" s="139"/>
      <c r="L64" s="139"/>
      <c r="M64" s="139"/>
      <c r="N64" s="139"/>
      <c r="O64" s="139"/>
      <c r="P64" s="139">
        <f t="shared" ref="P64" si="14">E64+J64</f>
        <v>12000000</v>
      </c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  <c r="IU64" s="172"/>
      <c r="IV64" s="172"/>
      <c r="IW64" s="172"/>
      <c r="IX64" s="172"/>
      <c r="IY64" s="172"/>
      <c r="IZ64" s="172"/>
      <c r="JA64" s="172"/>
      <c r="JB64" s="172"/>
      <c r="JC64" s="172"/>
      <c r="JD64" s="172"/>
      <c r="JE64" s="172"/>
      <c r="JF64" s="172"/>
      <c r="JG64" s="172"/>
      <c r="JH64" s="172"/>
      <c r="JI64" s="172"/>
      <c r="JJ64" s="172"/>
      <c r="JK64" s="172"/>
      <c r="JL64" s="172"/>
      <c r="JM64" s="172"/>
      <c r="JN64" s="172"/>
      <c r="JO64" s="172"/>
      <c r="JP64" s="172"/>
      <c r="JQ64" s="172"/>
      <c r="JR64" s="172"/>
      <c r="JS64" s="172"/>
      <c r="JT64" s="172"/>
      <c r="JU64" s="172"/>
      <c r="JV64" s="172"/>
      <c r="JW64" s="172"/>
      <c r="JX64" s="172"/>
      <c r="JY64" s="172"/>
      <c r="JZ64" s="172"/>
      <c r="KA64" s="172"/>
      <c r="KB64" s="172"/>
      <c r="KC64" s="172"/>
      <c r="KD64" s="172"/>
      <c r="KE64" s="172"/>
      <c r="KF64" s="172"/>
      <c r="KG64" s="172"/>
      <c r="KH64" s="172"/>
      <c r="KI64" s="172"/>
      <c r="KJ64" s="172"/>
      <c r="KK64" s="172"/>
      <c r="KL64" s="172"/>
      <c r="KM64" s="172"/>
      <c r="KN64" s="172"/>
      <c r="KO64" s="172"/>
      <c r="KP64" s="172"/>
      <c r="KQ64" s="172"/>
      <c r="KR64" s="172"/>
      <c r="KS64" s="172"/>
      <c r="KT64" s="172"/>
      <c r="KU64" s="172"/>
      <c r="KV64" s="172"/>
      <c r="KW64" s="172"/>
      <c r="KX64" s="172"/>
      <c r="KY64" s="172"/>
      <c r="KZ64" s="172"/>
      <c r="LA64" s="172"/>
      <c r="LB64" s="172"/>
      <c r="LC64" s="172"/>
      <c r="LD64" s="172"/>
      <c r="LE64" s="172"/>
      <c r="LF64" s="172"/>
      <c r="LG64" s="172"/>
      <c r="LH64" s="172"/>
      <c r="LI64" s="172"/>
      <c r="LJ64" s="172"/>
      <c r="LK64" s="172"/>
      <c r="LL64" s="172"/>
      <c r="LM64" s="172"/>
      <c r="LN64" s="172"/>
      <c r="LO64" s="172"/>
      <c r="LP64" s="172"/>
      <c r="LQ64" s="172"/>
      <c r="LR64" s="172"/>
      <c r="LS64" s="172"/>
      <c r="LT64" s="172"/>
      <c r="LU64" s="172"/>
      <c r="LV64" s="172"/>
      <c r="LW64" s="172"/>
      <c r="LX64" s="172"/>
      <c r="LY64" s="172"/>
      <c r="LZ64" s="172"/>
      <c r="MA64" s="172"/>
      <c r="MB64" s="172"/>
      <c r="MC64" s="172"/>
      <c r="MD64" s="172"/>
      <c r="ME64" s="172"/>
      <c r="MF64" s="172"/>
      <c r="MG64" s="172"/>
      <c r="MH64" s="172"/>
      <c r="MI64" s="172"/>
      <c r="MJ64" s="172"/>
      <c r="MK64" s="172"/>
      <c r="ML64" s="172"/>
      <c r="MM64" s="172"/>
      <c r="MN64" s="172"/>
      <c r="MO64" s="172"/>
      <c r="MP64" s="172"/>
      <c r="MQ64" s="172"/>
      <c r="MR64" s="172"/>
      <c r="MS64" s="172"/>
      <c r="MT64" s="172"/>
      <c r="MU64" s="172"/>
      <c r="MV64" s="172"/>
      <c r="MW64" s="172"/>
      <c r="MX64" s="172"/>
      <c r="MY64" s="172"/>
      <c r="MZ64" s="172"/>
      <c r="NA64" s="172"/>
      <c r="NB64" s="172"/>
      <c r="NC64" s="172"/>
      <c r="ND64" s="172"/>
      <c r="NE64" s="172"/>
      <c r="NF64" s="172"/>
      <c r="NG64" s="172"/>
      <c r="NH64" s="172"/>
      <c r="NI64" s="172"/>
      <c r="NJ64" s="172"/>
      <c r="NK64" s="172"/>
      <c r="NL64" s="172"/>
      <c r="NM64" s="172"/>
      <c r="NN64" s="172"/>
      <c r="NO64" s="172"/>
      <c r="NP64" s="172"/>
      <c r="NQ64" s="172"/>
      <c r="NR64" s="172"/>
      <c r="NS64" s="172"/>
      <c r="NT64" s="172"/>
      <c r="NU64" s="172"/>
      <c r="NV64" s="172"/>
      <c r="NW64" s="172"/>
      <c r="NX64" s="172"/>
      <c r="NY64" s="172"/>
      <c r="NZ64" s="172"/>
      <c r="OA64" s="172"/>
      <c r="OB64" s="172"/>
      <c r="OC64" s="172"/>
      <c r="OD64" s="172"/>
      <c r="OE64" s="172"/>
      <c r="OF64" s="172"/>
      <c r="OG64" s="172"/>
      <c r="OH64" s="172"/>
      <c r="OI64" s="172"/>
      <c r="OJ64" s="172"/>
      <c r="OK64" s="172"/>
      <c r="OL64" s="172"/>
      <c r="OM64" s="172"/>
      <c r="ON64" s="172"/>
      <c r="OO64" s="172"/>
      <c r="OP64" s="172"/>
      <c r="OQ64" s="172"/>
      <c r="OR64" s="172"/>
      <c r="OS64" s="172"/>
      <c r="OT64" s="172"/>
      <c r="OU64" s="172"/>
      <c r="OV64" s="172"/>
      <c r="OW64" s="172"/>
      <c r="OX64" s="172"/>
      <c r="OY64" s="172"/>
      <c r="OZ64" s="172"/>
      <c r="PA64" s="172"/>
      <c r="PB64" s="172"/>
      <c r="PC64" s="172"/>
      <c r="PD64" s="172"/>
      <c r="PE64" s="172"/>
      <c r="PF64" s="172"/>
      <c r="PG64" s="172"/>
      <c r="PH64" s="172"/>
      <c r="PI64" s="172"/>
      <c r="PJ64" s="172"/>
      <c r="PK64" s="172"/>
      <c r="PL64" s="172"/>
      <c r="PM64" s="172"/>
      <c r="PN64" s="172"/>
      <c r="PO64" s="172"/>
      <c r="PP64" s="172"/>
      <c r="PQ64" s="172"/>
      <c r="PR64" s="172"/>
      <c r="PS64" s="172"/>
      <c r="PT64" s="172"/>
      <c r="PU64" s="172"/>
      <c r="PV64" s="172"/>
      <c r="PW64" s="172"/>
      <c r="PX64" s="172"/>
      <c r="PY64" s="172"/>
      <c r="PZ64" s="172"/>
      <c r="QA64" s="172"/>
      <c r="QB64" s="172"/>
      <c r="QC64" s="172"/>
      <c r="QD64" s="172"/>
      <c r="QE64" s="172"/>
      <c r="QF64" s="172"/>
      <c r="QG64" s="172"/>
      <c r="QH64" s="172"/>
      <c r="QI64" s="172"/>
      <c r="QJ64" s="172"/>
      <c r="QK64" s="172"/>
      <c r="QL64" s="172"/>
      <c r="QM64" s="172"/>
      <c r="QN64" s="172"/>
      <c r="QO64" s="172"/>
      <c r="QP64" s="172"/>
      <c r="QQ64" s="172"/>
      <c r="QR64" s="172"/>
      <c r="QS64" s="172"/>
      <c r="QT64" s="172"/>
      <c r="QU64" s="172"/>
      <c r="QV64" s="172"/>
      <c r="QW64" s="172"/>
      <c r="QX64" s="172"/>
      <c r="QY64" s="172"/>
      <c r="QZ64" s="172"/>
      <c r="RA64" s="172"/>
      <c r="RB64" s="172"/>
      <c r="RC64" s="172"/>
      <c r="RD64" s="172"/>
      <c r="RE64" s="172"/>
      <c r="RF64" s="172"/>
      <c r="RG64" s="172"/>
      <c r="RH64" s="172"/>
      <c r="RI64" s="172"/>
      <c r="RJ64" s="172"/>
      <c r="RK64" s="172"/>
      <c r="RL64" s="172"/>
      <c r="RM64" s="172"/>
      <c r="RN64" s="172"/>
      <c r="RO64" s="172"/>
      <c r="RP64" s="172"/>
      <c r="RQ64" s="172"/>
      <c r="RR64" s="172"/>
      <c r="RS64" s="172"/>
      <c r="RT64" s="172"/>
      <c r="RU64" s="172"/>
      <c r="RV64" s="172"/>
      <c r="RW64" s="172"/>
      <c r="RX64" s="172"/>
      <c r="RY64" s="172"/>
      <c r="RZ64" s="172"/>
      <c r="SA64" s="172"/>
      <c r="SB64" s="172"/>
      <c r="SC64" s="172"/>
      <c r="SD64" s="172"/>
      <c r="SE64" s="172"/>
      <c r="SF64" s="172"/>
      <c r="SG64" s="172"/>
      <c r="SH64" s="172"/>
      <c r="SI64" s="172"/>
      <c r="SJ64" s="172"/>
      <c r="SK64" s="172"/>
      <c r="SL64" s="172"/>
      <c r="SM64" s="172"/>
      <c r="SN64" s="172"/>
      <c r="SO64" s="172"/>
      <c r="SP64" s="172"/>
      <c r="SQ64" s="172"/>
      <c r="SR64" s="172"/>
      <c r="SS64" s="172"/>
      <c r="ST64" s="172"/>
      <c r="SU64" s="172"/>
      <c r="SV64" s="172"/>
      <c r="SW64" s="172"/>
      <c r="SX64" s="172"/>
      <c r="SY64" s="172"/>
      <c r="SZ64" s="172"/>
      <c r="TA64" s="172"/>
      <c r="TB64" s="172"/>
      <c r="TC64" s="172"/>
      <c r="TD64" s="172"/>
      <c r="TE64" s="172"/>
    </row>
    <row r="65" spans="1:525" s="22" customFormat="1" ht="47.25" customHeight="1" x14ac:dyDescent="0.25">
      <c r="A65" s="89" t="s">
        <v>376</v>
      </c>
      <c r="B65" s="42">
        <v>9800</v>
      </c>
      <c r="C65" s="89" t="s">
        <v>44</v>
      </c>
      <c r="D65" s="36" t="s">
        <v>362</v>
      </c>
      <c r="E65" s="139">
        <f t="shared" si="9"/>
        <v>1241800</v>
      </c>
      <c r="F65" s="139">
        <f>711800+530000</f>
        <v>1241800</v>
      </c>
      <c r="G65" s="139"/>
      <c r="H65" s="139"/>
      <c r="I65" s="139"/>
      <c r="J65" s="139">
        <f t="shared" si="12"/>
        <v>320000</v>
      </c>
      <c r="K65" s="139">
        <v>320000</v>
      </c>
      <c r="L65" s="139"/>
      <c r="M65" s="139"/>
      <c r="N65" s="139"/>
      <c r="O65" s="139">
        <v>320000</v>
      </c>
      <c r="P65" s="139">
        <f t="shared" si="10"/>
        <v>1561800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  <c r="PA65" s="23"/>
      <c r="PB65" s="23"/>
      <c r="PC65" s="23"/>
      <c r="PD65" s="23"/>
      <c r="PE65" s="23"/>
      <c r="PF65" s="23"/>
      <c r="PG65" s="23"/>
      <c r="PH65" s="23"/>
      <c r="PI65" s="23"/>
      <c r="PJ65" s="23"/>
      <c r="PK65" s="23"/>
      <c r="PL65" s="23"/>
      <c r="PM65" s="23"/>
      <c r="PN65" s="23"/>
      <c r="PO65" s="23"/>
      <c r="PP65" s="23"/>
      <c r="PQ65" s="23"/>
      <c r="PR65" s="23"/>
      <c r="PS65" s="23"/>
      <c r="PT65" s="23"/>
      <c r="PU65" s="23"/>
      <c r="PV65" s="23"/>
      <c r="PW65" s="23"/>
      <c r="PX65" s="23"/>
      <c r="PY65" s="23"/>
      <c r="PZ65" s="23"/>
      <c r="QA65" s="23"/>
      <c r="QB65" s="23"/>
      <c r="QC65" s="23"/>
      <c r="QD65" s="23"/>
      <c r="QE65" s="23"/>
      <c r="QF65" s="23"/>
      <c r="QG65" s="23"/>
      <c r="QH65" s="23"/>
      <c r="QI65" s="23"/>
      <c r="QJ65" s="23"/>
      <c r="QK65" s="23"/>
      <c r="QL65" s="23"/>
      <c r="QM65" s="23"/>
      <c r="QN65" s="23"/>
      <c r="QO65" s="23"/>
      <c r="QP65" s="23"/>
      <c r="QQ65" s="23"/>
      <c r="QR65" s="23"/>
      <c r="QS65" s="23"/>
      <c r="QT65" s="23"/>
      <c r="QU65" s="23"/>
      <c r="QV65" s="23"/>
      <c r="QW65" s="23"/>
      <c r="QX65" s="23"/>
      <c r="QY65" s="23"/>
      <c r="QZ65" s="23"/>
      <c r="RA65" s="23"/>
      <c r="RB65" s="23"/>
      <c r="RC65" s="23"/>
      <c r="RD65" s="23"/>
      <c r="RE65" s="23"/>
      <c r="RF65" s="23"/>
      <c r="RG65" s="23"/>
      <c r="RH65" s="23"/>
      <c r="RI65" s="23"/>
      <c r="RJ65" s="23"/>
      <c r="RK65" s="23"/>
      <c r="RL65" s="23"/>
      <c r="RM65" s="23"/>
      <c r="RN65" s="23"/>
      <c r="RO65" s="23"/>
      <c r="RP65" s="23"/>
      <c r="RQ65" s="23"/>
      <c r="RR65" s="23"/>
      <c r="RS65" s="23"/>
      <c r="RT65" s="23"/>
      <c r="RU65" s="23"/>
      <c r="RV65" s="23"/>
      <c r="RW65" s="23"/>
      <c r="RX65" s="23"/>
      <c r="RY65" s="23"/>
      <c r="RZ65" s="23"/>
      <c r="SA65" s="23"/>
      <c r="SB65" s="23"/>
      <c r="SC65" s="23"/>
      <c r="SD65" s="23"/>
      <c r="SE65" s="23"/>
      <c r="SF65" s="23"/>
      <c r="SG65" s="23"/>
      <c r="SH65" s="23"/>
      <c r="SI65" s="23"/>
      <c r="SJ65" s="23"/>
      <c r="SK65" s="23"/>
      <c r="SL65" s="23"/>
      <c r="SM65" s="23"/>
      <c r="SN65" s="23"/>
      <c r="SO65" s="23"/>
      <c r="SP65" s="23"/>
      <c r="SQ65" s="23"/>
      <c r="SR65" s="23"/>
      <c r="SS65" s="23"/>
      <c r="ST65" s="23"/>
      <c r="SU65" s="23"/>
      <c r="SV65" s="23"/>
      <c r="SW65" s="23"/>
      <c r="SX65" s="23"/>
      <c r="SY65" s="23"/>
      <c r="SZ65" s="23"/>
      <c r="TA65" s="23"/>
      <c r="TB65" s="23"/>
      <c r="TC65" s="23"/>
      <c r="TD65" s="23"/>
      <c r="TE65" s="23"/>
    </row>
    <row r="66" spans="1:525" s="27" customFormat="1" ht="36" customHeight="1" x14ac:dyDescent="0.25">
      <c r="A66" s="92" t="s">
        <v>162</v>
      </c>
      <c r="B66" s="39"/>
      <c r="C66" s="39"/>
      <c r="D66" s="93" t="s">
        <v>24</v>
      </c>
      <c r="E66" s="137">
        <f>E67</f>
        <v>1459377840</v>
      </c>
      <c r="F66" s="137">
        <f t="shared" ref="F66:J66" si="15">F67</f>
        <v>1459377840</v>
      </c>
      <c r="G66" s="137">
        <f t="shared" si="15"/>
        <v>973347220</v>
      </c>
      <c r="H66" s="137">
        <f t="shared" si="15"/>
        <v>157483550</v>
      </c>
      <c r="I66" s="137">
        <f t="shared" si="15"/>
        <v>0</v>
      </c>
      <c r="J66" s="137">
        <f t="shared" si="15"/>
        <v>113881599</v>
      </c>
      <c r="K66" s="137">
        <f t="shared" ref="K66" si="16">K67</f>
        <v>19030000</v>
      </c>
      <c r="L66" s="137">
        <f t="shared" ref="L66" si="17">L67</f>
        <v>94698909</v>
      </c>
      <c r="M66" s="137">
        <f t="shared" ref="M66" si="18">M67</f>
        <v>6034696</v>
      </c>
      <c r="N66" s="137">
        <f t="shared" ref="N66" si="19">N67</f>
        <v>5238893</v>
      </c>
      <c r="O66" s="137">
        <f t="shared" ref="O66:P66" si="20">O67</f>
        <v>19182690</v>
      </c>
      <c r="P66" s="137">
        <f t="shared" si="20"/>
        <v>1573259439</v>
      </c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  <c r="IV66" s="32"/>
      <c r="IW66" s="32"/>
      <c r="IX66" s="32"/>
      <c r="IY66" s="32"/>
      <c r="IZ66" s="32"/>
      <c r="JA66" s="32"/>
      <c r="JB66" s="32"/>
      <c r="JC66" s="32"/>
      <c r="JD66" s="32"/>
      <c r="JE66" s="32"/>
      <c r="JF66" s="32"/>
      <c r="JG66" s="32"/>
      <c r="JH66" s="32"/>
      <c r="JI66" s="32"/>
      <c r="JJ66" s="32"/>
      <c r="JK66" s="32"/>
      <c r="JL66" s="32"/>
      <c r="JM66" s="32"/>
      <c r="JN66" s="32"/>
      <c r="JO66" s="32"/>
      <c r="JP66" s="32"/>
      <c r="JQ66" s="32"/>
      <c r="JR66" s="32"/>
      <c r="JS66" s="32"/>
      <c r="JT66" s="32"/>
      <c r="JU66" s="32"/>
      <c r="JV66" s="32"/>
      <c r="JW66" s="32"/>
      <c r="JX66" s="32"/>
      <c r="JY66" s="32"/>
      <c r="JZ66" s="32"/>
      <c r="KA66" s="32"/>
      <c r="KB66" s="32"/>
      <c r="KC66" s="32"/>
      <c r="KD66" s="32"/>
      <c r="KE66" s="32"/>
      <c r="KF66" s="32"/>
      <c r="KG66" s="32"/>
      <c r="KH66" s="32"/>
      <c r="KI66" s="32"/>
      <c r="KJ66" s="32"/>
      <c r="KK66" s="32"/>
      <c r="KL66" s="32"/>
      <c r="KM66" s="32"/>
      <c r="KN66" s="32"/>
      <c r="KO66" s="32"/>
      <c r="KP66" s="32"/>
      <c r="KQ66" s="32"/>
      <c r="KR66" s="32"/>
      <c r="KS66" s="32"/>
      <c r="KT66" s="32"/>
      <c r="KU66" s="32"/>
      <c r="KV66" s="32"/>
      <c r="KW66" s="32"/>
      <c r="KX66" s="32"/>
      <c r="KY66" s="32"/>
      <c r="KZ66" s="32"/>
      <c r="LA66" s="32"/>
      <c r="LB66" s="32"/>
      <c r="LC66" s="32"/>
      <c r="LD66" s="32"/>
      <c r="LE66" s="32"/>
      <c r="LF66" s="32"/>
      <c r="LG66" s="32"/>
      <c r="LH66" s="32"/>
      <c r="LI66" s="32"/>
      <c r="LJ66" s="32"/>
      <c r="LK66" s="32"/>
      <c r="LL66" s="32"/>
      <c r="LM66" s="32"/>
      <c r="LN66" s="32"/>
      <c r="LO66" s="32"/>
      <c r="LP66" s="32"/>
      <c r="LQ66" s="32"/>
      <c r="LR66" s="32"/>
      <c r="LS66" s="32"/>
      <c r="LT66" s="32"/>
      <c r="LU66" s="32"/>
      <c r="LV66" s="32"/>
      <c r="LW66" s="32"/>
      <c r="LX66" s="32"/>
      <c r="LY66" s="32"/>
      <c r="LZ66" s="32"/>
      <c r="MA66" s="32"/>
      <c r="MB66" s="32"/>
      <c r="MC66" s="32"/>
      <c r="MD66" s="32"/>
      <c r="ME66" s="32"/>
      <c r="MF66" s="32"/>
      <c r="MG66" s="32"/>
      <c r="MH66" s="32"/>
      <c r="MI66" s="32"/>
      <c r="MJ66" s="32"/>
      <c r="MK66" s="32"/>
      <c r="ML66" s="32"/>
      <c r="MM66" s="32"/>
      <c r="MN66" s="32"/>
      <c r="MO66" s="32"/>
      <c r="MP66" s="32"/>
      <c r="MQ66" s="32"/>
      <c r="MR66" s="32"/>
      <c r="MS66" s="32"/>
      <c r="MT66" s="32"/>
      <c r="MU66" s="32"/>
      <c r="MV66" s="32"/>
      <c r="MW66" s="32"/>
      <c r="MX66" s="32"/>
      <c r="MY66" s="32"/>
      <c r="MZ66" s="32"/>
      <c r="NA66" s="32"/>
      <c r="NB66" s="32"/>
      <c r="NC66" s="32"/>
      <c r="ND66" s="32"/>
      <c r="NE66" s="32"/>
      <c r="NF66" s="32"/>
      <c r="NG66" s="32"/>
      <c r="NH66" s="32"/>
      <c r="NI66" s="32"/>
      <c r="NJ66" s="32"/>
      <c r="NK66" s="32"/>
      <c r="NL66" s="32"/>
      <c r="NM66" s="32"/>
      <c r="NN66" s="32"/>
      <c r="NO66" s="32"/>
      <c r="NP66" s="32"/>
      <c r="NQ66" s="32"/>
      <c r="NR66" s="32"/>
      <c r="NS66" s="32"/>
      <c r="NT66" s="32"/>
      <c r="NU66" s="32"/>
      <c r="NV66" s="32"/>
      <c r="NW66" s="32"/>
      <c r="NX66" s="32"/>
      <c r="NY66" s="32"/>
      <c r="NZ66" s="32"/>
      <c r="OA66" s="32"/>
      <c r="OB66" s="32"/>
      <c r="OC66" s="32"/>
      <c r="OD66" s="32"/>
      <c r="OE66" s="32"/>
      <c r="OF66" s="32"/>
      <c r="OG66" s="32"/>
      <c r="OH66" s="32"/>
      <c r="OI66" s="32"/>
      <c r="OJ66" s="32"/>
      <c r="OK66" s="32"/>
      <c r="OL66" s="32"/>
      <c r="OM66" s="32"/>
      <c r="ON66" s="32"/>
      <c r="OO66" s="32"/>
      <c r="OP66" s="32"/>
      <c r="OQ66" s="32"/>
      <c r="OR66" s="32"/>
      <c r="OS66" s="32"/>
      <c r="OT66" s="32"/>
      <c r="OU66" s="32"/>
      <c r="OV66" s="32"/>
      <c r="OW66" s="32"/>
      <c r="OX66" s="32"/>
      <c r="OY66" s="32"/>
      <c r="OZ66" s="32"/>
      <c r="PA66" s="32"/>
      <c r="PB66" s="32"/>
      <c r="PC66" s="32"/>
      <c r="PD66" s="32"/>
      <c r="PE66" s="32"/>
      <c r="PF66" s="32"/>
      <c r="PG66" s="32"/>
      <c r="PH66" s="32"/>
      <c r="PI66" s="32"/>
      <c r="PJ66" s="32"/>
      <c r="PK66" s="32"/>
      <c r="PL66" s="32"/>
      <c r="PM66" s="32"/>
      <c r="PN66" s="32"/>
      <c r="PO66" s="32"/>
      <c r="PP66" s="32"/>
      <c r="PQ66" s="32"/>
      <c r="PR66" s="32"/>
      <c r="PS66" s="32"/>
      <c r="PT66" s="32"/>
      <c r="PU66" s="32"/>
      <c r="PV66" s="32"/>
      <c r="PW66" s="32"/>
      <c r="PX66" s="32"/>
      <c r="PY66" s="32"/>
      <c r="PZ66" s="32"/>
      <c r="QA66" s="32"/>
      <c r="QB66" s="32"/>
      <c r="QC66" s="32"/>
      <c r="QD66" s="32"/>
      <c r="QE66" s="32"/>
      <c r="QF66" s="32"/>
      <c r="QG66" s="32"/>
      <c r="QH66" s="32"/>
      <c r="QI66" s="32"/>
      <c r="QJ66" s="32"/>
      <c r="QK66" s="32"/>
      <c r="QL66" s="32"/>
      <c r="QM66" s="32"/>
      <c r="QN66" s="32"/>
      <c r="QO66" s="32"/>
      <c r="QP66" s="32"/>
      <c r="QQ66" s="32"/>
      <c r="QR66" s="32"/>
      <c r="QS66" s="32"/>
      <c r="QT66" s="32"/>
      <c r="QU66" s="32"/>
      <c r="QV66" s="32"/>
      <c r="QW66" s="32"/>
      <c r="QX66" s="32"/>
      <c r="QY66" s="32"/>
      <c r="QZ66" s="32"/>
      <c r="RA66" s="32"/>
      <c r="RB66" s="32"/>
      <c r="RC66" s="32"/>
      <c r="RD66" s="32"/>
      <c r="RE66" s="32"/>
      <c r="RF66" s="32"/>
      <c r="RG66" s="32"/>
      <c r="RH66" s="32"/>
      <c r="RI66" s="32"/>
      <c r="RJ66" s="32"/>
      <c r="RK66" s="32"/>
      <c r="RL66" s="32"/>
      <c r="RM66" s="32"/>
      <c r="RN66" s="32"/>
      <c r="RO66" s="32"/>
      <c r="RP66" s="32"/>
      <c r="RQ66" s="32"/>
      <c r="RR66" s="32"/>
      <c r="RS66" s="32"/>
      <c r="RT66" s="32"/>
      <c r="RU66" s="32"/>
      <c r="RV66" s="32"/>
      <c r="RW66" s="32"/>
      <c r="RX66" s="32"/>
      <c r="RY66" s="32"/>
      <c r="RZ66" s="32"/>
      <c r="SA66" s="32"/>
      <c r="SB66" s="32"/>
      <c r="SC66" s="32"/>
      <c r="SD66" s="32"/>
      <c r="SE66" s="32"/>
      <c r="SF66" s="32"/>
      <c r="SG66" s="32"/>
      <c r="SH66" s="32"/>
      <c r="SI66" s="32"/>
      <c r="SJ66" s="32"/>
      <c r="SK66" s="32"/>
      <c r="SL66" s="32"/>
      <c r="SM66" s="32"/>
      <c r="SN66" s="32"/>
      <c r="SO66" s="32"/>
      <c r="SP66" s="32"/>
      <c r="SQ66" s="32"/>
      <c r="SR66" s="32"/>
      <c r="SS66" s="32"/>
      <c r="ST66" s="32"/>
      <c r="SU66" s="32"/>
      <c r="SV66" s="32"/>
      <c r="SW66" s="32"/>
      <c r="SX66" s="32"/>
      <c r="SY66" s="32"/>
      <c r="SZ66" s="32"/>
      <c r="TA66" s="32"/>
      <c r="TB66" s="32"/>
      <c r="TC66" s="32"/>
      <c r="TD66" s="32"/>
      <c r="TE66" s="32"/>
    </row>
    <row r="67" spans="1:525" s="34" customFormat="1" ht="38.25" customHeight="1" x14ac:dyDescent="0.25">
      <c r="A67" s="94" t="s">
        <v>163</v>
      </c>
      <c r="B67" s="68"/>
      <c r="C67" s="68"/>
      <c r="D67" s="70" t="s">
        <v>490</v>
      </c>
      <c r="E67" s="138">
        <f>E80+E81+E82+E83+E84+E85+E88+E90+E92+E95+E97+E101+E102+E103+E104+E106+E107+E108+E110+E112+E114+E116+E118+E119+E120+E122+E124+E126+E127+E128+E129+E131+E132+E98+E99</f>
        <v>1459377840</v>
      </c>
      <c r="F67" s="138">
        <f t="shared" ref="F67:P67" si="21">F80+F81+F82+F83+F84+F85+F88+F90+F92+F95+F97+F101+F102+F103+F104+F106+F107+F108+F110+F112+F114+F116+F118+F119+F120+F122+F124+F126+F127+F128+F129+F131+F132+F98+F99</f>
        <v>1459377840</v>
      </c>
      <c r="G67" s="138">
        <f t="shared" si="21"/>
        <v>973347220</v>
      </c>
      <c r="H67" s="138">
        <f t="shared" si="21"/>
        <v>157483550</v>
      </c>
      <c r="I67" s="138">
        <f t="shared" si="21"/>
        <v>0</v>
      </c>
      <c r="J67" s="138">
        <f t="shared" si="21"/>
        <v>113881599</v>
      </c>
      <c r="K67" s="138">
        <f t="shared" si="21"/>
        <v>19030000</v>
      </c>
      <c r="L67" s="138">
        <f t="shared" si="21"/>
        <v>94698909</v>
      </c>
      <c r="M67" s="138">
        <f t="shared" si="21"/>
        <v>6034696</v>
      </c>
      <c r="N67" s="138">
        <f t="shared" si="21"/>
        <v>5238893</v>
      </c>
      <c r="O67" s="138">
        <f t="shared" si="21"/>
        <v>19182690</v>
      </c>
      <c r="P67" s="138">
        <f t="shared" si="21"/>
        <v>1573259439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</row>
    <row r="68" spans="1:525" s="34" customFormat="1" ht="31.5" x14ac:dyDescent="0.25">
      <c r="A68" s="94"/>
      <c r="B68" s="68"/>
      <c r="C68" s="68"/>
      <c r="D68" s="70" t="s">
        <v>384</v>
      </c>
      <c r="E68" s="138">
        <f>E86+E89+E91+E100</f>
        <v>571788600</v>
      </c>
      <c r="F68" s="138">
        <f t="shared" ref="F68:P68" si="22">F86+F89+F91+F100</f>
        <v>571788600</v>
      </c>
      <c r="G68" s="138">
        <f t="shared" si="22"/>
        <v>469390600</v>
      </c>
      <c r="H68" s="138">
        <f t="shared" si="22"/>
        <v>0</v>
      </c>
      <c r="I68" s="138">
        <f t="shared" si="22"/>
        <v>0</v>
      </c>
      <c r="J68" s="138">
        <f t="shared" si="22"/>
        <v>0</v>
      </c>
      <c r="K68" s="138">
        <f t="shared" si="22"/>
        <v>0</v>
      </c>
      <c r="L68" s="138">
        <f t="shared" si="22"/>
        <v>0</v>
      </c>
      <c r="M68" s="138">
        <f t="shared" si="22"/>
        <v>0</v>
      </c>
      <c r="N68" s="138">
        <f t="shared" si="22"/>
        <v>0</v>
      </c>
      <c r="O68" s="138">
        <f t="shared" si="22"/>
        <v>0</v>
      </c>
      <c r="P68" s="138">
        <f t="shared" si="22"/>
        <v>571788600</v>
      </c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</row>
    <row r="69" spans="1:525" s="34" customFormat="1" ht="63" hidden="1" customHeight="1" x14ac:dyDescent="0.25">
      <c r="A69" s="94"/>
      <c r="B69" s="68"/>
      <c r="C69" s="68"/>
      <c r="D69" s="70" t="s">
        <v>383</v>
      </c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</row>
    <row r="70" spans="1:525" s="34" customFormat="1" ht="47.25" hidden="1" customHeight="1" x14ac:dyDescent="0.25">
      <c r="A70" s="94"/>
      <c r="B70" s="68"/>
      <c r="C70" s="68"/>
      <c r="D70" s="70" t="s">
        <v>521</v>
      </c>
      <c r="E70" s="138">
        <f>E93</f>
        <v>0</v>
      </c>
      <c r="F70" s="138">
        <f t="shared" ref="F70:P70" si="23">F93</f>
        <v>0</v>
      </c>
      <c r="G70" s="138">
        <f t="shared" si="23"/>
        <v>0</v>
      </c>
      <c r="H70" s="138">
        <f t="shared" si="23"/>
        <v>0</v>
      </c>
      <c r="I70" s="138">
        <f t="shared" si="23"/>
        <v>0</v>
      </c>
      <c r="J70" s="138">
        <f t="shared" si="23"/>
        <v>0</v>
      </c>
      <c r="K70" s="138">
        <f t="shared" si="23"/>
        <v>0</v>
      </c>
      <c r="L70" s="138">
        <f t="shared" si="23"/>
        <v>0</v>
      </c>
      <c r="M70" s="138">
        <f t="shared" si="23"/>
        <v>0</v>
      </c>
      <c r="N70" s="138">
        <f t="shared" si="23"/>
        <v>0</v>
      </c>
      <c r="O70" s="138">
        <f t="shared" si="23"/>
        <v>0</v>
      </c>
      <c r="P70" s="138">
        <f t="shared" si="23"/>
        <v>0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</row>
    <row r="71" spans="1:525" s="34" customFormat="1" ht="47.25" x14ac:dyDescent="0.25">
      <c r="A71" s="94"/>
      <c r="B71" s="68"/>
      <c r="C71" s="68"/>
      <c r="D71" s="70" t="s">
        <v>379</v>
      </c>
      <c r="E71" s="138">
        <f t="shared" ref="E71:P71" si="24">E87+E105</f>
        <v>4465990</v>
      </c>
      <c r="F71" s="138">
        <f t="shared" si="24"/>
        <v>4465990</v>
      </c>
      <c r="G71" s="138">
        <f t="shared" si="24"/>
        <v>1600020</v>
      </c>
      <c r="H71" s="138">
        <f t="shared" si="24"/>
        <v>0</v>
      </c>
      <c r="I71" s="138">
        <f t="shared" si="24"/>
        <v>0</v>
      </c>
      <c r="J71" s="138">
        <f t="shared" si="24"/>
        <v>0</v>
      </c>
      <c r="K71" s="138">
        <f t="shared" si="24"/>
        <v>0</v>
      </c>
      <c r="L71" s="138">
        <f t="shared" si="24"/>
        <v>0</v>
      </c>
      <c r="M71" s="138">
        <f t="shared" si="24"/>
        <v>0</v>
      </c>
      <c r="N71" s="138">
        <f t="shared" si="24"/>
        <v>0</v>
      </c>
      <c r="O71" s="138">
        <f t="shared" si="24"/>
        <v>0</v>
      </c>
      <c r="P71" s="138">
        <f t="shared" si="24"/>
        <v>4465990</v>
      </c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</row>
    <row r="72" spans="1:525" s="34" customFormat="1" ht="45" hidden="1" customHeight="1" x14ac:dyDescent="0.25">
      <c r="A72" s="94"/>
      <c r="B72" s="68"/>
      <c r="C72" s="68"/>
      <c r="D72" s="70" t="s">
        <v>381</v>
      </c>
      <c r="E72" s="138" t="e">
        <f>#REF!+E102</f>
        <v>#REF!</v>
      </c>
      <c r="F72" s="138" t="e">
        <f>#REF!+F102</f>
        <v>#REF!</v>
      </c>
      <c r="G72" s="138" t="e">
        <f>#REF!+G102</f>
        <v>#REF!</v>
      </c>
      <c r="H72" s="138" t="e">
        <f>#REF!+H102</f>
        <v>#REF!</v>
      </c>
      <c r="I72" s="138" t="e">
        <f>#REF!+I102</f>
        <v>#REF!</v>
      </c>
      <c r="J72" s="138" t="e">
        <f>#REF!+J102</f>
        <v>#REF!</v>
      </c>
      <c r="K72" s="138" t="e">
        <f>#REF!+K102</f>
        <v>#REF!</v>
      </c>
      <c r="L72" s="138" t="e">
        <f>#REF!+L102</f>
        <v>#REF!</v>
      </c>
      <c r="M72" s="138" t="e">
        <f>#REF!+M102</f>
        <v>#REF!</v>
      </c>
      <c r="N72" s="138" t="e">
        <f>#REF!+N102</f>
        <v>#REF!</v>
      </c>
      <c r="O72" s="138" t="e">
        <f>#REF!+O102</f>
        <v>#REF!</v>
      </c>
      <c r="P72" s="138" t="e">
        <f>#REF!+P102</f>
        <v>#REF!</v>
      </c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</row>
    <row r="73" spans="1:525" s="34" customFormat="1" ht="63" hidden="1" customHeight="1" x14ac:dyDescent="0.25">
      <c r="A73" s="94"/>
      <c r="B73" s="68"/>
      <c r="C73" s="68"/>
      <c r="D73" s="70" t="s">
        <v>378</v>
      </c>
      <c r="E73" s="138">
        <f>E115</f>
        <v>0</v>
      </c>
      <c r="F73" s="138">
        <f t="shared" ref="F73:P73" si="25">F115</f>
        <v>0</v>
      </c>
      <c r="G73" s="138">
        <f t="shared" si="25"/>
        <v>0</v>
      </c>
      <c r="H73" s="138">
        <f t="shared" si="25"/>
        <v>0</v>
      </c>
      <c r="I73" s="138">
        <f t="shared" si="25"/>
        <v>0</v>
      </c>
      <c r="J73" s="138">
        <f t="shared" si="25"/>
        <v>0</v>
      </c>
      <c r="K73" s="138">
        <f t="shared" si="25"/>
        <v>0</v>
      </c>
      <c r="L73" s="138">
        <f t="shared" si="25"/>
        <v>0</v>
      </c>
      <c r="M73" s="138">
        <f t="shared" si="25"/>
        <v>0</v>
      </c>
      <c r="N73" s="138">
        <f t="shared" si="25"/>
        <v>0</v>
      </c>
      <c r="O73" s="138">
        <f t="shared" si="25"/>
        <v>0</v>
      </c>
      <c r="P73" s="138">
        <f t="shared" si="25"/>
        <v>0</v>
      </c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</row>
    <row r="74" spans="1:525" s="34" customFormat="1" ht="80.25" hidden="1" customHeight="1" x14ac:dyDescent="0.25">
      <c r="A74" s="94"/>
      <c r="B74" s="123"/>
      <c r="C74" s="68"/>
      <c r="D74" s="70" t="s">
        <v>504</v>
      </c>
      <c r="E74" s="138">
        <f>E117</f>
        <v>0</v>
      </c>
      <c r="F74" s="138">
        <f t="shared" ref="F74:P74" si="26">F117</f>
        <v>0</v>
      </c>
      <c r="G74" s="138">
        <f t="shared" si="26"/>
        <v>0</v>
      </c>
      <c r="H74" s="138">
        <f t="shared" si="26"/>
        <v>0</v>
      </c>
      <c r="I74" s="138">
        <f t="shared" si="26"/>
        <v>0</v>
      </c>
      <c r="J74" s="138">
        <f t="shared" si="26"/>
        <v>0</v>
      </c>
      <c r="K74" s="138">
        <f t="shared" si="26"/>
        <v>0</v>
      </c>
      <c r="L74" s="138">
        <f t="shared" si="26"/>
        <v>0</v>
      </c>
      <c r="M74" s="138">
        <f t="shared" si="26"/>
        <v>0</v>
      </c>
      <c r="N74" s="138">
        <f t="shared" si="26"/>
        <v>0</v>
      </c>
      <c r="O74" s="138">
        <f t="shared" si="26"/>
        <v>0</v>
      </c>
      <c r="P74" s="138">
        <f t="shared" si="26"/>
        <v>0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</row>
    <row r="75" spans="1:525" s="34" customFormat="1" ht="31.5" hidden="1" customHeight="1" x14ac:dyDescent="0.25">
      <c r="A75" s="94"/>
      <c r="B75" s="68"/>
      <c r="C75" s="68"/>
      <c r="D75" s="70" t="s">
        <v>518</v>
      </c>
      <c r="E75" s="138">
        <f t="shared" ref="E75:P75" si="27">E94+E96+E130</f>
        <v>0</v>
      </c>
      <c r="F75" s="138">
        <f t="shared" si="27"/>
        <v>0</v>
      </c>
      <c r="G75" s="138">
        <f t="shared" si="27"/>
        <v>0</v>
      </c>
      <c r="H75" s="138">
        <f t="shared" si="27"/>
        <v>0</v>
      </c>
      <c r="I75" s="138">
        <f t="shared" si="27"/>
        <v>0</v>
      </c>
      <c r="J75" s="138">
        <f t="shared" si="27"/>
        <v>0</v>
      </c>
      <c r="K75" s="138">
        <f t="shared" si="27"/>
        <v>0</v>
      </c>
      <c r="L75" s="138">
        <f t="shared" si="27"/>
        <v>0</v>
      </c>
      <c r="M75" s="138">
        <f t="shared" si="27"/>
        <v>0</v>
      </c>
      <c r="N75" s="138">
        <f t="shared" si="27"/>
        <v>0</v>
      </c>
      <c r="O75" s="138">
        <f t="shared" si="27"/>
        <v>0</v>
      </c>
      <c r="P75" s="138">
        <f t="shared" si="27"/>
        <v>0</v>
      </c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</row>
    <row r="76" spans="1:525" s="34" customFormat="1" ht="78.75" hidden="1" customHeight="1" x14ac:dyDescent="0.25">
      <c r="A76" s="94"/>
      <c r="B76" s="68"/>
      <c r="C76" s="68"/>
      <c r="D76" s="70" t="s">
        <v>536</v>
      </c>
      <c r="E76" s="138">
        <f>E113</f>
        <v>0</v>
      </c>
      <c r="F76" s="138">
        <f t="shared" ref="F76:P76" si="28">F113</f>
        <v>0</v>
      </c>
      <c r="G76" s="138">
        <f t="shared" si="28"/>
        <v>0</v>
      </c>
      <c r="H76" s="138">
        <f t="shared" si="28"/>
        <v>0</v>
      </c>
      <c r="I76" s="138">
        <f t="shared" si="28"/>
        <v>0</v>
      </c>
      <c r="J76" s="138">
        <f t="shared" si="28"/>
        <v>0</v>
      </c>
      <c r="K76" s="138">
        <f t="shared" si="28"/>
        <v>0</v>
      </c>
      <c r="L76" s="138">
        <f t="shared" si="28"/>
        <v>0</v>
      </c>
      <c r="M76" s="138">
        <f t="shared" si="28"/>
        <v>0</v>
      </c>
      <c r="N76" s="138">
        <f t="shared" si="28"/>
        <v>0</v>
      </c>
      <c r="O76" s="138">
        <f t="shared" si="28"/>
        <v>0</v>
      </c>
      <c r="P76" s="138">
        <f t="shared" si="28"/>
        <v>0</v>
      </c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</row>
    <row r="77" spans="1:525" s="34" customFormat="1" ht="51.75" hidden="1" customHeight="1" x14ac:dyDescent="0.25">
      <c r="A77" s="86"/>
      <c r="B77" s="95"/>
      <c r="C77" s="96"/>
      <c r="D77" s="70" t="s">
        <v>564</v>
      </c>
      <c r="E77" s="138">
        <f>E109</f>
        <v>0</v>
      </c>
      <c r="F77" s="138">
        <f t="shared" ref="F77:P77" si="29">F109</f>
        <v>0</v>
      </c>
      <c r="G77" s="138">
        <f t="shared" si="29"/>
        <v>0</v>
      </c>
      <c r="H77" s="138">
        <f t="shared" si="29"/>
        <v>0</v>
      </c>
      <c r="I77" s="138">
        <f t="shared" si="29"/>
        <v>0</v>
      </c>
      <c r="J77" s="138">
        <f t="shared" si="29"/>
        <v>0</v>
      </c>
      <c r="K77" s="138">
        <f t="shared" si="29"/>
        <v>0</v>
      </c>
      <c r="L77" s="138">
        <f t="shared" si="29"/>
        <v>0</v>
      </c>
      <c r="M77" s="138">
        <f t="shared" si="29"/>
        <v>0</v>
      </c>
      <c r="N77" s="138">
        <f t="shared" si="29"/>
        <v>0</v>
      </c>
      <c r="O77" s="138">
        <f t="shared" si="29"/>
        <v>0</v>
      </c>
      <c r="P77" s="138">
        <f t="shared" si="29"/>
        <v>0</v>
      </c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</row>
    <row r="78" spans="1:525" s="34" customFormat="1" ht="62.25" hidden="1" customHeight="1" x14ac:dyDescent="0.25">
      <c r="A78" s="94"/>
      <c r="B78" s="68"/>
      <c r="C78" s="68"/>
      <c r="D78" s="117" t="s">
        <v>383</v>
      </c>
      <c r="E78" s="138">
        <f>E125</f>
        <v>0</v>
      </c>
      <c r="F78" s="138">
        <f t="shared" ref="F78:P78" si="30">F125</f>
        <v>0</v>
      </c>
      <c r="G78" s="138">
        <f t="shared" si="30"/>
        <v>0</v>
      </c>
      <c r="H78" s="138">
        <f t="shared" si="30"/>
        <v>0</v>
      </c>
      <c r="I78" s="138">
        <f t="shared" si="30"/>
        <v>0</v>
      </c>
      <c r="J78" s="138">
        <f t="shared" si="30"/>
        <v>0</v>
      </c>
      <c r="K78" s="138">
        <f t="shared" si="30"/>
        <v>0</v>
      </c>
      <c r="L78" s="138">
        <f t="shared" si="30"/>
        <v>0</v>
      </c>
      <c r="M78" s="138">
        <f t="shared" si="30"/>
        <v>0</v>
      </c>
      <c r="N78" s="138">
        <f t="shared" si="30"/>
        <v>0</v>
      </c>
      <c r="O78" s="138">
        <f t="shared" si="30"/>
        <v>0</v>
      </c>
      <c r="P78" s="138">
        <f t="shared" si="30"/>
        <v>0</v>
      </c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3"/>
      <c r="ND78" s="33"/>
      <c r="NE78" s="33"/>
      <c r="NF78" s="33"/>
      <c r="NG78" s="33"/>
      <c r="NH78" s="33"/>
      <c r="NI78" s="33"/>
      <c r="NJ78" s="33"/>
      <c r="NK78" s="33"/>
      <c r="NL78" s="33"/>
      <c r="NM78" s="33"/>
      <c r="NN78" s="33"/>
      <c r="NO78" s="33"/>
      <c r="NP78" s="33"/>
      <c r="NQ78" s="33"/>
      <c r="NR78" s="33"/>
      <c r="NS78" s="33"/>
      <c r="NT78" s="33"/>
      <c r="NU78" s="33"/>
      <c r="NV78" s="33"/>
      <c r="NW78" s="33"/>
      <c r="NX78" s="33"/>
      <c r="NY78" s="33"/>
      <c r="NZ78" s="33"/>
      <c r="OA78" s="33"/>
      <c r="OB78" s="33"/>
      <c r="OC78" s="33"/>
      <c r="OD78" s="33"/>
      <c r="OE78" s="33"/>
      <c r="OF78" s="33"/>
      <c r="OG78" s="33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3"/>
      <c r="PS78" s="33"/>
      <c r="PT78" s="33"/>
      <c r="PU78" s="33"/>
      <c r="PV78" s="33"/>
      <c r="PW78" s="33"/>
      <c r="PX78" s="33"/>
      <c r="PY78" s="33"/>
      <c r="PZ78" s="33"/>
      <c r="QA78" s="33"/>
      <c r="QB78" s="33"/>
      <c r="QC78" s="33"/>
      <c r="QD78" s="33"/>
      <c r="QE78" s="33"/>
      <c r="QF78" s="33"/>
      <c r="QG78" s="33"/>
      <c r="QH78" s="33"/>
      <c r="QI78" s="33"/>
      <c r="QJ78" s="33"/>
      <c r="QK78" s="33"/>
      <c r="QL78" s="33"/>
      <c r="QM78" s="33"/>
      <c r="QN78" s="33"/>
      <c r="QO78" s="33"/>
      <c r="QP78" s="33"/>
      <c r="QQ78" s="33"/>
      <c r="QR78" s="33"/>
      <c r="QS78" s="33"/>
      <c r="QT78" s="33"/>
      <c r="QU78" s="33"/>
      <c r="QV78" s="33"/>
      <c r="QW78" s="33"/>
      <c r="QX78" s="33"/>
      <c r="QY78" s="33"/>
      <c r="QZ78" s="33"/>
      <c r="RA78" s="33"/>
      <c r="RB78" s="33"/>
      <c r="RC78" s="33"/>
      <c r="RD78" s="33"/>
      <c r="RE78" s="33"/>
      <c r="RF78" s="33"/>
      <c r="RG78" s="33"/>
      <c r="RH78" s="33"/>
      <c r="RI78" s="33"/>
      <c r="RJ78" s="33"/>
      <c r="RK78" s="33"/>
      <c r="RL78" s="33"/>
      <c r="RM78" s="33"/>
      <c r="RN78" s="33"/>
      <c r="RO78" s="33"/>
      <c r="RP78" s="33"/>
      <c r="RQ78" s="33"/>
      <c r="RR78" s="33"/>
      <c r="RS78" s="33"/>
      <c r="RT78" s="33"/>
      <c r="RU78" s="33"/>
      <c r="RV78" s="33"/>
      <c r="RW78" s="33"/>
      <c r="RX78" s="33"/>
      <c r="RY78" s="33"/>
      <c r="RZ78" s="33"/>
      <c r="SA78" s="33"/>
      <c r="SB78" s="33"/>
      <c r="SC78" s="33"/>
      <c r="SD78" s="33"/>
      <c r="SE78" s="33"/>
      <c r="SF78" s="33"/>
      <c r="SG78" s="33"/>
      <c r="SH78" s="33"/>
      <c r="SI78" s="33"/>
      <c r="SJ78" s="33"/>
      <c r="SK78" s="33"/>
      <c r="SL78" s="33"/>
      <c r="SM78" s="33"/>
      <c r="SN78" s="33"/>
      <c r="SO78" s="33"/>
      <c r="SP78" s="33"/>
      <c r="SQ78" s="33"/>
      <c r="SR78" s="33"/>
      <c r="SS78" s="33"/>
      <c r="ST78" s="33"/>
      <c r="SU78" s="33"/>
      <c r="SV78" s="33"/>
      <c r="SW78" s="33"/>
      <c r="SX78" s="33"/>
      <c r="SY78" s="33"/>
      <c r="SZ78" s="33"/>
      <c r="TA78" s="33"/>
      <c r="TB78" s="33"/>
      <c r="TC78" s="33"/>
      <c r="TD78" s="33"/>
      <c r="TE78" s="33"/>
    </row>
    <row r="79" spans="1:525" s="34" customFormat="1" ht="22.5" hidden="1" customHeight="1" x14ac:dyDescent="0.25">
      <c r="A79" s="94"/>
      <c r="B79" s="68"/>
      <c r="C79" s="68"/>
      <c r="D79" s="70" t="s">
        <v>390</v>
      </c>
      <c r="E79" s="138">
        <f>E111+E121+E123</f>
        <v>0</v>
      </c>
      <c r="F79" s="138">
        <f t="shared" ref="F79:P79" si="31">F111+F121+F123</f>
        <v>0</v>
      </c>
      <c r="G79" s="138">
        <f t="shared" si="31"/>
        <v>0</v>
      </c>
      <c r="H79" s="138">
        <f t="shared" si="31"/>
        <v>0</v>
      </c>
      <c r="I79" s="138">
        <f t="shared" si="31"/>
        <v>0</v>
      </c>
      <c r="J79" s="138">
        <f t="shared" si="31"/>
        <v>0</v>
      </c>
      <c r="K79" s="138">
        <f t="shared" si="31"/>
        <v>0</v>
      </c>
      <c r="L79" s="138">
        <f t="shared" si="31"/>
        <v>0</v>
      </c>
      <c r="M79" s="138">
        <f t="shared" si="31"/>
        <v>0</v>
      </c>
      <c r="N79" s="138">
        <f t="shared" si="31"/>
        <v>0</v>
      </c>
      <c r="O79" s="138">
        <f t="shared" si="31"/>
        <v>0</v>
      </c>
      <c r="P79" s="138">
        <f t="shared" si="31"/>
        <v>0</v>
      </c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</row>
    <row r="80" spans="1:525" s="22" customFormat="1" ht="45.75" customHeight="1" x14ac:dyDescent="0.25">
      <c r="A80" s="56" t="s">
        <v>164</v>
      </c>
      <c r="B80" s="84" t="str">
        <f>'дод 3'!A19</f>
        <v>0160</v>
      </c>
      <c r="C80" s="84" t="str">
        <f>'дод 3'!B19</f>
        <v>0111</v>
      </c>
      <c r="D80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80" s="139">
        <f t="shared" ref="E80:E132" si="32">F80+I80</f>
        <v>3683200</v>
      </c>
      <c r="F80" s="139">
        <f>3979800-296600</f>
        <v>3683200</v>
      </c>
      <c r="G80" s="139">
        <f>3039200-243100</f>
        <v>2796100</v>
      </c>
      <c r="H80" s="139">
        <v>80000</v>
      </c>
      <c r="I80" s="139"/>
      <c r="J80" s="139">
        <f>L80+O80</f>
        <v>0</v>
      </c>
      <c r="K80" s="139">
        <v>0</v>
      </c>
      <c r="L80" s="139"/>
      <c r="M80" s="139"/>
      <c r="N80" s="139"/>
      <c r="O80" s="139">
        <v>0</v>
      </c>
      <c r="P80" s="139">
        <f t="shared" ref="P80:P132" si="33">E80+J80</f>
        <v>3683200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</row>
    <row r="81" spans="1:525" s="22" customFormat="1" ht="21.75" customHeight="1" x14ac:dyDescent="0.25">
      <c r="A81" s="56" t="s">
        <v>165</v>
      </c>
      <c r="B81" s="84" t="str">
        <f>'дод 3'!A36</f>
        <v>1010</v>
      </c>
      <c r="C81" s="84" t="str">
        <f>'дод 3'!B36</f>
        <v>0910</v>
      </c>
      <c r="D81" s="57" t="str">
        <f>'дод 3'!C36</f>
        <v>Надання дошкільної освіти</v>
      </c>
      <c r="E81" s="139">
        <f t="shared" si="32"/>
        <v>359431200</v>
      </c>
      <c r="F81" s="139">
        <f>358226300-1199300+819200+720000+165000+700000</f>
        <v>359431200</v>
      </c>
      <c r="G81" s="139">
        <f>227266400+672200</f>
        <v>227938600</v>
      </c>
      <c r="H81" s="139">
        <f>54382900-1199300</f>
        <v>53183600</v>
      </c>
      <c r="I81" s="139"/>
      <c r="J81" s="139">
        <f>L81+O81</f>
        <v>29806100</v>
      </c>
      <c r="K81" s="139">
        <f>7717769+5115036-4915036+80000-1918400-454283-1845086</f>
        <v>3780000</v>
      </c>
      <c r="L81" s="139">
        <v>26026100</v>
      </c>
      <c r="M81" s="139"/>
      <c r="N81" s="139"/>
      <c r="O81" s="139">
        <f>7717769+5115036-4915036+80000-1918400-454283-1845086</f>
        <v>3780000</v>
      </c>
      <c r="P81" s="139">
        <f t="shared" si="33"/>
        <v>389237300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</row>
    <row r="82" spans="1:525" s="22" customFormat="1" ht="37.5" customHeight="1" x14ac:dyDescent="0.25">
      <c r="A82" s="56" t="s">
        <v>454</v>
      </c>
      <c r="B82" s="56">
        <f>'дод 3'!A38</f>
        <v>1021</v>
      </c>
      <c r="C82" s="84" t="str">
        <f>'дод 3'!B38</f>
        <v>0921</v>
      </c>
      <c r="D82" s="57" t="str">
        <f>'дод 3'!C38</f>
        <v>Надання загальної середньої освіти закладами загальної середньої освіти</v>
      </c>
      <c r="E82" s="139">
        <f t="shared" si="32"/>
        <v>262316300</v>
      </c>
      <c r="F82" s="139">
        <f>260738300-1664900+2182900-120000+650000-120000+120000+80000+450000</f>
        <v>262316300</v>
      </c>
      <c r="G82" s="139">
        <f>123498700+1789300+82000</f>
        <v>125370000</v>
      </c>
      <c r="H82" s="139">
        <f>73552100-1664900-120000</f>
        <v>71767200</v>
      </c>
      <c r="I82" s="139"/>
      <c r="J82" s="139">
        <f t="shared" ref="J82:J132" si="34">L82+O82</f>
        <v>66742060</v>
      </c>
      <c r="K82" s="139">
        <f>12824767+200000-427846+4080000+680000+70000-6050000-2200000-796921+892240</f>
        <v>9272240</v>
      </c>
      <c r="L82" s="139">
        <v>57469820</v>
      </c>
      <c r="M82" s="139">
        <v>3254108</v>
      </c>
      <c r="N82" s="139">
        <v>349209</v>
      </c>
      <c r="O82" s="139">
        <f>12824767+200000-427846+4080000+680000+70000-6050000-2200000-796921+892240</f>
        <v>9272240</v>
      </c>
      <c r="P82" s="139">
        <f t="shared" si="33"/>
        <v>329058360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</row>
    <row r="83" spans="1:525" s="22" customFormat="1" ht="63" x14ac:dyDescent="0.25">
      <c r="A83" s="56" t="s">
        <v>456</v>
      </c>
      <c r="B83" s="84">
        <v>1022</v>
      </c>
      <c r="C83" s="56" t="s">
        <v>54</v>
      </c>
      <c r="D83" s="36" t="str">
        <f>'дод 3'!C45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83" s="139">
        <f t="shared" si="32"/>
        <v>17867500</v>
      </c>
      <c r="F83" s="139">
        <f>17764300+103200</f>
        <v>17867500</v>
      </c>
      <c r="G83" s="139">
        <f>9714400+84600</f>
        <v>9799000</v>
      </c>
      <c r="H83" s="139">
        <v>3121200</v>
      </c>
      <c r="I83" s="139"/>
      <c r="J83" s="139">
        <f t="shared" si="34"/>
        <v>507760</v>
      </c>
      <c r="K83" s="139">
        <f>1131600+100000-831600+107760</f>
        <v>507760</v>
      </c>
      <c r="L83" s="139"/>
      <c r="M83" s="139"/>
      <c r="N83" s="139"/>
      <c r="O83" s="139">
        <f>1131600+100000-831600+107760</f>
        <v>507760</v>
      </c>
      <c r="P83" s="139">
        <f t="shared" si="33"/>
        <v>18375260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</row>
    <row r="84" spans="1:525" s="22" customFormat="1" ht="68.25" customHeight="1" x14ac:dyDescent="0.25">
      <c r="A84" s="56" t="s">
        <v>559</v>
      </c>
      <c r="B84" s="84">
        <v>1025</v>
      </c>
      <c r="C84" s="56" t="s">
        <v>54</v>
      </c>
      <c r="D84" s="36" t="str">
        <f>'дод 3'!C47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v>
      </c>
      <c r="E84" s="139">
        <f t="shared" si="32"/>
        <v>12183400</v>
      </c>
      <c r="F84" s="139">
        <f>12008200+55200+120000</f>
        <v>12183400</v>
      </c>
      <c r="G84" s="139">
        <f>8024400+45300</f>
        <v>8069700</v>
      </c>
      <c r="H84" s="139">
        <v>1445800</v>
      </c>
      <c r="I84" s="139"/>
      <c r="J84" s="139">
        <f t="shared" si="34"/>
        <v>200000</v>
      </c>
      <c r="K84" s="139">
        <f>100000+100000</f>
        <v>200000</v>
      </c>
      <c r="L84" s="139"/>
      <c r="M84" s="139"/>
      <c r="N84" s="139"/>
      <c r="O84" s="139">
        <v>200000</v>
      </c>
      <c r="P84" s="139">
        <f t="shared" si="33"/>
        <v>12383400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</row>
    <row r="85" spans="1:525" s="22" customFormat="1" ht="31.5" x14ac:dyDescent="0.25">
      <c r="A85" s="56" t="s">
        <v>458</v>
      </c>
      <c r="B85" s="84">
        <v>1031</v>
      </c>
      <c r="C85" s="56" t="s">
        <v>50</v>
      </c>
      <c r="D85" s="57" t="str">
        <f>'дод 3'!C48</f>
        <v xml:space="preserve">Надання загальної середньої освіти закладами загальної середньої освіти, у т.ч. за рахунок: </v>
      </c>
      <c r="E85" s="139">
        <f t="shared" si="32"/>
        <v>530977270</v>
      </c>
      <c r="F85" s="139">
        <f>528463300+2513970</f>
        <v>530977270</v>
      </c>
      <c r="G85" s="139">
        <v>433878000</v>
      </c>
      <c r="H85" s="139"/>
      <c r="I85" s="139"/>
      <c r="J85" s="139">
        <f t="shared" si="34"/>
        <v>0</v>
      </c>
      <c r="K85" s="139"/>
      <c r="L85" s="139"/>
      <c r="M85" s="139"/>
      <c r="N85" s="139"/>
      <c r="O85" s="139"/>
      <c r="P85" s="139">
        <f t="shared" si="33"/>
        <v>530977270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</row>
    <row r="86" spans="1:525" s="24" customFormat="1" ht="31.5" x14ac:dyDescent="0.25">
      <c r="A86" s="76"/>
      <c r="B86" s="97"/>
      <c r="C86" s="97"/>
      <c r="D86" s="79" t="s">
        <v>384</v>
      </c>
      <c r="E86" s="140">
        <f t="shared" si="32"/>
        <v>528463300</v>
      </c>
      <c r="F86" s="140">
        <v>528463300</v>
      </c>
      <c r="G86" s="140">
        <v>433878000</v>
      </c>
      <c r="H86" s="140"/>
      <c r="I86" s="140"/>
      <c r="J86" s="140">
        <f t="shared" si="34"/>
        <v>0</v>
      </c>
      <c r="K86" s="140"/>
      <c r="L86" s="140"/>
      <c r="M86" s="140"/>
      <c r="N86" s="140"/>
      <c r="O86" s="140"/>
      <c r="P86" s="140">
        <f t="shared" si="33"/>
        <v>528463300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</row>
    <row r="87" spans="1:525" s="24" customFormat="1" ht="47.25" x14ac:dyDescent="0.25">
      <c r="A87" s="76"/>
      <c r="B87" s="97"/>
      <c r="C87" s="97"/>
      <c r="D87" s="79" t="s">
        <v>379</v>
      </c>
      <c r="E87" s="140">
        <f t="shared" si="32"/>
        <v>2513970</v>
      </c>
      <c r="F87" s="140">
        <v>2513970</v>
      </c>
      <c r="G87" s="140"/>
      <c r="H87" s="140"/>
      <c r="I87" s="140"/>
      <c r="J87" s="140">
        <f t="shared" si="34"/>
        <v>0</v>
      </c>
      <c r="K87" s="140"/>
      <c r="L87" s="140"/>
      <c r="M87" s="140"/>
      <c r="N87" s="140"/>
      <c r="O87" s="140"/>
      <c r="P87" s="140">
        <f t="shared" si="33"/>
        <v>2513970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</row>
    <row r="88" spans="1:525" s="22" customFormat="1" ht="65.25" customHeight="1" x14ac:dyDescent="0.25">
      <c r="A88" s="56" t="s">
        <v>459</v>
      </c>
      <c r="B88" s="56" t="s">
        <v>460</v>
      </c>
      <c r="C88" s="56" t="s">
        <v>54</v>
      </c>
      <c r="D88" s="57" t="str">
        <f>'дод 3'!C51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v>
      </c>
      <c r="E88" s="139">
        <f t="shared" si="32"/>
        <v>17946200</v>
      </c>
      <c r="F88" s="139">
        <v>17946200</v>
      </c>
      <c r="G88" s="139">
        <v>14710000</v>
      </c>
      <c r="H88" s="139"/>
      <c r="I88" s="139"/>
      <c r="J88" s="139">
        <f t="shared" si="34"/>
        <v>0</v>
      </c>
      <c r="K88" s="139"/>
      <c r="L88" s="139"/>
      <c r="M88" s="139"/>
      <c r="N88" s="139"/>
      <c r="O88" s="139"/>
      <c r="P88" s="139">
        <f t="shared" si="33"/>
        <v>17946200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  <c r="SQ88" s="23"/>
      <c r="SR88" s="23"/>
      <c r="SS88" s="23"/>
      <c r="ST88" s="23"/>
      <c r="SU88" s="23"/>
      <c r="SV88" s="23"/>
      <c r="SW88" s="23"/>
      <c r="SX88" s="23"/>
      <c r="SY88" s="23"/>
      <c r="SZ88" s="23"/>
      <c r="TA88" s="23"/>
      <c r="TB88" s="23"/>
      <c r="TC88" s="23"/>
      <c r="TD88" s="23"/>
      <c r="TE88" s="23"/>
    </row>
    <row r="89" spans="1:525" s="24" customFormat="1" ht="31.5" x14ac:dyDescent="0.25">
      <c r="A89" s="76"/>
      <c r="B89" s="97"/>
      <c r="C89" s="97"/>
      <c r="D89" s="79" t="s">
        <v>384</v>
      </c>
      <c r="E89" s="140">
        <f t="shared" ref="E89:E95" si="35">F89+I89</f>
        <v>17946200</v>
      </c>
      <c r="F89" s="140">
        <v>17946200</v>
      </c>
      <c r="G89" s="140">
        <v>14710000</v>
      </c>
      <c r="H89" s="140"/>
      <c r="I89" s="140"/>
      <c r="J89" s="140">
        <f t="shared" ref="J89:J91" si="36">L89+O89</f>
        <v>0</v>
      </c>
      <c r="K89" s="140"/>
      <c r="L89" s="140"/>
      <c r="M89" s="140"/>
      <c r="N89" s="140"/>
      <c r="O89" s="140"/>
      <c r="P89" s="140">
        <f t="shared" ref="P89:P91" si="37">E89+J89</f>
        <v>17946200</v>
      </c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</row>
    <row r="90" spans="1:525" s="22" customFormat="1" ht="69" customHeight="1" x14ac:dyDescent="0.25">
      <c r="A90" s="56" t="s">
        <v>561</v>
      </c>
      <c r="B90" s="84">
        <v>1035</v>
      </c>
      <c r="C90" s="56" t="s">
        <v>54</v>
      </c>
      <c r="D90" s="36" t="str">
        <f>'дод 3'!C53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v>
      </c>
      <c r="E90" s="139">
        <f t="shared" si="32"/>
        <v>1301700</v>
      </c>
      <c r="F90" s="139">
        <v>1301700</v>
      </c>
      <c r="G90" s="139">
        <v>1067000</v>
      </c>
      <c r="H90" s="139"/>
      <c r="I90" s="139"/>
      <c r="J90" s="139">
        <f t="shared" si="34"/>
        <v>0</v>
      </c>
      <c r="K90" s="139"/>
      <c r="L90" s="139"/>
      <c r="M90" s="139"/>
      <c r="N90" s="139"/>
      <c r="O90" s="139"/>
      <c r="P90" s="139">
        <f t="shared" si="33"/>
        <v>1301700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  <c r="SQ90" s="23"/>
      <c r="SR90" s="23"/>
      <c r="SS90" s="23"/>
      <c r="ST90" s="23"/>
      <c r="SU90" s="23"/>
      <c r="SV90" s="23"/>
      <c r="SW90" s="23"/>
      <c r="SX90" s="23"/>
      <c r="SY90" s="23"/>
      <c r="SZ90" s="23"/>
      <c r="TA90" s="23"/>
      <c r="TB90" s="23"/>
      <c r="TC90" s="23"/>
      <c r="TD90" s="23"/>
      <c r="TE90" s="23"/>
    </row>
    <row r="91" spans="1:525" s="24" customFormat="1" ht="31.5" x14ac:dyDescent="0.25">
      <c r="A91" s="76"/>
      <c r="B91" s="97"/>
      <c r="C91" s="76"/>
      <c r="D91" s="79" t="s">
        <v>384</v>
      </c>
      <c r="E91" s="140">
        <f t="shared" si="35"/>
        <v>1301700</v>
      </c>
      <c r="F91" s="140">
        <v>1301700</v>
      </c>
      <c r="G91" s="140">
        <v>1067000</v>
      </c>
      <c r="H91" s="140"/>
      <c r="I91" s="140"/>
      <c r="J91" s="140">
        <f t="shared" si="36"/>
        <v>0</v>
      </c>
      <c r="K91" s="140"/>
      <c r="L91" s="140"/>
      <c r="M91" s="140"/>
      <c r="N91" s="140"/>
      <c r="O91" s="140"/>
      <c r="P91" s="140">
        <f t="shared" si="37"/>
        <v>1301700</v>
      </c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</row>
    <row r="92" spans="1:525" s="24" customFormat="1" ht="31.5" hidden="1" customHeight="1" x14ac:dyDescent="0.25">
      <c r="A92" s="56" t="s">
        <v>509</v>
      </c>
      <c r="B92" s="84">
        <v>1061</v>
      </c>
      <c r="C92" s="56" t="s">
        <v>50</v>
      </c>
      <c r="D92" s="36" t="s">
        <v>487</v>
      </c>
      <c r="E92" s="139">
        <f t="shared" si="35"/>
        <v>0</v>
      </c>
      <c r="F92" s="139"/>
      <c r="G92" s="140"/>
      <c r="H92" s="140"/>
      <c r="I92" s="140"/>
      <c r="J92" s="139">
        <f t="shared" si="34"/>
        <v>0</v>
      </c>
      <c r="K92" s="139"/>
      <c r="L92" s="139"/>
      <c r="M92" s="139"/>
      <c r="N92" s="139"/>
      <c r="O92" s="139"/>
      <c r="P92" s="139">
        <f t="shared" si="33"/>
        <v>0</v>
      </c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</row>
    <row r="93" spans="1:525" s="24" customFormat="1" ht="46.5" hidden="1" customHeight="1" x14ac:dyDescent="0.25">
      <c r="A93" s="76"/>
      <c r="B93" s="97"/>
      <c r="C93" s="76"/>
      <c r="D93" s="79" t="s">
        <v>521</v>
      </c>
      <c r="E93" s="140">
        <f>F93+I93</f>
        <v>0</v>
      </c>
      <c r="F93" s="140"/>
      <c r="G93" s="140"/>
      <c r="H93" s="140"/>
      <c r="I93" s="140"/>
      <c r="J93" s="140">
        <f>L93+O93</f>
        <v>0</v>
      </c>
      <c r="K93" s="140"/>
      <c r="L93" s="140"/>
      <c r="M93" s="140"/>
      <c r="N93" s="140"/>
      <c r="O93" s="140"/>
      <c r="P93" s="140">
        <f t="shared" si="33"/>
        <v>0</v>
      </c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</row>
    <row r="94" spans="1:525" s="24" customFormat="1" ht="31.5" hidden="1" customHeight="1" x14ac:dyDescent="0.25">
      <c r="A94" s="76"/>
      <c r="B94" s="97"/>
      <c r="C94" s="76"/>
      <c r="D94" s="79" t="s">
        <v>518</v>
      </c>
      <c r="E94" s="140">
        <f t="shared" ref="E94:E96" si="38">F94+I94</f>
        <v>0</v>
      </c>
      <c r="F94" s="140"/>
      <c r="G94" s="140"/>
      <c r="H94" s="140"/>
      <c r="I94" s="140"/>
      <c r="J94" s="140">
        <f t="shared" ref="J94" si="39">L94+O94</f>
        <v>0</v>
      </c>
      <c r="K94" s="140"/>
      <c r="L94" s="140"/>
      <c r="M94" s="140"/>
      <c r="N94" s="140"/>
      <c r="O94" s="140"/>
      <c r="P94" s="140">
        <f t="shared" si="33"/>
        <v>0</v>
      </c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</row>
    <row r="95" spans="1:525" s="24" customFormat="1" ht="63" hidden="1" customHeight="1" x14ac:dyDescent="0.25">
      <c r="A95" s="56" t="s">
        <v>513</v>
      </c>
      <c r="B95" s="84">
        <v>1062</v>
      </c>
      <c r="C95" s="56" t="s">
        <v>54</v>
      </c>
      <c r="D95" s="57" t="s">
        <v>488</v>
      </c>
      <c r="E95" s="139">
        <f t="shared" si="35"/>
        <v>0</v>
      </c>
      <c r="F95" s="139"/>
      <c r="G95" s="140"/>
      <c r="H95" s="140"/>
      <c r="I95" s="140"/>
      <c r="J95" s="139">
        <f>L95+O95</f>
        <v>0</v>
      </c>
      <c r="K95" s="140"/>
      <c r="L95" s="140"/>
      <c r="M95" s="140"/>
      <c r="N95" s="140"/>
      <c r="O95" s="140"/>
      <c r="P95" s="139">
        <f t="shared" si="33"/>
        <v>0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</row>
    <row r="96" spans="1:525" s="24" customFormat="1" ht="31.5" hidden="1" customHeight="1" x14ac:dyDescent="0.25">
      <c r="A96" s="76"/>
      <c r="B96" s="97"/>
      <c r="C96" s="76"/>
      <c r="D96" s="79" t="s">
        <v>518</v>
      </c>
      <c r="E96" s="140">
        <f t="shared" si="38"/>
        <v>0</v>
      </c>
      <c r="F96" s="140"/>
      <c r="G96" s="140"/>
      <c r="H96" s="140"/>
      <c r="I96" s="140"/>
      <c r="J96" s="140">
        <f>L96+O96</f>
        <v>0</v>
      </c>
      <c r="K96" s="140"/>
      <c r="L96" s="140"/>
      <c r="M96" s="140"/>
      <c r="N96" s="140"/>
      <c r="O96" s="140"/>
      <c r="P96" s="140">
        <f t="shared" si="33"/>
        <v>0</v>
      </c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</row>
    <row r="97" spans="1:525" s="22" customFormat="1" ht="47.25" x14ac:dyDescent="0.25">
      <c r="A97" s="56" t="s">
        <v>461</v>
      </c>
      <c r="B97" s="56" t="s">
        <v>53</v>
      </c>
      <c r="C97" s="56" t="s">
        <v>56</v>
      </c>
      <c r="D97" s="57" t="str">
        <f>'дод 3'!C60</f>
        <v>Надання позашкільної освіти закладами позашкільної освіти, заходи із позашкільної роботи з дітьми</v>
      </c>
      <c r="E97" s="139">
        <f t="shared" si="32"/>
        <v>43917700</v>
      </c>
      <c r="F97" s="139">
        <f>43546200+7300+364200</f>
        <v>43917700</v>
      </c>
      <c r="G97" s="139">
        <f>30072000+6000+157200</f>
        <v>30235200</v>
      </c>
      <c r="H97" s="139">
        <v>5804900</v>
      </c>
      <c r="I97" s="139"/>
      <c r="J97" s="139">
        <f t="shared" si="34"/>
        <v>400000</v>
      </c>
      <c r="K97" s="139">
        <f>731964-331964</f>
        <v>400000</v>
      </c>
      <c r="L97" s="139"/>
      <c r="M97" s="139"/>
      <c r="N97" s="139"/>
      <c r="O97" s="139">
        <f>731964-331964</f>
        <v>400000</v>
      </c>
      <c r="P97" s="139">
        <f t="shared" si="33"/>
        <v>44317700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</row>
    <row r="98" spans="1:525" s="22" customFormat="1" ht="47.25" x14ac:dyDescent="0.25">
      <c r="A98" s="56" t="s">
        <v>601</v>
      </c>
      <c r="B98" s="84">
        <v>1091</v>
      </c>
      <c r="C98" s="56" t="s">
        <v>602</v>
      </c>
      <c r="D98" s="36" t="str">
        <f>'дод 3'!C62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98" s="139">
        <f t="shared" si="32"/>
        <v>149164200</v>
      </c>
      <c r="F98" s="139">
        <f>146300000+2864200</f>
        <v>149164200</v>
      </c>
      <c r="G98" s="139">
        <v>78676200</v>
      </c>
      <c r="H98" s="139">
        <v>20084950</v>
      </c>
      <c r="I98" s="139"/>
      <c r="J98" s="139">
        <f t="shared" si="34"/>
        <v>10665879</v>
      </c>
      <c r="K98" s="139"/>
      <c r="L98" s="139">
        <v>10583189</v>
      </c>
      <c r="M98" s="139">
        <v>2780588</v>
      </c>
      <c r="N98" s="139">
        <v>4889684</v>
      </c>
      <c r="O98" s="139">
        <v>82690</v>
      </c>
      <c r="P98" s="139">
        <f t="shared" si="33"/>
        <v>159830079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  <c r="PA98" s="23"/>
      <c r="PB98" s="23"/>
      <c r="PC98" s="23"/>
      <c r="PD98" s="23"/>
      <c r="PE98" s="23"/>
      <c r="PF98" s="23"/>
      <c r="PG98" s="23"/>
      <c r="PH98" s="23"/>
      <c r="PI98" s="23"/>
      <c r="PJ98" s="23"/>
      <c r="PK98" s="23"/>
      <c r="PL98" s="23"/>
      <c r="PM98" s="23"/>
      <c r="PN98" s="23"/>
      <c r="PO98" s="23"/>
      <c r="PP98" s="23"/>
      <c r="PQ98" s="23"/>
      <c r="PR98" s="23"/>
      <c r="PS98" s="23"/>
      <c r="PT98" s="23"/>
      <c r="PU98" s="23"/>
      <c r="PV98" s="23"/>
      <c r="PW98" s="23"/>
      <c r="PX98" s="23"/>
      <c r="PY98" s="23"/>
      <c r="PZ98" s="23"/>
      <c r="QA98" s="23"/>
      <c r="QB98" s="23"/>
      <c r="QC98" s="23"/>
      <c r="QD98" s="23"/>
      <c r="QE98" s="23"/>
      <c r="QF98" s="23"/>
      <c r="QG98" s="23"/>
      <c r="QH98" s="23"/>
      <c r="QI98" s="23"/>
      <c r="QJ98" s="23"/>
      <c r="QK98" s="23"/>
      <c r="QL98" s="23"/>
      <c r="QM98" s="23"/>
      <c r="QN98" s="23"/>
      <c r="QO98" s="23"/>
      <c r="QP98" s="23"/>
      <c r="QQ98" s="23"/>
      <c r="QR98" s="23"/>
      <c r="QS98" s="23"/>
      <c r="QT98" s="23"/>
      <c r="QU98" s="23"/>
      <c r="QV98" s="23"/>
      <c r="QW98" s="23"/>
      <c r="QX98" s="23"/>
      <c r="QY98" s="23"/>
      <c r="QZ98" s="23"/>
      <c r="RA98" s="23"/>
      <c r="RB98" s="23"/>
      <c r="RC98" s="23"/>
      <c r="RD98" s="23"/>
      <c r="RE98" s="23"/>
      <c r="RF98" s="23"/>
      <c r="RG98" s="23"/>
      <c r="RH98" s="23"/>
      <c r="RI98" s="23"/>
      <c r="RJ98" s="23"/>
      <c r="RK98" s="23"/>
      <c r="RL98" s="23"/>
      <c r="RM98" s="23"/>
      <c r="RN98" s="23"/>
      <c r="RO98" s="23"/>
      <c r="RP98" s="23"/>
      <c r="RQ98" s="23"/>
      <c r="RR98" s="23"/>
      <c r="RS98" s="23"/>
      <c r="RT98" s="23"/>
      <c r="RU98" s="23"/>
      <c r="RV98" s="23"/>
      <c r="RW98" s="23"/>
      <c r="RX98" s="23"/>
      <c r="RY98" s="23"/>
      <c r="RZ98" s="23"/>
      <c r="SA98" s="23"/>
      <c r="SB98" s="23"/>
      <c r="SC98" s="23"/>
      <c r="SD98" s="23"/>
      <c r="SE98" s="23"/>
      <c r="SF98" s="23"/>
      <c r="SG98" s="23"/>
      <c r="SH98" s="23"/>
      <c r="SI98" s="23"/>
      <c r="SJ98" s="23"/>
      <c r="SK98" s="23"/>
      <c r="SL98" s="23"/>
      <c r="SM98" s="23"/>
      <c r="SN98" s="23"/>
      <c r="SO98" s="23"/>
      <c r="SP98" s="23"/>
      <c r="SQ98" s="23"/>
      <c r="SR98" s="23"/>
      <c r="SS98" s="23"/>
      <c r="ST98" s="23"/>
      <c r="SU98" s="23"/>
      <c r="SV98" s="23"/>
      <c r="SW98" s="23"/>
      <c r="SX98" s="23"/>
      <c r="SY98" s="23"/>
      <c r="SZ98" s="23"/>
      <c r="TA98" s="23"/>
      <c r="TB98" s="23"/>
      <c r="TC98" s="23"/>
      <c r="TD98" s="23"/>
      <c r="TE98" s="23"/>
    </row>
    <row r="99" spans="1:525" s="22" customFormat="1" ht="63" x14ac:dyDescent="0.25">
      <c r="A99" s="56" t="s">
        <v>604</v>
      </c>
      <c r="B99" s="84">
        <v>1092</v>
      </c>
      <c r="C99" s="56" t="s">
        <v>602</v>
      </c>
      <c r="D99" s="36" t="str">
        <f>'дод 3'!C63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99" s="139">
        <f t="shared" si="32"/>
        <v>24077400</v>
      </c>
      <c r="F99" s="139">
        <v>24077400</v>
      </c>
      <c r="G99" s="139">
        <v>19735600</v>
      </c>
      <c r="H99" s="139"/>
      <c r="I99" s="139"/>
      <c r="J99" s="139">
        <f t="shared" si="34"/>
        <v>0</v>
      </c>
      <c r="K99" s="139"/>
      <c r="L99" s="139"/>
      <c r="M99" s="139"/>
      <c r="N99" s="139"/>
      <c r="O99" s="139"/>
      <c r="P99" s="139">
        <f t="shared" si="33"/>
        <v>24077400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  <c r="SQ99" s="23"/>
      <c r="SR99" s="23"/>
      <c r="SS99" s="23"/>
      <c r="ST99" s="23"/>
      <c r="SU99" s="23"/>
      <c r="SV99" s="23"/>
      <c r="SW99" s="23"/>
      <c r="SX99" s="23"/>
      <c r="SY99" s="23"/>
      <c r="SZ99" s="23"/>
      <c r="TA99" s="23"/>
      <c r="TB99" s="23"/>
      <c r="TC99" s="23"/>
      <c r="TD99" s="23"/>
      <c r="TE99" s="23"/>
    </row>
    <row r="100" spans="1:525" s="24" customFormat="1" ht="31.5" x14ac:dyDescent="0.25">
      <c r="A100" s="76"/>
      <c r="B100" s="97"/>
      <c r="C100" s="76"/>
      <c r="D100" s="79" t="s">
        <v>384</v>
      </c>
      <c r="E100" s="140">
        <f t="shared" si="32"/>
        <v>24077400</v>
      </c>
      <c r="F100" s="140">
        <v>24077400</v>
      </c>
      <c r="G100" s="140">
        <v>19735600</v>
      </c>
      <c r="H100" s="140"/>
      <c r="I100" s="140"/>
      <c r="J100" s="140">
        <f t="shared" si="34"/>
        <v>0</v>
      </c>
      <c r="K100" s="140"/>
      <c r="L100" s="140"/>
      <c r="M100" s="140"/>
      <c r="N100" s="140"/>
      <c r="O100" s="140"/>
      <c r="P100" s="140">
        <f t="shared" si="33"/>
        <v>24077400</v>
      </c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30"/>
      <c r="TD100" s="30"/>
      <c r="TE100" s="30"/>
    </row>
    <row r="101" spans="1:525" s="22" customFormat="1" ht="31.5" x14ac:dyDescent="0.25">
      <c r="A101" s="56" t="s">
        <v>462</v>
      </c>
      <c r="B101" s="56" t="s">
        <v>463</v>
      </c>
      <c r="C101" s="56" t="s">
        <v>57</v>
      </c>
      <c r="D101" s="36" t="str">
        <f>'дод 3'!C65</f>
        <v>Забезпечення діяльності інших закладів у сфері освіти</v>
      </c>
      <c r="E101" s="139">
        <f t="shared" si="32"/>
        <v>13057600</v>
      </c>
      <c r="F101" s="139">
        <v>13057600</v>
      </c>
      <c r="G101" s="139">
        <v>9323800</v>
      </c>
      <c r="H101" s="139">
        <v>1054400</v>
      </c>
      <c r="I101" s="139"/>
      <c r="J101" s="139">
        <f t="shared" si="34"/>
        <v>100000</v>
      </c>
      <c r="K101" s="139">
        <v>100000</v>
      </c>
      <c r="L101" s="139"/>
      <c r="M101" s="139"/>
      <c r="N101" s="139"/>
      <c r="O101" s="139">
        <v>100000</v>
      </c>
      <c r="P101" s="139">
        <f t="shared" si="33"/>
        <v>13157600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</row>
    <row r="102" spans="1:525" s="22" customFormat="1" ht="18" customHeight="1" x14ac:dyDescent="0.25">
      <c r="A102" s="56" t="s">
        <v>464</v>
      </c>
      <c r="B102" s="56" t="s">
        <v>465</v>
      </c>
      <c r="C102" s="56" t="s">
        <v>57</v>
      </c>
      <c r="D102" s="36" t="str">
        <f>'дод 3'!C66</f>
        <v>Інші програми та заходи у сфері освіти</v>
      </c>
      <c r="E102" s="139">
        <f t="shared" si="32"/>
        <v>1124100</v>
      </c>
      <c r="F102" s="139">
        <v>1124100</v>
      </c>
      <c r="G102" s="139"/>
      <c r="H102" s="139"/>
      <c r="I102" s="139"/>
      <c r="J102" s="139">
        <f t="shared" ref="J102" si="40">L102+O102</f>
        <v>0</v>
      </c>
      <c r="K102" s="139"/>
      <c r="L102" s="139"/>
      <c r="M102" s="139"/>
      <c r="N102" s="139"/>
      <c r="O102" s="139"/>
      <c r="P102" s="139">
        <f t="shared" ref="P102" si="41">E102+J102</f>
        <v>1124100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</row>
    <row r="103" spans="1:525" s="22" customFormat="1" ht="31.5" x14ac:dyDescent="0.25">
      <c r="A103" s="56" t="s">
        <v>466</v>
      </c>
      <c r="B103" s="56" t="s">
        <v>467</v>
      </c>
      <c r="C103" s="56" t="s">
        <v>57</v>
      </c>
      <c r="D103" s="57" t="str">
        <f>'дод 3'!C67</f>
        <v>Забезпечення діяльності інклюзивно-ресурсних центрів за рахунок коштів місцевого бюджету</v>
      </c>
      <c r="E103" s="139">
        <f t="shared" si="32"/>
        <v>556800</v>
      </c>
      <c r="F103" s="139">
        <v>556800</v>
      </c>
      <c r="G103" s="139">
        <v>312400</v>
      </c>
      <c r="H103" s="139">
        <v>118400</v>
      </c>
      <c r="I103" s="139"/>
      <c r="J103" s="139">
        <f t="shared" si="34"/>
        <v>0</v>
      </c>
      <c r="K103" s="139"/>
      <c r="L103" s="139"/>
      <c r="M103" s="139"/>
      <c r="N103" s="139"/>
      <c r="O103" s="139"/>
      <c r="P103" s="139">
        <f t="shared" si="33"/>
        <v>556800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  <c r="SQ103" s="23"/>
      <c r="SR103" s="23"/>
      <c r="SS103" s="23"/>
      <c r="ST103" s="23"/>
      <c r="SU103" s="23"/>
      <c r="SV103" s="23"/>
      <c r="SW103" s="23"/>
      <c r="SX103" s="23"/>
      <c r="SY103" s="23"/>
      <c r="SZ103" s="23"/>
      <c r="TA103" s="23"/>
      <c r="TB103" s="23"/>
      <c r="TC103" s="23"/>
      <c r="TD103" s="23"/>
      <c r="TE103" s="23"/>
    </row>
    <row r="104" spans="1:525" s="22" customFormat="1" ht="45.75" customHeight="1" x14ac:dyDescent="0.25">
      <c r="A104" s="56" t="s">
        <v>469</v>
      </c>
      <c r="B104" s="56" t="s">
        <v>470</v>
      </c>
      <c r="C104" s="56" t="str">
        <f>'дод 3'!B67</f>
        <v>0990</v>
      </c>
      <c r="D104" s="57" t="str">
        <f>'дод 3'!C68</f>
        <v>Забезпечення діяльності інклюзивно-ресурсних центрів за рахунок освітньої субвенції, у т.ч. за рахунок:</v>
      </c>
      <c r="E104" s="139">
        <f t="shared" si="32"/>
        <v>1952020</v>
      </c>
      <c r="F104" s="139">
        <v>1952020</v>
      </c>
      <c r="G104" s="139">
        <v>1600020</v>
      </c>
      <c r="H104" s="139"/>
      <c r="I104" s="139"/>
      <c r="J104" s="139">
        <f t="shared" si="34"/>
        <v>0</v>
      </c>
      <c r="K104" s="139"/>
      <c r="L104" s="139"/>
      <c r="M104" s="139"/>
      <c r="N104" s="139"/>
      <c r="O104" s="139"/>
      <c r="P104" s="139">
        <f t="shared" si="33"/>
        <v>1952020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</row>
    <row r="105" spans="1:525" s="24" customFormat="1" ht="45.75" customHeight="1" x14ac:dyDescent="0.25">
      <c r="A105" s="76"/>
      <c r="B105" s="76"/>
      <c r="C105" s="76"/>
      <c r="D105" s="79" t="s">
        <v>379</v>
      </c>
      <c r="E105" s="140">
        <f t="shared" si="32"/>
        <v>1952020</v>
      </c>
      <c r="F105" s="140">
        <v>1952020</v>
      </c>
      <c r="G105" s="140">
        <v>1600020</v>
      </c>
      <c r="H105" s="140"/>
      <c r="I105" s="140"/>
      <c r="J105" s="140">
        <f t="shared" si="34"/>
        <v>0</v>
      </c>
      <c r="K105" s="140"/>
      <c r="L105" s="140"/>
      <c r="M105" s="140"/>
      <c r="N105" s="140"/>
      <c r="O105" s="140"/>
      <c r="P105" s="140">
        <f t="shared" si="33"/>
        <v>1952020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</row>
    <row r="106" spans="1:525" s="22" customFormat="1" ht="36" customHeight="1" x14ac:dyDescent="0.25">
      <c r="A106" s="56" t="s">
        <v>471</v>
      </c>
      <c r="B106" s="56" t="s">
        <v>472</v>
      </c>
      <c r="C106" s="56" t="str">
        <f>'дод 3'!B68</f>
        <v>0990</v>
      </c>
      <c r="D106" s="57" t="str">
        <f>'дод 3'!C70</f>
        <v>Забезпечення діяльності центрів професійного розвитку педагогічних працівників</v>
      </c>
      <c r="E106" s="139">
        <f t="shared" si="32"/>
        <v>3137600</v>
      </c>
      <c r="F106" s="139">
        <f>3017600+120000</f>
        <v>3137600</v>
      </c>
      <c r="G106" s="139">
        <v>2115300</v>
      </c>
      <c r="H106" s="139">
        <f>258300+120000</f>
        <v>378300</v>
      </c>
      <c r="I106" s="139"/>
      <c r="J106" s="139">
        <f t="shared" si="34"/>
        <v>0</v>
      </c>
      <c r="K106" s="139"/>
      <c r="L106" s="139"/>
      <c r="M106" s="139"/>
      <c r="N106" s="139"/>
      <c r="O106" s="139"/>
      <c r="P106" s="139">
        <f t="shared" si="33"/>
        <v>3137600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</row>
    <row r="107" spans="1:525" s="22" customFormat="1" ht="66" customHeight="1" x14ac:dyDescent="0.25">
      <c r="A107" s="56" t="s">
        <v>542</v>
      </c>
      <c r="B107" s="56" t="s">
        <v>543</v>
      </c>
      <c r="C107" s="56" t="s">
        <v>57</v>
      </c>
      <c r="D107" s="57" t="str">
        <f>'дод 3'!C71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07" s="139">
        <f t="shared" si="32"/>
        <v>0</v>
      </c>
      <c r="F107" s="139"/>
      <c r="G107" s="139"/>
      <c r="H107" s="139"/>
      <c r="I107" s="139"/>
      <c r="J107" s="139">
        <f t="shared" si="34"/>
        <v>2000000</v>
      </c>
      <c r="K107" s="139">
        <v>2000000</v>
      </c>
      <c r="L107" s="139"/>
      <c r="M107" s="139"/>
      <c r="N107" s="139"/>
      <c r="O107" s="139">
        <v>2000000</v>
      </c>
      <c r="P107" s="139">
        <f t="shared" si="33"/>
        <v>2000000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</row>
    <row r="108" spans="1:525" s="22" customFormat="1" ht="63" hidden="1" customHeight="1" x14ac:dyDescent="0.25">
      <c r="A108" s="56" t="s">
        <v>532</v>
      </c>
      <c r="B108" s="56" t="s">
        <v>534</v>
      </c>
      <c r="C108" s="56" t="s">
        <v>57</v>
      </c>
      <c r="D108" s="57" t="s">
        <v>572</v>
      </c>
      <c r="E108" s="139">
        <f t="shared" si="32"/>
        <v>0</v>
      </c>
      <c r="F108" s="139"/>
      <c r="G108" s="139"/>
      <c r="H108" s="139"/>
      <c r="I108" s="139"/>
      <c r="J108" s="139">
        <f t="shared" si="34"/>
        <v>0</v>
      </c>
      <c r="K108" s="139"/>
      <c r="L108" s="139"/>
      <c r="M108" s="139"/>
      <c r="N108" s="139"/>
      <c r="O108" s="139"/>
      <c r="P108" s="139">
        <f t="shared" si="33"/>
        <v>0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</row>
    <row r="109" spans="1:525" s="24" customFormat="1" ht="52.5" hidden="1" customHeight="1" x14ac:dyDescent="0.25">
      <c r="A109" s="76"/>
      <c r="B109" s="76"/>
      <c r="C109" s="76"/>
      <c r="D109" s="79" t="s">
        <v>564</v>
      </c>
      <c r="E109" s="140">
        <f t="shared" si="32"/>
        <v>0</v>
      </c>
      <c r="F109" s="140"/>
      <c r="G109" s="140"/>
      <c r="H109" s="140"/>
      <c r="I109" s="140"/>
      <c r="J109" s="140">
        <f t="shared" si="34"/>
        <v>0</v>
      </c>
      <c r="K109" s="140"/>
      <c r="L109" s="140"/>
      <c r="M109" s="140"/>
      <c r="N109" s="140"/>
      <c r="O109" s="140"/>
      <c r="P109" s="140">
        <f t="shared" si="33"/>
        <v>0</v>
      </c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</row>
    <row r="110" spans="1:525" s="22" customFormat="1" ht="78.75" x14ac:dyDescent="0.25">
      <c r="A110" s="56" t="s">
        <v>544</v>
      </c>
      <c r="B110" s="56" t="s">
        <v>545</v>
      </c>
      <c r="C110" s="56" t="s">
        <v>57</v>
      </c>
      <c r="D110" s="57" t="str">
        <f>'дод 3'!C74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0" s="139">
        <f t="shared" si="32"/>
        <v>3000000</v>
      </c>
      <c r="F110" s="139">
        <v>3000000</v>
      </c>
      <c r="G110" s="139"/>
      <c r="H110" s="139"/>
      <c r="I110" s="139"/>
      <c r="J110" s="139">
        <f t="shared" si="34"/>
        <v>0</v>
      </c>
      <c r="K110" s="139"/>
      <c r="L110" s="139"/>
      <c r="M110" s="139"/>
      <c r="N110" s="139"/>
      <c r="O110" s="139"/>
      <c r="P110" s="139">
        <f t="shared" si="33"/>
        <v>3000000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</row>
    <row r="111" spans="1:525" s="22" customFormat="1" ht="15.75" hidden="1" customHeight="1" x14ac:dyDescent="0.25">
      <c r="A111" s="56"/>
      <c r="B111" s="56"/>
      <c r="C111" s="56"/>
      <c r="D111" s="79" t="s">
        <v>390</v>
      </c>
      <c r="E111" s="140">
        <f t="shared" si="32"/>
        <v>0</v>
      </c>
      <c r="F111" s="140"/>
      <c r="G111" s="139"/>
      <c r="H111" s="139"/>
      <c r="I111" s="139"/>
      <c r="J111" s="140">
        <f t="shared" si="34"/>
        <v>0</v>
      </c>
      <c r="K111" s="139"/>
      <c r="L111" s="139"/>
      <c r="M111" s="139"/>
      <c r="N111" s="139"/>
      <c r="O111" s="139"/>
      <c r="P111" s="140">
        <f t="shared" si="33"/>
        <v>0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  <c r="PA111" s="23"/>
      <c r="PB111" s="23"/>
      <c r="PC111" s="23"/>
      <c r="PD111" s="23"/>
      <c r="PE111" s="23"/>
      <c r="PF111" s="23"/>
      <c r="PG111" s="23"/>
      <c r="PH111" s="23"/>
      <c r="PI111" s="23"/>
      <c r="PJ111" s="23"/>
      <c r="PK111" s="23"/>
      <c r="PL111" s="23"/>
      <c r="PM111" s="23"/>
      <c r="PN111" s="23"/>
      <c r="PO111" s="23"/>
      <c r="PP111" s="23"/>
      <c r="PQ111" s="23"/>
      <c r="PR111" s="23"/>
      <c r="PS111" s="23"/>
      <c r="PT111" s="23"/>
      <c r="PU111" s="23"/>
      <c r="PV111" s="23"/>
      <c r="PW111" s="23"/>
      <c r="PX111" s="23"/>
      <c r="PY111" s="23"/>
      <c r="PZ111" s="23"/>
      <c r="QA111" s="23"/>
      <c r="QB111" s="23"/>
      <c r="QC111" s="23"/>
      <c r="QD111" s="23"/>
      <c r="QE111" s="23"/>
      <c r="QF111" s="23"/>
      <c r="QG111" s="23"/>
      <c r="QH111" s="23"/>
      <c r="QI111" s="23"/>
      <c r="QJ111" s="23"/>
      <c r="QK111" s="23"/>
      <c r="QL111" s="23"/>
      <c r="QM111" s="23"/>
      <c r="QN111" s="23"/>
      <c r="QO111" s="23"/>
      <c r="QP111" s="23"/>
      <c r="QQ111" s="23"/>
      <c r="QR111" s="23"/>
      <c r="QS111" s="23"/>
      <c r="QT111" s="23"/>
      <c r="QU111" s="23"/>
      <c r="QV111" s="23"/>
      <c r="QW111" s="23"/>
      <c r="QX111" s="23"/>
      <c r="QY111" s="23"/>
      <c r="QZ111" s="23"/>
      <c r="RA111" s="23"/>
      <c r="RB111" s="23"/>
      <c r="RC111" s="23"/>
      <c r="RD111" s="23"/>
      <c r="RE111" s="23"/>
      <c r="RF111" s="23"/>
      <c r="RG111" s="23"/>
      <c r="RH111" s="23"/>
      <c r="RI111" s="23"/>
      <c r="RJ111" s="23"/>
      <c r="RK111" s="23"/>
      <c r="RL111" s="23"/>
      <c r="RM111" s="23"/>
      <c r="RN111" s="23"/>
      <c r="RO111" s="23"/>
      <c r="RP111" s="23"/>
      <c r="RQ111" s="23"/>
      <c r="RR111" s="23"/>
      <c r="RS111" s="23"/>
      <c r="RT111" s="23"/>
      <c r="RU111" s="23"/>
      <c r="RV111" s="23"/>
      <c r="RW111" s="23"/>
      <c r="RX111" s="23"/>
      <c r="RY111" s="23"/>
      <c r="RZ111" s="23"/>
      <c r="SA111" s="23"/>
      <c r="SB111" s="23"/>
      <c r="SC111" s="23"/>
      <c r="SD111" s="23"/>
      <c r="SE111" s="23"/>
      <c r="SF111" s="23"/>
      <c r="SG111" s="23"/>
      <c r="SH111" s="23"/>
      <c r="SI111" s="23"/>
      <c r="SJ111" s="23"/>
      <c r="SK111" s="23"/>
      <c r="SL111" s="23"/>
      <c r="SM111" s="23"/>
      <c r="SN111" s="23"/>
      <c r="SO111" s="23"/>
      <c r="SP111" s="23"/>
      <c r="SQ111" s="23"/>
      <c r="SR111" s="23"/>
      <c r="SS111" s="23"/>
      <c r="ST111" s="23"/>
      <c r="SU111" s="23"/>
      <c r="SV111" s="23"/>
      <c r="SW111" s="23"/>
      <c r="SX111" s="23"/>
      <c r="SY111" s="23"/>
      <c r="SZ111" s="23"/>
      <c r="TA111" s="23"/>
      <c r="TB111" s="23"/>
      <c r="TC111" s="23"/>
      <c r="TD111" s="23"/>
      <c r="TE111" s="23"/>
    </row>
    <row r="112" spans="1:525" s="22" customFormat="1" ht="78.75" hidden="1" customHeight="1" x14ac:dyDescent="0.25">
      <c r="A112" s="56" t="s">
        <v>533</v>
      </c>
      <c r="B112" s="56" t="s">
        <v>535</v>
      </c>
      <c r="C112" s="56" t="s">
        <v>57</v>
      </c>
      <c r="D112" s="57" t="s">
        <v>565</v>
      </c>
      <c r="E112" s="139">
        <f t="shared" si="32"/>
        <v>0</v>
      </c>
      <c r="F112" s="139"/>
      <c r="G112" s="139"/>
      <c r="H112" s="139"/>
      <c r="I112" s="139"/>
      <c r="J112" s="139">
        <f t="shared" si="34"/>
        <v>0</v>
      </c>
      <c r="K112" s="139"/>
      <c r="L112" s="139"/>
      <c r="M112" s="139"/>
      <c r="N112" s="139"/>
      <c r="O112" s="139"/>
      <c r="P112" s="139">
        <f t="shared" si="33"/>
        <v>0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  <c r="IW112" s="23"/>
      <c r="IX112" s="23"/>
      <c r="IY112" s="23"/>
      <c r="IZ112" s="23"/>
      <c r="JA112" s="23"/>
      <c r="JB112" s="23"/>
      <c r="JC112" s="23"/>
      <c r="JD112" s="23"/>
      <c r="JE112" s="23"/>
      <c r="JF112" s="23"/>
      <c r="JG112" s="23"/>
      <c r="JH112" s="23"/>
      <c r="JI112" s="23"/>
      <c r="JJ112" s="23"/>
      <c r="JK112" s="23"/>
      <c r="JL112" s="23"/>
      <c r="JM112" s="23"/>
      <c r="JN112" s="23"/>
      <c r="JO112" s="23"/>
      <c r="JP112" s="23"/>
      <c r="JQ112" s="23"/>
      <c r="JR112" s="23"/>
      <c r="JS112" s="23"/>
      <c r="JT112" s="23"/>
      <c r="JU112" s="23"/>
      <c r="JV112" s="23"/>
      <c r="JW112" s="23"/>
      <c r="JX112" s="23"/>
      <c r="JY112" s="23"/>
      <c r="JZ112" s="23"/>
      <c r="KA112" s="23"/>
      <c r="KB112" s="23"/>
      <c r="KC112" s="23"/>
      <c r="KD112" s="23"/>
      <c r="KE112" s="23"/>
      <c r="KF112" s="23"/>
      <c r="KG112" s="23"/>
      <c r="KH112" s="23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  <c r="LD112" s="23"/>
      <c r="LE112" s="23"/>
      <c r="LF112" s="23"/>
      <c r="LG112" s="23"/>
      <c r="LH112" s="23"/>
      <c r="LI112" s="23"/>
      <c r="LJ112" s="23"/>
      <c r="LK112" s="23"/>
      <c r="LL112" s="23"/>
      <c r="LM112" s="23"/>
      <c r="LN112" s="23"/>
      <c r="LO112" s="23"/>
      <c r="LP112" s="23"/>
      <c r="LQ112" s="23"/>
      <c r="LR112" s="23"/>
      <c r="LS112" s="23"/>
      <c r="LT112" s="23"/>
      <c r="LU112" s="23"/>
      <c r="LV112" s="23"/>
      <c r="LW112" s="23"/>
      <c r="LX112" s="23"/>
      <c r="LY112" s="23"/>
      <c r="LZ112" s="23"/>
      <c r="MA112" s="23"/>
      <c r="MB112" s="23"/>
      <c r="MC112" s="23"/>
      <c r="MD112" s="23"/>
      <c r="ME112" s="23"/>
      <c r="MF112" s="23"/>
      <c r="MG112" s="23"/>
      <c r="MH112" s="23"/>
      <c r="MI112" s="23"/>
      <c r="MJ112" s="23"/>
      <c r="MK112" s="23"/>
      <c r="ML112" s="23"/>
      <c r="MM112" s="23"/>
      <c r="MN112" s="23"/>
      <c r="MO112" s="23"/>
      <c r="MP112" s="23"/>
      <c r="MQ112" s="23"/>
      <c r="MR112" s="23"/>
      <c r="MS112" s="23"/>
      <c r="MT112" s="23"/>
      <c r="MU112" s="23"/>
      <c r="MV112" s="23"/>
      <c r="MW112" s="23"/>
      <c r="MX112" s="23"/>
      <c r="MY112" s="23"/>
      <c r="MZ112" s="23"/>
      <c r="NA112" s="23"/>
      <c r="NB112" s="23"/>
      <c r="NC112" s="23"/>
      <c r="ND112" s="23"/>
      <c r="NE112" s="23"/>
      <c r="NF112" s="23"/>
      <c r="NG112" s="23"/>
      <c r="NH112" s="23"/>
      <c r="NI112" s="23"/>
      <c r="NJ112" s="23"/>
      <c r="NK112" s="23"/>
      <c r="NL112" s="23"/>
      <c r="NM112" s="23"/>
      <c r="NN112" s="23"/>
      <c r="NO112" s="23"/>
      <c r="NP112" s="23"/>
      <c r="NQ112" s="23"/>
      <c r="NR112" s="23"/>
      <c r="NS112" s="23"/>
      <c r="NT112" s="23"/>
      <c r="NU112" s="23"/>
      <c r="NV112" s="23"/>
      <c r="NW112" s="23"/>
      <c r="NX112" s="23"/>
      <c r="NY112" s="23"/>
      <c r="NZ112" s="23"/>
      <c r="OA112" s="23"/>
      <c r="OB112" s="23"/>
      <c r="OC112" s="23"/>
      <c r="OD112" s="23"/>
      <c r="OE112" s="23"/>
      <c r="OF112" s="23"/>
      <c r="OG112" s="23"/>
      <c r="OH112" s="23"/>
      <c r="OI112" s="23"/>
      <c r="OJ112" s="23"/>
      <c r="OK112" s="23"/>
      <c r="OL112" s="23"/>
      <c r="OM112" s="23"/>
      <c r="ON112" s="23"/>
      <c r="OO112" s="23"/>
      <c r="OP112" s="23"/>
      <c r="OQ112" s="23"/>
      <c r="OR112" s="23"/>
      <c r="OS112" s="23"/>
      <c r="OT112" s="23"/>
      <c r="OU112" s="23"/>
      <c r="OV112" s="23"/>
      <c r="OW112" s="23"/>
      <c r="OX112" s="23"/>
      <c r="OY112" s="23"/>
      <c r="OZ112" s="23"/>
      <c r="PA112" s="23"/>
      <c r="PB112" s="23"/>
      <c r="PC112" s="23"/>
      <c r="PD112" s="23"/>
      <c r="PE112" s="23"/>
      <c r="PF112" s="23"/>
      <c r="PG112" s="23"/>
      <c r="PH112" s="23"/>
      <c r="PI112" s="23"/>
      <c r="PJ112" s="23"/>
      <c r="PK112" s="23"/>
      <c r="PL112" s="23"/>
      <c r="PM112" s="23"/>
      <c r="PN112" s="23"/>
      <c r="PO112" s="23"/>
      <c r="PP112" s="23"/>
      <c r="PQ112" s="23"/>
      <c r="PR112" s="23"/>
      <c r="PS112" s="23"/>
      <c r="PT112" s="23"/>
      <c r="PU112" s="23"/>
      <c r="PV112" s="23"/>
      <c r="PW112" s="23"/>
      <c r="PX112" s="23"/>
      <c r="PY112" s="23"/>
      <c r="PZ112" s="23"/>
      <c r="QA112" s="23"/>
      <c r="QB112" s="23"/>
      <c r="QC112" s="23"/>
      <c r="QD112" s="23"/>
      <c r="QE112" s="23"/>
      <c r="QF112" s="23"/>
      <c r="QG112" s="23"/>
      <c r="QH112" s="23"/>
      <c r="QI112" s="23"/>
      <c r="QJ112" s="23"/>
      <c r="QK112" s="23"/>
      <c r="QL112" s="23"/>
      <c r="QM112" s="23"/>
      <c r="QN112" s="23"/>
      <c r="QO112" s="23"/>
      <c r="QP112" s="23"/>
      <c r="QQ112" s="23"/>
      <c r="QR112" s="23"/>
      <c r="QS112" s="23"/>
      <c r="QT112" s="23"/>
      <c r="QU112" s="23"/>
      <c r="QV112" s="23"/>
      <c r="QW112" s="23"/>
      <c r="QX112" s="23"/>
      <c r="QY112" s="23"/>
      <c r="QZ112" s="23"/>
      <c r="RA112" s="23"/>
      <c r="RB112" s="23"/>
      <c r="RC112" s="23"/>
      <c r="RD112" s="23"/>
      <c r="RE112" s="23"/>
      <c r="RF112" s="23"/>
      <c r="RG112" s="23"/>
      <c r="RH112" s="23"/>
      <c r="RI112" s="23"/>
      <c r="RJ112" s="23"/>
      <c r="RK112" s="23"/>
      <c r="RL112" s="23"/>
      <c r="RM112" s="23"/>
      <c r="RN112" s="23"/>
      <c r="RO112" s="23"/>
      <c r="RP112" s="23"/>
      <c r="RQ112" s="23"/>
      <c r="RR112" s="23"/>
      <c r="RS112" s="23"/>
      <c r="RT112" s="23"/>
      <c r="RU112" s="23"/>
      <c r="RV112" s="23"/>
      <c r="RW112" s="23"/>
      <c r="RX112" s="23"/>
      <c r="RY112" s="23"/>
      <c r="RZ112" s="23"/>
      <c r="SA112" s="23"/>
      <c r="SB112" s="23"/>
      <c r="SC112" s="23"/>
      <c r="SD112" s="23"/>
      <c r="SE112" s="23"/>
      <c r="SF112" s="23"/>
      <c r="SG112" s="23"/>
      <c r="SH112" s="23"/>
      <c r="SI112" s="23"/>
      <c r="SJ112" s="23"/>
      <c r="SK112" s="23"/>
      <c r="SL112" s="23"/>
      <c r="SM112" s="23"/>
      <c r="SN112" s="23"/>
      <c r="SO112" s="23"/>
      <c r="SP112" s="23"/>
      <c r="SQ112" s="23"/>
      <c r="SR112" s="23"/>
      <c r="SS112" s="23"/>
      <c r="ST112" s="23"/>
      <c r="SU112" s="23"/>
      <c r="SV112" s="23"/>
      <c r="SW112" s="23"/>
      <c r="SX112" s="23"/>
      <c r="SY112" s="23"/>
      <c r="SZ112" s="23"/>
      <c r="TA112" s="23"/>
      <c r="TB112" s="23"/>
      <c r="TC112" s="23"/>
      <c r="TD112" s="23"/>
      <c r="TE112" s="23"/>
    </row>
    <row r="113" spans="1:525" s="24" customFormat="1" ht="79.5" hidden="1" customHeight="1" x14ac:dyDescent="0.25">
      <c r="A113" s="76"/>
      <c r="B113" s="76"/>
      <c r="C113" s="76"/>
      <c r="D113" s="79" t="s">
        <v>536</v>
      </c>
      <c r="E113" s="140">
        <f t="shared" si="32"/>
        <v>0</v>
      </c>
      <c r="F113" s="140"/>
      <c r="G113" s="140"/>
      <c r="H113" s="140"/>
      <c r="I113" s="140"/>
      <c r="J113" s="140">
        <f t="shared" si="34"/>
        <v>0</v>
      </c>
      <c r="K113" s="140"/>
      <c r="L113" s="140"/>
      <c r="M113" s="140"/>
      <c r="N113" s="140"/>
      <c r="O113" s="140"/>
      <c r="P113" s="140">
        <f t="shared" si="33"/>
        <v>0</v>
      </c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</row>
    <row r="114" spans="1:525" s="22" customFormat="1" ht="65.25" hidden="1" customHeight="1" x14ac:dyDescent="0.25">
      <c r="A114" s="56" t="s">
        <v>474</v>
      </c>
      <c r="B114" s="56" t="s">
        <v>475</v>
      </c>
      <c r="C114" s="56" t="s">
        <v>57</v>
      </c>
      <c r="D114" s="85" t="s">
        <v>489</v>
      </c>
      <c r="E114" s="139">
        <f t="shared" si="32"/>
        <v>0</v>
      </c>
      <c r="F114" s="139"/>
      <c r="G114" s="139"/>
      <c r="H114" s="139"/>
      <c r="I114" s="139"/>
      <c r="J114" s="139">
        <f t="shared" si="34"/>
        <v>0</v>
      </c>
      <c r="K114" s="139"/>
      <c r="L114" s="139"/>
      <c r="M114" s="139"/>
      <c r="N114" s="139"/>
      <c r="O114" s="139"/>
      <c r="P114" s="139">
        <f t="shared" si="33"/>
        <v>0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  <c r="SQ114" s="23"/>
      <c r="SR114" s="23"/>
      <c r="SS114" s="23"/>
      <c r="ST114" s="23"/>
      <c r="SU114" s="23"/>
      <c r="SV114" s="23"/>
      <c r="SW114" s="23"/>
      <c r="SX114" s="23"/>
      <c r="SY114" s="23"/>
      <c r="SZ114" s="23"/>
      <c r="TA114" s="23"/>
      <c r="TB114" s="23"/>
      <c r="TC114" s="23"/>
      <c r="TD114" s="23"/>
      <c r="TE114" s="23"/>
    </row>
    <row r="115" spans="1:525" s="24" customFormat="1" ht="63" hidden="1" customHeight="1" x14ac:dyDescent="0.25">
      <c r="A115" s="76"/>
      <c r="B115" s="97"/>
      <c r="C115" s="97"/>
      <c r="D115" s="79" t="s">
        <v>378</v>
      </c>
      <c r="E115" s="140">
        <f t="shared" si="32"/>
        <v>0</v>
      </c>
      <c r="F115" s="140"/>
      <c r="G115" s="140"/>
      <c r="H115" s="140"/>
      <c r="I115" s="140"/>
      <c r="J115" s="140">
        <f t="shared" si="34"/>
        <v>0</v>
      </c>
      <c r="K115" s="140"/>
      <c r="L115" s="140"/>
      <c r="M115" s="140"/>
      <c r="N115" s="140"/>
      <c r="O115" s="140"/>
      <c r="P115" s="140">
        <f t="shared" si="33"/>
        <v>0</v>
      </c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</row>
    <row r="116" spans="1:525" s="24" customFormat="1" ht="78.75" hidden="1" customHeight="1" x14ac:dyDescent="0.25">
      <c r="A116" s="56" t="s">
        <v>502</v>
      </c>
      <c r="B116" s="84">
        <v>1210</v>
      </c>
      <c r="C116" s="56" t="s">
        <v>57</v>
      </c>
      <c r="D116" s="36" t="s">
        <v>503</v>
      </c>
      <c r="E116" s="139">
        <f t="shared" si="32"/>
        <v>0</v>
      </c>
      <c r="F116" s="139"/>
      <c r="G116" s="139"/>
      <c r="H116" s="140"/>
      <c r="I116" s="140"/>
      <c r="J116" s="139">
        <f t="shared" si="34"/>
        <v>0</v>
      </c>
      <c r="K116" s="140"/>
      <c r="L116" s="140"/>
      <c r="M116" s="140"/>
      <c r="N116" s="140"/>
      <c r="O116" s="140"/>
      <c r="P116" s="139">
        <f t="shared" si="33"/>
        <v>0</v>
      </c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</row>
    <row r="117" spans="1:525" s="24" customFormat="1" ht="75.75" hidden="1" customHeight="1" x14ac:dyDescent="0.25">
      <c r="A117" s="76"/>
      <c r="B117" s="97"/>
      <c r="C117" s="97"/>
      <c r="D117" s="79" t="s">
        <v>504</v>
      </c>
      <c r="E117" s="140">
        <f t="shared" si="32"/>
        <v>0</v>
      </c>
      <c r="F117" s="140"/>
      <c r="G117" s="140"/>
      <c r="H117" s="140"/>
      <c r="I117" s="140"/>
      <c r="J117" s="140">
        <f t="shared" si="34"/>
        <v>0</v>
      </c>
      <c r="K117" s="140"/>
      <c r="L117" s="140"/>
      <c r="M117" s="140"/>
      <c r="N117" s="140"/>
      <c r="O117" s="140"/>
      <c r="P117" s="140">
        <f t="shared" si="33"/>
        <v>0</v>
      </c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</row>
    <row r="118" spans="1:525" s="24" customFormat="1" ht="64.5" customHeight="1" x14ac:dyDescent="0.25">
      <c r="A118" s="56" t="s">
        <v>476</v>
      </c>
      <c r="B118" s="84">
        <v>3140</v>
      </c>
      <c r="C118" s="84">
        <v>1040</v>
      </c>
      <c r="D118" s="6" t="str">
        <f>'дод 3'!C126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18" s="139">
        <f t="shared" si="32"/>
        <v>1946900</v>
      </c>
      <c r="F118" s="139">
        <v>1946900</v>
      </c>
      <c r="G118" s="139"/>
      <c r="H118" s="139"/>
      <c r="I118" s="139"/>
      <c r="J118" s="139">
        <f t="shared" si="34"/>
        <v>0</v>
      </c>
      <c r="K118" s="140"/>
      <c r="L118" s="140"/>
      <c r="M118" s="140"/>
      <c r="N118" s="140"/>
      <c r="O118" s="140"/>
      <c r="P118" s="139">
        <f t="shared" si="33"/>
        <v>1946900</v>
      </c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</row>
    <row r="119" spans="1:525" s="24" customFormat="1" ht="31.5" x14ac:dyDescent="0.25">
      <c r="A119" s="56" t="s">
        <v>477</v>
      </c>
      <c r="B119" s="84">
        <v>3242</v>
      </c>
      <c r="C119" s="84">
        <v>1090</v>
      </c>
      <c r="D119" s="36" t="s">
        <v>406</v>
      </c>
      <c r="E119" s="139">
        <f>F119+I119</f>
        <v>63350</v>
      </c>
      <c r="F119" s="139">
        <v>63350</v>
      </c>
      <c r="G119" s="139"/>
      <c r="H119" s="139"/>
      <c r="I119" s="139"/>
      <c r="J119" s="139">
        <f t="shared" si="34"/>
        <v>0</v>
      </c>
      <c r="K119" s="140"/>
      <c r="L119" s="140"/>
      <c r="M119" s="140"/>
      <c r="N119" s="140"/>
      <c r="O119" s="140"/>
      <c r="P119" s="139">
        <f t="shared" si="33"/>
        <v>63350</v>
      </c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</row>
    <row r="120" spans="1:525" s="24" customFormat="1" ht="31.5" x14ac:dyDescent="0.25">
      <c r="A120" s="56" t="s">
        <v>479</v>
      </c>
      <c r="B120" s="84">
        <v>5031</v>
      </c>
      <c r="C120" s="56" t="s">
        <v>79</v>
      </c>
      <c r="D120" s="3" t="str">
        <f>'дод 3'!C155</f>
        <v>Утримання та навчально-тренувальна робота комунальних дитячо-юнацьких спортивних шкіл</v>
      </c>
      <c r="E120" s="139">
        <f t="shared" si="32"/>
        <v>10721400</v>
      </c>
      <c r="F120" s="139">
        <f>9648000+323400+750000</f>
        <v>10721400</v>
      </c>
      <c r="G120" s="139">
        <f>6839800+265500+615000</f>
        <v>7720300</v>
      </c>
      <c r="H120" s="139">
        <v>444800</v>
      </c>
      <c r="I120" s="139"/>
      <c r="J120" s="139">
        <f t="shared" si="34"/>
        <v>0</v>
      </c>
      <c r="K120" s="140"/>
      <c r="L120" s="140"/>
      <c r="M120" s="140"/>
      <c r="N120" s="140"/>
      <c r="O120" s="140"/>
      <c r="P120" s="139">
        <f t="shared" si="33"/>
        <v>10721400</v>
      </c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</row>
    <row r="121" spans="1:525" s="24" customFormat="1" ht="23.25" hidden="1" customHeight="1" x14ac:dyDescent="0.25">
      <c r="A121" s="76"/>
      <c r="B121" s="97"/>
      <c r="C121" s="76"/>
      <c r="D121" s="79" t="s">
        <v>390</v>
      </c>
      <c r="E121" s="140">
        <f t="shared" si="32"/>
        <v>0</v>
      </c>
      <c r="F121" s="140"/>
      <c r="G121" s="140"/>
      <c r="H121" s="140"/>
      <c r="I121" s="140"/>
      <c r="J121" s="140">
        <f t="shared" si="34"/>
        <v>0</v>
      </c>
      <c r="K121" s="140"/>
      <c r="L121" s="140"/>
      <c r="M121" s="140"/>
      <c r="N121" s="140"/>
      <c r="O121" s="140"/>
      <c r="P121" s="140">
        <f t="shared" si="33"/>
        <v>0</v>
      </c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</row>
    <row r="122" spans="1:525" s="24" customFormat="1" ht="42" hidden="1" customHeight="1" x14ac:dyDescent="0.25">
      <c r="A122" s="56" t="s">
        <v>480</v>
      </c>
      <c r="B122" s="84">
        <v>7321</v>
      </c>
      <c r="C122" s="56" t="s">
        <v>110</v>
      </c>
      <c r="D122" s="6" t="str">
        <f>'дод 3'!C184</f>
        <v>Будівництво1 освітніх установ та закладів</v>
      </c>
      <c r="E122" s="139">
        <f t="shared" si="32"/>
        <v>0</v>
      </c>
      <c r="F122" s="139"/>
      <c r="G122" s="139"/>
      <c r="H122" s="139"/>
      <c r="I122" s="139"/>
      <c r="J122" s="139">
        <f t="shared" si="34"/>
        <v>0</v>
      </c>
      <c r="K122" s="139"/>
      <c r="L122" s="139"/>
      <c r="M122" s="139"/>
      <c r="N122" s="139"/>
      <c r="O122" s="139"/>
      <c r="P122" s="139">
        <f t="shared" si="33"/>
        <v>0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</row>
    <row r="123" spans="1:525" s="24" customFormat="1" ht="21" hidden="1" customHeight="1" x14ac:dyDescent="0.25">
      <c r="A123" s="56"/>
      <c r="B123" s="84"/>
      <c r="C123" s="56"/>
      <c r="D123" s="79" t="s">
        <v>390</v>
      </c>
      <c r="E123" s="140">
        <f t="shared" si="32"/>
        <v>0</v>
      </c>
      <c r="F123" s="139"/>
      <c r="G123" s="139"/>
      <c r="H123" s="139"/>
      <c r="I123" s="139"/>
      <c r="J123" s="140">
        <f t="shared" si="34"/>
        <v>0</v>
      </c>
      <c r="K123" s="140"/>
      <c r="L123" s="139"/>
      <c r="M123" s="139"/>
      <c r="N123" s="139"/>
      <c r="O123" s="140"/>
      <c r="P123" s="140">
        <f t="shared" si="33"/>
        <v>0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</row>
    <row r="124" spans="1:525" s="24" customFormat="1" ht="53.25" hidden="1" customHeight="1" x14ac:dyDescent="0.25">
      <c r="A124" s="56" t="s">
        <v>529</v>
      </c>
      <c r="B124" s="84">
        <v>7363</v>
      </c>
      <c r="C124" s="56" t="s">
        <v>81</v>
      </c>
      <c r="D124" s="6" t="s">
        <v>392</v>
      </c>
      <c r="E124" s="139">
        <f t="shared" si="32"/>
        <v>0</v>
      </c>
      <c r="F124" s="139"/>
      <c r="G124" s="139"/>
      <c r="H124" s="139"/>
      <c r="I124" s="139"/>
      <c r="J124" s="139">
        <f t="shared" si="34"/>
        <v>0</v>
      </c>
      <c r="K124" s="139"/>
      <c r="L124" s="139"/>
      <c r="M124" s="139"/>
      <c r="N124" s="139"/>
      <c r="O124" s="139"/>
      <c r="P124" s="139">
        <f t="shared" si="33"/>
        <v>0</v>
      </c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</row>
    <row r="125" spans="1:525" s="24" customFormat="1" ht="63" hidden="1" customHeight="1" x14ac:dyDescent="0.25">
      <c r="A125" s="76"/>
      <c r="B125" s="97"/>
      <c r="C125" s="76"/>
      <c r="D125" s="73" t="s">
        <v>539</v>
      </c>
      <c r="E125" s="140">
        <f t="shared" si="32"/>
        <v>0</v>
      </c>
      <c r="F125" s="140"/>
      <c r="G125" s="140"/>
      <c r="H125" s="140"/>
      <c r="I125" s="140"/>
      <c r="J125" s="140">
        <f t="shared" si="34"/>
        <v>0</v>
      </c>
      <c r="K125" s="140"/>
      <c r="L125" s="140"/>
      <c r="M125" s="140"/>
      <c r="N125" s="140"/>
      <c r="O125" s="140"/>
      <c r="P125" s="140">
        <f t="shared" si="33"/>
        <v>0</v>
      </c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</row>
    <row r="126" spans="1:525" s="24" customFormat="1" ht="15.75" x14ac:dyDescent="0.25">
      <c r="A126" s="56" t="s">
        <v>481</v>
      </c>
      <c r="B126" s="84">
        <v>7640</v>
      </c>
      <c r="C126" s="56" t="s">
        <v>85</v>
      </c>
      <c r="D126" s="3" t="s">
        <v>416</v>
      </c>
      <c r="E126" s="139">
        <f t="shared" si="32"/>
        <v>952000</v>
      </c>
      <c r="F126" s="139">
        <v>952000</v>
      </c>
      <c r="G126" s="139"/>
      <c r="H126" s="139"/>
      <c r="I126" s="139"/>
      <c r="J126" s="139">
        <f t="shared" si="34"/>
        <v>2770000</v>
      </c>
      <c r="K126" s="139">
        <f>12910000+3316100-2640000-5316100+5315954-5315954+1759010-1759010-5000000-500000</f>
        <v>2770000</v>
      </c>
      <c r="L126" s="139"/>
      <c r="M126" s="139"/>
      <c r="N126" s="139"/>
      <c r="O126" s="139">
        <f>12910000+3316100-2640000-5316100+5315954-5315954+1759010-1759010-5000000-500000</f>
        <v>2770000</v>
      </c>
      <c r="P126" s="139">
        <f t="shared" si="33"/>
        <v>3722000</v>
      </c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</row>
    <row r="127" spans="1:525" s="24" customFormat="1" ht="47.25" hidden="1" customHeight="1" x14ac:dyDescent="0.25">
      <c r="A127" s="56" t="s">
        <v>484</v>
      </c>
      <c r="B127" s="84">
        <v>7700</v>
      </c>
      <c r="C127" s="56" t="s">
        <v>92</v>
      </c>
      <c r="D127" s="3" t="s">
        <v>357</v>
      </c>
      <c r="E127" s="139">
        <f t="shared" si="32"/>
        <v>0</v>
      </c>
      <c r="F127" s="139"/>
      <c r="G127" s="139"/>
      <c r="H127" s="139"/>
      <c r="I127" s="139"/>
      <c r="J127" s="139">
        <f t="shared" si="34"/>
        <v>0</v>
      </c>
      <c r="K127" s="139"/>
      <c r="L127" s="139"/>
      <c r="M127" s="139"/>
      <c r="N127" s="139"/>
      <c r="O127" s="139"/>
      <c r="P127" s="139">
        <f t="shared" si="33"/>
        <v>0</v>
      </c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  <c r="SQ127" s="30"/>
      <c r="SR127" s="30"/>
      <c r="SS127" s="30"/>
      <c r="ST127" s="30"/>
      <c r="SU127" s="30"/>
      <c r="SV127" s="30"/>
      <c r="SW127" s="30"/>
      <c r="SX127" s="30"/>
      <c r="SY127" s="30"/>
      <c r="SZ127" s="30"/>
      <c r="TA127" s="30"/>
      <c r="TB127" s="30"/>
      <c r="TC127" s="30"/>
      <c r="TD127" s="30"/>
      <c r="TE127" s="30"/>
    </row>
    <row r="128" spans="1:525" s="24" customFormat="1" ht="37.5" customHeight="1" x14ac:dyDescent="0.25">
      <c r="A128" s="56" t="s">
        <v>482</v>
      </c>
      <c r="B128" s="84">
        <v>8340</v>
      </c>
      <c r="C128" s="56" t="s">
        <v>91</v>
      </c>
      <c r="D128" s="3" t="str">
        <f>'дод 3'!C243</f>
        <v>Природоохоронні заходи за рахунок цільових фондів</v>
      </c>
      <c r="E128" s="139">
        <f t="shared" si="32"/>
        <v>0</v>
      </c>
      <c r="F128" s="139"/>
      <c r="G128" s="139"/>
      <c r="H128" s="139"/>
      <c r="I128" s="139"/>
      <c r="J128" s="139">
        <f t="shared" si="34"/>
        <v>689800</v>
      </c>
      <c r="K128" s="139"/>
      <c r="L128" s="139">
        <f>689800-70000</f>
        <v>619800</v>
      </c>
      <c r="M128" s="139"/>
      <c r="N128" s="139"/>
      <c r="O128" s="139">
        <v>70000</v>
      </c>
      <c r="P128" s="139">
        <f t="shared" si="33"/>
        <v>689800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</row>
    <row r="129" spans="1:525" s="24" customFormat="1" ht="47.25" hidden="1" customHeight="1" x14ac:dyDescent="0.25">
      <c r="A129" s="56" t="s">
        <v>514</v>
      </c>
      <c r="B129" s="84">
        <v>9320</v>
      </c>
      <c r="C129" s="56" t="s">
        <v>44</v>
      </c>
      <c r="D129" s="6" t="s">
        <v>567</v>
      </c>
      <c r="E129" s="139">
        <f t="shared" si="32"/>
        <v>0</v>
      </c>
      <c r="F129" s="139"/>
      <c r="G129" s="139"/>
      <c r="H129" s="139"/>
      <c r="I129" s="139"/>
      <c r="J129" s="139">
        <f t="shared" si="34"/>
        <v>0</v>
      </c>
      <c r="K129" s="139"/>
      <c r="L129" s="139"/>
      <c r="M129" s="139"/>
      <c r="N129" s="139"/>
      <c r="O129" s="139"/>
      <c r="P129" s="139">
        <f t="shared" si="33"/>
        <v>0</v>
      </c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30"/>
      <c r="MW129" s="30"/>
      <c r="MX129" s="30"/>
      <c r="MY129" s="30"/>
      <c r="MZ129" s="30"/>
      <c r="NA129" s="30"/>
      <c r="NB129" s="30"/>
      <c r="NC129" s="30"/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  <c r="NO129" s="30"/>
      <c r="NP129" s="30"/>
      <c r="NQ129" s="30"/>
      <c r="NR129" s="30"/>
      <c r="NS129" s="30"/>
      <c r="NT129" s="30"/>
      <c r="NU129" s="30"/>
      <c r="NV129" s="30"/>
      <c r="NW129" s="30"/>
      <c r="NX129" s="30"/>
      <c r="NY129" s="30"/>
      <c r="NZ129" s="30"/>
      <c r="OA129" s="30"/>
      <c r="OB129" s="30"/>
      <c r="OC129" s="30"/>
      <c r="OD129" s="30"/>
      <c r="OE129" s="30"/>
      <c r="OF129" s="30"/>
      <c r="OG129" s="30"/>
      <c r="OH129" s="30"/>
      <c r="OI129" s="30"/>
      <c r="OJ129" s="30"/>
      <c r="OK129" s="30"/>
      <c r="OL129" s="30"/>
      <c r="OM129" s="30"/>
      <c r="ON129" s="30"/>
      <c r="OO129" s="30"/>
      <c r="OP129" s="30"/>
      <c r="OQ129" s="30"/>
      <c r="OR129" s="30"/>
      <c r="OS129" s="30"/>
      <c r="OT129" s="30"/>
      <c r="OU129" s="30"/>
      <c r="OV129" s="30"/>
      <c r="OW129" s="30"/>
      <c r="OX129" s="30"/>
      <c r="OY129" s="30"/>
      <c r="OZ129" s="30"/>
      <c r="PA129" s="30"/>
      <c r="PB129" s="30"/>
      <c r="PC129" s="30"/>
      <c r="PD129" s="30"/>
      <c r="PE129" s="30"/>
      <c r="PF129" s="30"/>
      <c r="PG129" s="30"/>
      <c r="PH129" s="30"/>
      <c r="PI129" s="30"/>
      <c r="PJ129" s="30"/>
      <c r="PK129" s="30"/>
      <c r="PL129" s="30"/>
      <c r="PM129" s="30"/>
      <c r="PN129" s="30"/>
      <c r="PO129" s="30"/>
      <c r="PP129" s="30"/>
      <c r="PQ129" s="30"/>
      <c r="PR129" s="30"/>
      <c r="PS129" s="30"/>
      <c r="PT129" s="30"/>
      <c r="PU129" s="30"/>
      <c r="PV129" s="30"/>
      <c r="PW129" s="30"/>
      <c r="PX129" s="30"/>
      <c r="PY129" s="30"/>
      <c r="PZ129" s="30"/>
      <c r="QA129" s="30"/>
      <c r="QB129" s="30"/>
      <c r="QC129" s="30"/>
      <c r="QD129" s="30"/>
      <c r="QE129" s="30"/>
      <c r="QF129" s="30"/>
      <c r="QG129" s="30"/>
      <c r="QH129" s="30"/>
      <c r="QI129" s="30"/>
      <c r="QJ129" s="30"/>
      <c r="QK129" s="30"/>
      <c r="QL129" s="30"/>
      <c r="QM129" s="30"/>
      <c r="QN129" s="30"/>
      <c r="QO129" s="30"/>
      <c r="QP129" s="30"/>
      <c r="QQ129" s="30"/>
      <c r="QR129" s="30"/>
      <c r="QS129" s="30"/>
      <c r="QT129" s="30"/>
      <c r="QU129" s="30"/>
      <c r="QV129" s="30"/>
      <c r="QW129" s="30"/>
      <c r="QX129" s="30"/>
      <c r="QY129" s="30"/>
      <c r="QZ129" s="30"/>
      <c r="RA129" s="30"/>
      <c r="RB129" s="30"/>
      <c r="RC129" s="30"/>
      <c r="RD129" s="30"/>
      <c r="RE129" s="30"/>
      <c r="RF129" s="30"/>
      <c r="RG129" s="30"/>
      <c r="RH129" s="30"/>
      <c r="RI129" s="30"/>
      <c r="RJ129" s="30"/>
      <c r="RK129" s="30"/>
      <c r="RL129" s="30"/>
      <c r="RM129" s="30"/>
      <c r="RN129" s="30"/>
      <c r="RO129" s="30"/>
      <c r="RP129" s="30"/>
      <c r="RQ129" s="30"/>
      <c r="RR129" s="30"/>
      <c r="RS129" s="30"/>
      <c r="RT129" s="30"/>
      <c r="RU129" s="30"/>
      <c r="RV129" s="30"/>
      <c r="RW129" s="30"/>
      <c r="RX129" s="30"/>
      <c r="RY129" s="30"/>
      <c r="RZ129" s="30"/>
      <c r="SA129" s="30"/>
      <c r="SB129" s="30"/>
      <c r="SC129" s="30"/>
      <c r="SD129" s="30"/>
      <c r="SE129" s="30"/>
      <c r="SF129" s="30"/>
      <c r="SG129" s="30"/>
      <c r="SH129" s="30"/>
      <c r="SI129" s="30"/>
      <c r="SJ129" s="30"/>
      <c r="SK129" s="30"/>
      <c r="SL129" s="30"/>
      <c r="SM129" s="30"/>
      <c r="SN129" s="30"/>
      <c r="SO129" s="30"/>
      <c r="SP129" s="30"/>
      <c r="SQ129" s="30"/>
      <c r="SR129" s="30"/>
      <c r="SS129" s="30"/>
      <c r="ST129" s="30"/>
      <c r="SU129" s="30"/>
      <c r="SV129" s="30"/>
      <c r="SW129" s="30"/>
      <c r="SX129" s="30"/>
      <c r="SY129" s="30"/>
      <c r="SZ129" s="30"/>
      <c r="TA129" s="30"/>
      <c r="TB129" s="30"/>
      <c r="TC129" s="30"/>
      <c r="TD129" s="30"/>
      <c r="TE129" s="30"/>
    </row>
    <row r="130" spans="1:525" s="24" customFormat="1" ht="31.5" hidden="1" customHeight="1" x14ac:dyDescent="0.25">
      <c r="A130" s="76"/>
      <c r="B130" s="97"/>
      <c r="C130" s="76"/>
      <c r="D130" s="79" t="s">
        <v>510</v>
      </c>
      <c r="E130" s="140">
        <f t="shared" si="32"/>
        <v>0</v>
      </c>
      <c r="F130" s="140"/>
      <c r="G130" s="140"/>
      <c r="H130" s="140"/>
      <c r="I130" s="140"/>
      <c r="J130" s="140">
        <f t="shared" si="34"/>
        <v>0</v>
      </c>
      <c r="K130" s="140"/>
      <c r="L130" s="140"/>
      <c r="M130" s="140"/>
      <c r="N130" s="140"/>
      <c r="O130" s="140"/>
      <c r="P130" s="140">
        <f t="shared" si="33"/>
        <v>0</v>
      </c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30"/>
      <c r="MW130" s="30"/>
      <c r="MX130" s="30"/>
      <c r="MY130" s="30"/>
      <c r="MZ130" s="30"/>
      <c r="NA130" s="30"/>
      <c r="NB130" s="30"/>
      <c r="NC130" s="30"/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  <c r="NO130" s="30"/>
      <c r="NP130" s="30"/>
      <c r="NQ130" s="30"/>
      <c r="NR130" s="30"/>
      <c r="NS130" s="30"/>
      <c r="NT130" s="30"/>
      <c r="NU130" s="30"/>
      <c r="NV130" s="30"/>
      <c r="NW130" s="30"/>
      <c r="NX130" s="30"/>
      <c r="NY130" s="30"/>
      <c r="NZ130" s="30"/>
      <c r="OA130" s="30"/>
      <c r="OB130" s="30"/>
      <c r="OC130" s="30"/>
      <c r="OD130" s="30"/>
      <c r="OE130" s="30"/>
      <c r="OF130" s="30"/>
      <c r="OG130" s="30"/>
      <c r="OH130" s="30"/>
      <c r="OI130" s="30"/>
      <c r="OJ130" s="30"/>
      <c r="OK130" s="30"/>
      <c r="OL130" s="30"/>
      <c r="OM130" s="30"/>
      <c r="ON130" s="30"/>
      <c r="OO130" s="30"/>
      <c r="OP130" s="30"/>
      <c r="OQ130" s="30"/>
      <c r="OR130" s="30"/>
      <c r="OS130" s="30"/>
      <c r="OT130" s="30"/>
      <c r="OU130" s="30"/>
      <c r="OV130" s="30"/>
      <c r="OW130" s="30"/>
      <c r="OX130" s="30"/>
      <c r="OY130" s="30"/>
      <c r="OZ130" s="30"/>
      <c r="PA130" s="30"/>
      <c r="PB130" s="30"/>
      <c r="PC130" s="30"/>
      <c r="PD130" s="30"/>
      <c r="PE130" s="30"/>
      <c r="PF130" s="30"/>
      <c r="PG130" s="30"/>
      <c r="PH130" s="30"/>
      <c r="PI130" s="30"/>
      <c r="PJ130" s="30"/>
      <c r="PK130" s="30"/>
      <c r="PL130" s="30"/>
      <c r="PM130" s="30"/>
      <c r="PN130" s="30"/>
      <c r="PO130" s="30"/>
      <c r="PP130" s="30"/>
      <c r="PQ130" s="30"/>
      <c r="PR130" s="30"/>
      <c r="PS130" s="30"/>
      <c r="PT130" s="30"/>
      <c r="PU130" s="30"/>
      <c r="PV130" s="30"/>
      <c r="PW130" s="30"/>
      <c r="PX130" s="30"/>
      <c r="PY130" s="30"/>
      <c r="PZ130" s="30"/>
      <c r="QA130" s="30"/>
      <c r="QB130" s="30"/>
      <c r="QC130" s="30"/>
      <c r="QD130" s="30"/>
      <c r="QE130" s="30"/>
      <c r="QF130" s="30"/>
      <c r="QG130" s="30"/>
      <c r="QH130" s="30"/>
      <c r="QI130" s="30"/>
      <c r="QJ130" s="30"/>
      <c r="QK130" s="30"/>
      <c r="QL130" s="30"/>
      <c r="QM130" s="30"/>
      <c r="QN130" s="30"/>
      <c r="QO130" s="30"/>
      <c r="QP130" s="30"/>
      <c r="QQ130" s="30"/>
      <c r="QR130" s="30"/>
      <c r="QS130" s="30"/>
      <c r="QT130" s="30"/>
      <c r="QU130" s="30"/>
      <c r="QV130" s="30"/>
      <c r="QW130" s="30"/>
      <c r="QX130" s="30"/>
      <c r="QY130" s="30"/>
      <c r="QZ130" s="30"/>
      <c r="RA130" s="30"/>
      <c r="RB130" s="30"/>
      <c r="RC130" s="30"/>
      <c r="RD130" s="30"/>
      <c r="RE130" s="30"/>
      <c r="RF130" s="30"/>
      <c r="RG130" s="30"/>
      <c r="RH130" s="30"/>
      <c r="RI130" s="30"/>
      <c r="RJ130" s="30"/>
      <c r="RK130" s="30"/>
      <c r="RL130" s="30"/>
      <c r="RM130" s="30"/>
      <c r="RN130" s="30"/>
      <c r="RO130" s="30"/>
      <c r="RP130" s="30"/>
      <c r="RQ130" s="30"/>
      <c r="RR130" s="30"/>
      <c r="RS130" s="30"/>
      <c r="RT130" s="30"/>
      <c r="RU130" s="30"/>
      <c r="RV130" s="30"/>
      <c r="RW130" s="30"/>
      <c r="RX130" s="30"/>
      <c r="RY130" s="30"/>
      <c r="RZ130" s="30"/>
      <c r="SA130" s="30"/>
      <c r="SB130" s="30"/>
      <c r="SC130" s="30"/>
      <c r="SD130" s="30"/>
      <c r="SE130" s="30"/>
      <c r="SF130" s="30"/>
      <c r="SG130" s="30"/>
      <c r="SH130" s="30"/>
      <c r="SI130" s="30"/>
      <c r="SJ130" s="30"/>
      <c r="SK130" s="30"/>
      <c r="SL130" s="30"/>
      <c r="SM130" s="30"/>
      <c r="SN130" s="30"/>
      <c r="SO130" s="30"/>
      <c r="SP130" s="30"/>
      <c r="SQ130" s="30"/>
      <c r="SR130" s="30"/>
      <c r="SS130" s="30"/>
      <c r="ST130" s="30"/>
      <c r="SU130" s="30"/>
      <c r="SV130" s="30"/>
      <c r="SW130" s="30"/>
      <c r="SX130" s="30"/>
      <c r="SY130" s="30"/>
      <c r="SZ130" s="30"/>
      <c r="TA130" s="30"/>
      <c r="TB130" s="30"/>
      <c r="TC130" s="30"/>
      <c r="TD130" s="30"/>
      <c r="TE130" s="30"/>
    </row>
    <row r="131" spans="1:525" s="24" customFormat="1" ht="22.5" hidden="1" customHeight="1" x14ac:dyDescent="0.25">
      <c r="A131" s="56" t="s">
        <v>483</v>
      </c>
      <c r="B131" s="84">
        <v>9770</v>
      </c>
      <c r="C131" s="56" t="s">
        <v>44</v>
      </c>
      <c r="D131" s="6" t="str">
        <f>'дод 3'!C261</f>
        <v>Інші субвенції з місцевого бюджету</v>
      </c>
      <c r="E131" s="139">
        <f t="shared" ref="E131" si="42">F131+I131</f>
        <v>0</v>
      </c>
      <c r="F131" s="139"/>
      <c r="G131" s="139"/>
      <c r="H131" s="139"/>
      <c r="I131" s="139"/>
      <c r="J131" s="139">
        <f t="shared" ref="J131" si="43">L131+O131</f>
        <v>0</v>
      </c>
      <c r="K131" s="139"/>
      <c r="L131" s="139"/>
      <c r="M131" s="139"/>
      <c r="N131" s="139"/>
      <c r="O131" s="139"/>
      <c r="P131" s="139">
        <f t="shared" ref="P131" si="44">E131+J131</f>
        <v>0</v>
      </c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</row>
    <row r="132" spans="1:525" s="24" customFormat="1" ht="48.75" hidden="1" customHeight="1" x14ac:dyDescent="0.25">
      <c r="A132" s="56" t="s">
        <v>506</v>
      </c>
      <c r="B132" s="84">
        <v>9800</v>
      </c>
      <c r="C132" s="56" t="s">
        <v>44</v>
      </c>
      <c r="D132" s="6" t="s">
        <v>362</v>
      </c>
      <c r="E132" s="139">
        <f t="shared" si="32"/>
        <v>0</v>
      </c>
      <c r="F132" s="139"/>
      <c r="G132" s="139"/>
      <c r="H132" s="139"/>
      <c r="I132" s="139"/>
      <c r="J132" s="139">
        <f t="shared" si="34"/>
        <v>0</v>
      </c>
      <c r="K132" s="139"/>
      <c r="L132" s="139"/>
      <c r="M132" s="139"/>
      <c r="N132" s="139"/>
      <c r="O132" s="139"/>
      <c r="P132" s="139">
        <f t="shared" si="33"/>
        <v>0</v>
      </c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0"/>
      <c r="KG132" s="30"/>
      <c r="KH132" s="30"/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/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  <c r="LU132" s="30"/>
      <c r="LV132" s="30"/>
      <c r="LW132" s="30"/>
      <c r="LX132" s="30"/>
      <c r="LY132" s="30"/>
      <c r="LZ132" s="30"/>
      <c r="MA132" s="30"/>
      <c r="MB132" s="30"/>
      <c r="MC132" s="30"/>
      <c r="MD132" s="30"/>
      <c r="ME132" s="30"/>
      <c r="MF132" s="30"/>
      <c r="MG132" s="30"/>
      <c r="MH132" s="30"/>
      <c r="MI132" s="30"/>
      <c r="MJ132" s="30"/>
      <c r="MK132" s="30"/>
      <c r="ML132" s="30"/>
      <c r="MM132" s="30"/>
      <c r="MN132" s="30"/>
      <c r="MO132" s="30"/>
      <c r="MP132" s="30"/>
      <c r="MQ132" s="30"/>
      <c r="MR132" s="30"/>
      <c r="MS132" s="30"/>
      <c r="MT132" s="30"/>
      <c r="MU132" s="30"/>
      <c r="MV132" s="30"/>
      <c r="MW132" s="30"/>
      <c r="MX132" s="30"/>
      <c r="MY132" s="30"/>
      <c r="MZ132" s="30"/>
      <c r="NA132" s="30"/>
      <c r="NB132" s="30"/>
      <c r="NC132" s="30"/>
      <c r="ND132" s="30"/>
      <c r="NE132" s="30"/>
      <c r="NF132" s="30"/>
      <c r="NG132" s="30"/>
      <c r="NH132" s="30"/>
      <c r="NI132" s="30"/>
      <c r="NJ132" s="30"/>
      <c r="NK132" s="30"/>
      <c r="NL132" s="30"/>
      <c r="NM132" s="30"/>
      <c r="NN132" s="30"/>
      <c r="NO132" s="30"/>
      <c r="NP132" s="30"/>
      <c r="NQ132" s="30"/>
      <c r="NR132" s="30"/>
      <c r="NS132" s="30"/>
      <c r="NT132" s="30"/>
      <c r="NU132" s="30"/>
      <c r="NV132" s="30"/>
      <c r="NW132" s="30"/>
      <c r="NX132" s="30"/>
      <c r="NY132" s="30"/>
      <c r="NZ132" s="30"/>
      <c r="OA132" s="30"/>
      <c r="OB132" s="30"/>
      <c r="OC132" s="30"/>
      <c r="OD132" s="30"/>
      <c r="OE132" s="30"/>
      <c r="OF132" s="30"/>
      <c r="OG132" s="30"/>
      <c r="OH132" s="30"/>
      <c r="OI132" s="30"/>
      <c r="OJ132" s="30"/>
      <c r="OK132" s="30"/>
      <c r="OL132" s="30"/>
      <c r="OM132" s="30"/>
      <c r="ON132" s="30"/>
      <c r="OO132" s="30"/>
      <c r="OP132" s="30"/>
      <c r="OQ132" s="30"/>
      <c r="OR132" s="30"/>
      <c r="OS132" s="30"/>
      <c r="OT132" s="30"/>
      <c r="OU132" s="30"/>
      <c r="OV132" s="30"/>
      <c r="OW132" s="30"/>
      <c r="OX132" s="30"/>
      <c r="OY132" s="30"/>
      <c r="OZ132" s="30"/>
      <c r="PA132" s="30"/>
      <c r="PB132" s="30"/>
      <c r="PC132" s="30"/>
      <c r="PD132" s="30"/>
      <c r="PE132" s="30"/>
      <c r="PF132" s="30"/>
      <c r="PG132" s="30"/>
      <c r="PH132" s="30"/>
      <c r="PI132" s="30"/>
      <c r="PJ132" s="30"/>
      <c r="PK132" s="30"/>
      <c r="PL132" s="30"/>
      <c r="PM132" s="30"/>
      <c r="PN132" s="30"/>
      <c r="PO132" s="30"/>
      <c r="PP132" s="30"/>
      <c r="PQ132" s="30"/>
      <c r="PR132" s="30"/>
      <c r="PS132" s="30"/>
      <c r="PT132" s="30"/>
      <c r="PU132" s="30"/>
      <c r="PV132" s="30"/>
      <c r="PW132" s="30"/>
      <c r="PX132" s="30"/>
      <c r="PY132" s="30"/>
      <c r="PZ132" s="30"/>
      <c r="QA132" s="30"/>
      <c r="QB132" s="30"/>
      <c r="QC132" s="30"/>
      <c r="QD132" s="30"/>
      <c r="QE132" s="30"/>
      <c r="QF132" s="30"/>
      <c r="QG132" s="30"/>
      <c r="QH132" s="30"/>
      <c r="QI132" s="30"/>
      <c r="QJ132" s="30"/>
      <c r="QK132" s="30"/>
      <c r="QL132" s="30"/>
      <c r="QM132" s="30"/>
      <c r="QN132" s="30"/>
      <c r="QO132" s="30"/>
      <c r="QP132" s="30"/>
      <c r="QQ132" s="30"/>
      <c r="QR132" s="30"/>
      <c r="QS132" s="30"/>
      <c r="QT132" s="30"/>
      <c r="QU132" s="30"/>
      <c r="QV132" s="30"/>
      <c r="QW132" s="30"/>
      <c r="QX132" s="30"/>
      <c r="QY132" s="30"/>
      <c r="QZ132" s="30"/>
      <c r="RA132" s="30"/>
      <c r="RB132" s="30"/>
      <c r="RC132" s="30"/>
      <c r="RD132" s="30"/>
      <c r="RE132" s="30"/>
      <c r="RF132" s="30"/>
      <c r="RG132" s="30"/>
      <c r="RH132" s="30"/>
      <c r="RI132" s="30"/>
      <c r="RJ132" s="30"/>
      <c r="RK132" s="30"/>
      <c r="RL132" s="30"/>
      <c r="RM132" s="30"/>
      <c r="RN132" s="30"/>
      <c r="RO132" s="30"/>
      <c r="RP132" s="30"/>
      <c r="RQ132" s="30"/>
      <c r="RR132" s="30"/>
      <c r="RS132" s="30"/>
      <c r="RT132" s="30"/>
      <c r="RU132" s="30"/>
      <c r="RV132" s="30"/>
      <c r="RW132" s="30"/>
      <c r="RX132" s="30"/>
      <c r="RY132" s="30"/>
      <c r="RZ132" s="30"/>
      <c r="SA132" s="30"/>
      <c r="SB132" s="30"/>
      <c r="SC132" s="30"/>
      <c r="SD132" s="30"/>
      <c r="SE132" s="30"/>
      <c r="SF132" s="30"/>
      <c r="SG132" s="30"/>
      <c r="SH132" s="30"/>
      <c r="SI132" s="30"/>
      <c r="SJ132" s="30"/>
      <c r="SK132" s="30"/>
      <c r="SL132" s="30"/>
      <c r="SM132" s="30"/>
      <c r="SN132" s="30"/>
      <c r="SO132" s="30"/>
      <c r="SP132" s="30"/>
      <c r="SQ132" s="30"/>
      <c r="SR132" s="30"/>
      <c r="SS132" s="30"/>
      <c r="ST132" s="30"/>
      <c r="SU132" s="30"/>
      <c r="SV132" s="30"/>
      <c r="SW132" s="30"/>
      <c r="SX132" s="30"/>
      <c r="SY132" s="30"/>
      <c r="SZ132" s="30"/>
      <c r="TA132" s="30"/>
      <c r="TB132" s="30"/>
      <c r="TC132" s="30"/>
      <c r="TD132" s="30"/>
      <c r="TE132" s="30"/>
    </row>
    <row r="133" spans="1:525" s="27" customFormat="1" ht="33.75" customHeight="1" x14ac:dyDescent="0.25">
      <c r="A133" s="96" t="s">
        <v>166</v>
      </c>
      <c r="B133" s="98"/>
      <c r="C133" s="98"/>
      <c r="D133" s="93" t="s">
        <v>450</v>
      </c>
      <c r="E133" s="137">
        <f>E134</f>
        <v>105570400</v>
      </c>
      <c r="F133" s="137">
        <f t="shared" ref="F133:P133" si="45">F134</f>
        <v>105570400</v>
      </c>
      <c r="G133" s="137">
        <f t="shared" si="45"/>
        <v>4570300</v>
      </c>
      <c r="H133" s="137">
        <f t="shared" si="45"/>
        <v>215900</v>
      </c>
      <c r="I133" s="137">
        <f t="shared" si="45"/>
        <v>0</v>
      </c>
      <c r="J133" s="137">
        <f t="shared" si="45"/>
        <v>87907200</v>
      </c>
      <c r="K133" s="137">
        <f t="shared" si="45"/>
        <v>87907200</v>
      </c>
      <c r="L133" s="137">
        <f t="shared" si="45"/>
        <v>0</v>
      </c>
      <c r="M133" s="137">
        <f t="shared" si="45"/>
        <v>0</v>
      </c>
      <c r="N133" s="137">
        <f t="shared" si="45"/>
        <v>0</v>
      </c>
      <c r="O133" s="137">
        <f t="shared" si="45"/>
        <v>87907200</v>
      </c>
      <c r="P133" s="137">
        <f t="shared" si="45"/>
        <v>193477600</v>
      </c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  <c r="IT133" s="32"/>
      <c r="IU133" s="32"/>
      <c r="IV133" s="32"/>
      <c r="IW133" s="32"/>
      <c r="IX133" s="32"/>
      <c r="IY133" s="32"/>
      <c r="IZ133" s="32"/>
      <c r="JA133" s="32"/>
      <c r="JB133" s="32"/>
      <c r="JC133" s="32"/>
      <c r="JD133" s="32"/>
      <c r="JE133" s="32"/>
      <c r="JF133" s="32"/>
      <c r="JG133" s="32"/>
      <c r="JH133" s="32"/>
      <c r="JI133" s="32"/>
      <c r="JJ133" s="32"/>
      <c r="JK133" s="32"/>
      <c r="JL133" s="32"/>
      <c r="JM133" s="32"/>
      <c r="JN133" s="32"/>
      <c r="JO133" s="32"/>
      <c r="JP133" s="32"/>
      <c r="JQ133" s="32"/>
      <c r="JR133" s="32"/>
      <c r="JS133" s="32"/>
      <c r="JT133" s="32"/>
      <c r="JU133" s="32"/>
      <c r="JV133" s="32"/>
      <c r="JW133" s="32"/>
      <c r="JX133" s="32"/>
      <c r="JY133" s="32"/>
      <c r="JZ133" s="32"/>
      <c r="KA133" s="32"/>
      <c r="KB133" s="32"/>
      <c r="KC133" s="32"/>
      <c r="KD133" s="32"/>
      <c r="KE133" s="32"/>
      <c r="KF133" s="32"/>
      <c r="KG133" s="32"/>
      <c r="KH133" s="32"/>
      <c r="KI133" s="32"/>
      <c r="KJ133" s="32"/>
      <c r="KK133" s="32"/>
      <c r="KL133" s="32"/>
      <c r="KM133" s="32"/>
      <c r="KN133" s="32"/>
      <c r="KO133" s="32"/>
      <c r="KP133" s="32"/>
      <c r="KQ133" s="32"/>
      <c r="KR133" s="32"/>
      <c r="KS133" s="32"/>
      <c r="KT133" s="32"/>
      <c r="KU133" s="32"/>
      <c r="KV133" s="32"/>
      <c r="KW133" s="32"/>
      <c r="KX133" s="32"/>
      <c r="KY133" s="32"/>
      <c r="KZ133" s="32"/>
      <c r="LA133" s="32"/>
      <c r="LB133" s="32"/>
      <c r="LC133" s="32"/>
      <c r="LD133" s="32"/>
      <c r="LE133" s="32"/>
      <c r="LF133" s="32"/>
      <c r="LG133" s="32"/>
      <c r="LH133" s="32"/>
      <c r="LI133" s="32"/>
      <c r="LJ133" s="32"/>
      <c r="LK133" s="32"/>
      <c r="LL133" s="32"/>
      <c r="LM133" s="32"/>
      <c r="LN133" s="32"/>
      <c r="LO133" s="32"/>
      <c r="LP133" s="32"/>
      <c r="LQ133" s="32"/>
      <c r="LR133" s="32"/>
      <c r="LS133" s="32"/>
      <c r="LT133" s="32"/>
      <c r="LU133" s="32"/>
      <c r="LV133" s="32"/>
      <c r="LW133" s="32"/>
      <c r="LX133" s="32"/>
      <c r="LY133" s="32"/>
      <c r="LZ133" s="32"/>
      <c r="MA133" s="32"/>
      <c r="MB133" s="32"/>
      <c r="MC133" s="32"/>
      <c r="MD133" s="32"/>
      <c r="ME133" s="32"/>
      <c r="MF133" s="32"/>
      <c r="MG133" s="32"/>
      <c r="MH133" s="32"/>
      <c r="MI133" s="32"/>
      <c r="MJ133" s="32"/>
      <c r="MK133" s="32"/>
      <c r="ML133" s="32"/>
      <c r="MM133" s="32"/>
      <c r="MN133" s="32"/>
      <c r="MO133" s="32"/>
      <c r="MP133" s="32"/>
      <c r="MQ133" s="32"/>
      <c r="MR133" s="32"/>
      <c r="MS133" s="32"/>
      <c r="MT133" s="32"/>
      <c r="MU133" s="32"/>
      <c r="MV133" s="32"/>
      <c r="MW133" s="32"/>
      <c r="MX133" s="32"/>
      <c r="MY133" s="32"/>
      <c r="MZ133" s="32"/>
      <c r="NA133" s="32"/>
      <c r="NB133" s="32"/>
      <c r="NC133" s="32"/>
      <c r="ND133" s="32"/>
      <c r="NE133" s="32"/>
      <c r="NF133" s="32"/>
      <c r="NG133" s="32"/>
      <c r="NH133" s="32"/>
      <c r="NI133" s="32"/>
      <c r="NJ133" s="32"/>
      <c r="NK133" s="32"/>
      <c r="NL133" s="32"/>
      <c r="NM133" s="32"/>
      <c r="NN133" s="32"/>
      <c r="NO133" s="32"/>
      <c r="NP133" s="32"/>
      <c r="NQ133" s="32"/>
      <c r="NR133" s="32"/>
      <c r="NS133" s="32"/>
      <c r="NT133" s="32"/>
      <c r="NU133" s="32"/>
      <c r="NV133" s="32"/>
      <c r="NW133" s="32"/>
      <c r="NX133" s="32"/>
      <c r="NY133" s="32"/>
      <c r="NZ133" s="32"/>
      <c r="OA133" s="32"/>
      <c r="OB133" s="32"/>
      <c r="OC133" s="32"/>
      <c r="OD133" s="32"/>
      <c r="OE133" s="32"/>
      <c r="OF133" s="32"/>
      <c r="OG133" s="32"/>
      <c r="OH133" s="32"/>
      <c r="OI133" s="32"/>
      <c r="OJ133" s="32"/>
      <c r="OK133" s="32"/>
      <c r="OL133" s="32"/>
      <c r="OM133" s="32"/>
      <c r="ON133" s="32"/>
      <c r="OO133" s="32"/>
      <c r="OP133" s="32"/>
      <c r="OQ133" s="32"/>
      <c r="OR133" s="32"/>
      <c r="OS133" s="32"/>
      <c r="OT133" s="32"/>
      <c r="OU133" s="32"/>
      <c r="OV133" s="32"/>
      <c r="OW133" s="32"/>
      <c r="OX133" s="32"/>
      <c r="OY133" s="32"/>
      <c r="OZ133" s="32"/>
      <c r="PA133" s="32"/>
      <c r="PB133" s="32"/>
      <c r="PC133" s="32"/>
      <c r="PD133" s="32"/>
      <c r="PE133" s="32"/>
      <c r="PF133" s="32"/>
      <c r="PG133" s="32"/>
      <c r="PH133" s="32"/>
      <c r="PI133" s="32"/>
      <c r="PJ133" s="32"/>
      <c r="PK133" s="32"/>
      <c r="PL133" s="32"/>
      <c r="PM133" s="32"/>
      <c r="PN133" s="32"/>
      <c r="PO133" s="32"/>
      <c r="PP133" s="32"/>
      <c r="PQ133" s="32"/>
      <c r="PR133" s="32"/>
      <c r="PS133" s="32"/>
      <c r="PT133" s="32"/>
      <c r="PU133" s="32"/>
      <c r="PV133" s="32"/>
      <c r="PW133" s="32"/>
      <c r="PX133" s="32"/>
      <c r="PY133" s="32"/>
      <c r="PZ133" s="32"/>
      <c r="QA133" s="32"/>
      <c r="QB133" s="32"/>
      <c r="QC133" s="32"/>
      <c r="QD133" s="32"/>
      <c r="QE133" s="32"/>
      <c r="QF133" s="32"/>
      <c r="QG133" s="32"/>
      <c r="QH133" s="32"/>
      <c r="QI133" s="32"/>
      <c r="QJ133" s="32"/>
      <c r="QK133" s="32"/>
      <c r="QL133" s="32"/>
      <c r="QM133" s="32"/>
      <c r="QN133" s="32"/>
      <c r="QO133" s="32"/>
      <c r="QP133" s="32"/>
      <c r="QQ133" s="32"/>
      <c r="QR133" s="32"/>
      <c r="QS133" s="32"/>
      <c r="QT133" s="32"/>
      <c r="QU133" s="32"/>
      <c r="QV133" s="32"/>
      <c r="QW133" s="32"/>
      <c r="QX133" s="32"/>
      <c r="QY133" s="32"/>
      <c r="QZ133" s="32"/>
      <c r="RA133" s="32"/>
      <c r="RB133" s="32"/>
      <c r="RC133" s="32"/>
      <c r="RD133" s="32"/>
      <c r="RE133" s="32"/>
      <c r="RF133" s="32"/>
      <c r="RG133" s="32"/>
      <c r="RH133" s="32"/>
      <c r="RI133" s="32"/>
      <c r="RJ133" s="32"/>
      <c r="RK133" s="32"/>
      <c r="RL133" s="32"/>
      <c r="RM133" s="32"/>
      <c r="RN133" s="32"/>
      <c r="RO133" s="32"/>
      <c r="RP133" s="32"/>
      <c r="RQ133" s="32"/>
      <c r="RR133" s="32"/>
      <c r="RS133" s="32"/>
      <c r="RT133" s="32"/>
      <c r="RU133" s="32"/>
      <c r="RV133" s="32"/>
      <c r="RW133" s="32"/>
      <c r="RX133" s="32"/>
      <c r="RY133" s="32"/>
      <c r="RZ133" s="32"/>
      <c r="SA133" s="32"/>
      <c r="SB133" s="32"/>
      <c r="SC133" s="32"/>
      <c r="SD133" s="32"/>
      <c r="SE133" s="32"/>
      <c r="SF133" s="32"/>
      <c r="SG133" s="32"/>
      <c r="SH133" s="32"/>
      <c r="SI133" s="32"/>
      <c r="SJ133" s="32"/>
      <c r="SK133" s="32"/>
      <c r="SL133" s="32"/>
      <c r="SM133" s="32"/>
      <c r="SN133" s="32"/>
      <c r="SO133" s="32"/>
      <c r="SP133" s="32"/>
      <c r="SQ133" s="32"/>
      <c r="SR133" s="32"/>
      <c r="SS133" s="32"/>
      <c r="ST133" s="32"/>
      <c r="SU133" s="32"/>
      <c r="SV133" s="32"/>
      <c r="SW133" s="32"/>
      <c r="SX133" s="32"/>
      <c r="SY133" s="32"/>
      <c r="SZ133" s="32"/>
      <c r="TA133" s="32"/>
      <c r="TB133" s="32"/>
      <c r="TC133" s="32"/>
      <c r="TD133" s="32"/>
      <c r="TE133" s="32"/>
    </row>
    <row r="134" spans="1:525" s="34" customFormat="1" ht="33" customHeight="1" x14ac:dyDescent="0.25">
      <c r="A134" s="86" t="s">
        <v>167</v>
      </c>
      <c r="B134" s="95"/>
      <c r="C134" s="95"/>
      <c r="D134" s="70" t="s">
        <v>588</v>
      </c>
      <c r="E134" s="138">
        <f>E142+E143+E148+E151+E153+E155+E158+E159+E160+E161+E162+E164+E166+E167+E147+E150+E168</f>
        <v>105570400</v>
      </c>
      <c r="F134" s="138">
        <f t="shared" ref="F134:P134" si="46">F142+F143+F148+F151+F153+F155+F158+F159+F160+F161+F162+F164+F166+F167+F147+F150+F168</f>
        <v>105570400</v>
      </c>
      <c r="G134" s="138">
        <f t="shared" si="46"/>
        <v>4570300</v>
      </c>
      <c r="H134" s="138">
        <f t="shared" si="46"/>
        <v>215900</v>
      </c>
      <c r="I134" s="138">
        <f t="shared" si="46"/>
        <v>0</v>
      </c>
      <c r="J134" s="138">
        <f t="shared" si="46"/>
        <v>87907200</v>
      </c>
      <c r="K134" s="138">
        <f t="shared" si="46"/>
        <v>87907200</v>
      </c>
      <c r="L134" s="138">
        <f t="shared" si="46"/>
        <v>0</v>
      </c>
      <c r="M134" s="138">
        <f t="shared" si="46"/>
        <v>0</v>
      </c>
      <c r="N134" s="138">
        <f t="shared" si="46"/>
        <v>0</v>
      </c>
      <c r="O134" s="138">
        <f t="shared" si="46"/>
        <v>87907200</v>
      </c>
      <c r="P134" s="138">
        <f t="shared" si="46"/>
        <v>193477600</v>
      </c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3"/>
      <c r="KM134" s="33"/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3"/>
      <c r="LI134" s="33"/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3"/>
      <c r="ME134" s="33"/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33"/>
      <c r="NA134" s="33"/>
      <c r="NB134" s="33"/>
      <c r="NC134" s="33"/>
      <c r="ND134" s="33"/>
      <c r="NE134" s="33"/>
      <c r="NF134" s="33"/>
      <c r="NG134" s="33"/>
      <c r="NH134" s="33"/>
      <c r="NI134" s="33"/>
      <c r="NJ134" s="33"/>
      <c r="NK134" s="33"/>
      <c r="NL134" s="33"/>
      <c r="NM134" s="33"/>
      <c r="NN134" s="33"/>
      <c r="NO134" s="33"/>
      <c r="NP134" s="33"/>
      <c r="NQ134" s="33"/>
      <c r="NR134" s="33"/>
      <c r="NS134" s="33"/>
      <c r="NT134" s="33"/>
      <c r="NU134" s="33"/>
      <c r="NV134" s="33"/>
      <c r="NW134" s="33"/>
      <c r="NX134" s="33"/>
      <c r="NY134" s="33"/>
      <c r="NZ134" s="33"/>
      <c r="OA134" s="33"/>
      <c r="OB134" s="33"/>
      <c r="OC134" s="33"/>
      <c r="OD134" s="33"/>
      <c r="OE134" s="33"/>
      <c r="OF134" s="33"/>
      <c r="OG134" s="33"/>
      <c r="OH134" s="33"/>
      <c r="OI134" s="33"/>
      <c r="OJ134" s="33"/>
      <c r="OK134" s="33"/>
      <c r="OL134" s="33"/>
      <c r="OM134" s="33"/>
      <c r="ON134" s="33"/>
      <c r="OO134" s="33"/>
      <c r="OP134" s="33"/>
      <c r="OQ134" s="33"/>
      <c r="OR134" s="33"/>
      <c r="OS134" s="33"/>
      <c r="OT134" s="33"/>
      <c r="OU134" s="33"/>
      <c r="OV134" s="33"/>
      <c r="OW134" s="33"/>
      <c r="OX134" s="33"/>
      <c r="OY134" s="33"/>
      <c r="OZ134" s="33"/>
      <c r="PA134" s="33"/>
      <c r="PB134" s="33"/>
      <c r="PC134" s="33"/>
      <c r="PD134" s="33"/>
      <c r="PE134" s="33"/>
      <c r="PF134" s="33"/>
      <c r="PG134" s="33"/>
      <c r="PH134" s="33"/>
      <c r="PI134" s="33"/>
      <c r="PJ134" s="33"/>
      <c r="PK134" s="33"/>
      <c r="PL134" s="33"/>
      <c r="PM134" s="33"/>
      <c r="PN134" s="33"/>
      <c r="PO134" s="33"/>
      <c r="PP134" s="33"/>
      <c r="PQ134" s="33"/>
      <c r="PR134" s="33"/>
      <c r="PS134" s="33"/>
      <c r="PT134" s="33"/>
      <c r="PU134" s="33"/>
      <c r="PV134" s="33"/>
      <c r="PW134" s="33"/>
      <c r="PX134" s="33"/>
      <c r="PY134" s="33"/>
      <c r="PZ134" s="33"/>
      <c r="QA134" s="33"/>
      <c r="QB134" s="33"/>
      <c r="QC134" s="33"/>
      <c r="QD134" s="33"/>
      <c r="QE134" s="33"/>
      <c r="QF134" s="33"/>
      <c r="QG134" s="33"/>
      <c r="QH134" s="33"/>
      <c r="QI134" s="33"/>
      <c r="QJ134" s="33"/>
      <c r="QK134" s="33"/>
      <c r="QL134" s="33"/>
      <c r="QM134" s="33"/>
      <c r="QN134" s="33"/>
      <c r="QO134" s="33"/>
      <c r="QP134" s="33"/>
      <c r="QQ134" s="33"/>
      <c r="QR134" s="33"/>
      <c r="QS134" s="33"/>
      <c r="QT134" s="33"/>
      <c r="QU134" s="33"/>
      <c r="QV134" s="33"/>
      <c r="QW134" s="33"/>
      <c r="QX134" s="33"/>
      <c r="QY134" s="33"/>
      <c r="QZ134" s="33"/>
      <c r="RA134" s="33"/>
      <c r="RB134" s="33"/>
      <c r="RC134" s="33"/>
      <c r="RD134" s="33"/>
      <c r="RE134" s="33"/>
      <c r="RF134" s="33"/>
      <c r="RG134" s="33"/>
      <c r="RH134" s="33"/>
      <c r="RI134" s="33"/>
      <c r="RJ134" s="33"/>
      <c r="RK134" s="33"/>
      <c r="RL134" s="33"/>
      <c r="RM134" s="33"/>
      <c r="RN134" s="33"/>
      <c r="RO134" s="33"/>
      <c r="RP134" s="33"/>
      <c r="RQ134" s="33"/>
      <c r="RR134" s="33"/>
      <c r="RS134" s="33"/>
      <c r="RT134" s="33"/>
      <c r="RU134" s="33"/>
      <c r="RV134" s="33"/>
      <c r="RW134" s="33"/>
      <c r="RX134" s="33"/>
      <c r="RY134" s="33"/>
      <c r="RZ134" s="33"/>
      <c r="SA134" s="33"/>
      <c r="SB134" s="33"/>
      <c r="SC134" s="33"/>
      <c r="SD134" s="33"/>
      <c r="SE134" s="33"/>
      <c r="SF134" s="33"/>
      <c r="SG134" s="33"/>
      <c r="SH134" s="33"/>
      <c r="SI134" s="33"/>
      <c r="SJ134" s="33"/>
      <c r="SK134" s="33"/>
      <c r="SL134" s="33"/>
      <c r="SM134" s="33"/>
      <c r="SN134" s="33"/>
      <c r="SO134" s="33"/>
      <c r="SP134" s="33"/>
      <c r="SQ134" s="33"/>
      <c r="SR134" s="33"/>
      <c r="SS134" s="33"/>
      <c r="ST134" s="33"/>
      <c r="SU134" s="33"/>
      <c r="SV134" s="33"/>
      <c r="SW134" s="33"/>
      <c r="SX134" s="33"/>
      <c r="SY134" s="33"/>
      <c r="SZ134" s="33"/>
      <c r="TA134" s="33"/>
      <c r="TB134" s="33"/>
      <c r="TC134" s="33"/>
      <c r="TD134" s="33"/>
      <c r="TE134" s="33"/>
    </row>
    <row r="135" spans="1:525" s="34" customFormat="1" ht="31.5" hidden="1" customHeight="1" x14ac:dyDescent="0.25">
      <c r="A135" s="86"/>
      <c r="B135" s="95"/>
      <c r="C135" s="95"/>
      <c r="D135" s="70" t="s">
        <v>385</v>
      </c>
      <c r="E135" s="138">
        <f>E144+E149+E152</f>
        <v>0</v>
      </c>
      <c r="F135" s="138">
        <f t="shared" ref="F135:P135" si="47">F144+F149+F152</f>
        <v>0</v>
      </c>
      <c r="G135" s="138">
        <f t="shared" si="47"/>
        <v>0</v>
      </c>
      <c r="H135" s="138">
        <f t="shared" si="47"/>
        <v>0</v>
      </c>
      <c r="I135" s="138">
        <f t="shared" si="47"/>
        <v>0</v>
      </c>
      <c r="J135" s="138">
        <f t="shared" si="47"/>
        <v>0</v>
      </c>
      <c r="K135" s="138">
        <f t="shared" si="47"/>
        <v>0</v>
      </c>
      <c r="L135" s="138">
        <f t="shared" si="47"/>
        <v>0</v>
      </c>
      <c r="M135" s="138">
        <f t="shared" si="47"/>
        <v>0</v>
      </c>
      <c r="N135" s="138">
        <f t="shared" si="47"/>
        <v>0</v>
      </c>
      <c r="O135" s="138">
        <f t="shared" si="47"/>
        <v>0</v>
      </c>
      <c r="P135" s="138">
        <f t="shared" si="47"/>
        <v>0</v>
      </c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</row>
    <row r="136" spans="1:525" s="34" customFormat="1" ht="63" hidden="1" customHeight="1" x14ac:dyDescent="0.25">
      <c r="A136" s="86"/>
      <c r="B136" s="95"/>
      <c r="C136" s="95"/>
      <c r="D136" s="70" t="s">
        <v>383</v>
      </c>
      <c r="E136" s="138">
        <f>E163</f>
        <v>0</v>
      </c>
      <c r="F136" s="138">
        <f>F163</f>
        <v>0</v>
      </c>
      <c r="G136" s="138">
        <f t="shared" ref="G136:I136" si="48">G163</f>
        <v>0</v>
      </c>
      <c r="H136" s="138">
        <f t="shared" si="48"/>
        <v>0</v>
      </c>
      <c r="I136" s="138">
        <f t="shared" si="48"/>
        <v>0</v>
      </c>
      <c r="J136" s="138">
        <f>J163</f>
        <v>0</v>
      </c>
      <c r="K136" s="138">
        <f t="shared" ref="K136:P136" si="49">K163</f>
        <v>0</v>
      </c>
      <c r="L136" s="138">
        <f t="shared" si="49"/>
        <v>0</v>
      </c>
      <c r="M136" s="138">
        <f t="shared" si="49"/>
        <v>0</v>
      </c>
      <c r="N136" s="138">
        <f t="shared" si="49"/>
        <v>0</v>
      </c>
      <c r="O136" s="138">
        <f t="shared" si="49"/>
        <v>0</v>
      </c>
      <c r="P136" s="138">
        <f t="shared" si="49"/>
        <v>0</v>
      </c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</row>
    <row r="137" spans="1:525" s="34" customFormat="1" ht="47.25" hidden="1" customHeight="1" x14ac:dyDescent="0.25">
      <c r="A137" s="86"/>
      <c r="B137" s="95"/>
      <c r="C137" s="95"/>
      <c r="D137" s="70" t="s">
        <v>386</v>
      </c>
      <c r="E137" s="138">
        <f>E145+E156</f>
        <v>0</v>
      </c>
      <c r="F137" s="138">
        <f t="shared" ref="F137:P137" si="50">F145+F156</f>
        <v>0</v>
      </c>
      <c r="G137" s="138">
        <f t="shared" si="50"/>
        <v>0</v>
      </c>
      <c r="H137" s="138">
        <f t="shared" si="50"/>
        <v>0</v>
      </c>
      <c r="I137" s="138">
        <f t="shared" si="50"/>
        <v>0</v>
      </c>
      <c r="J137" s="138">
        <f t="shared" si="50"/>
        <v>0</v>
      </c>
      <c r="K137" s="138">
        <f t="shared" si="50"/>
        <v>0</v>
      </c>
      <c r="L137" s="138">
        <f t="shared" si="50"/>
        <v>0</v>
      </c>
      <c r="M137" s="138">
        <f t="shared" si="50"/>
        <v>0</v>
      </c>
      <c r="N137" s="138">
        <f t="shared" si="50"/>
        <v>0</v>
      </c>
      <c r="O137" s="138">
        <f t="shared" si="50"/>
        <v>0</v>
      </c>
      <c r="P137" s="138">
        <f t="shared" si="50"/>
        <v>0</v>
      </c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3"/>
      <c r="KM137" s="33"/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3"/>
      <c r="LI137" s="33"/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3"/>
      <c r="ME137" s="33"/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33"/>
      <c r="NA137" s="33"/>
      <c r="NB137" s="33"/>
      <c r="NC137" s="33"/>
      <c r="ND137" s="33"/>
      <c r="NE137" s="33"/>
      <c r="NF137" s="33"/>
      <c r="NG137" s="33"/>
      <c r="NH137" s="33"/>
      <c r="NI137" s="33"/>
      <c r="NJ137" s="33"/>
      <c r="NK137" s="33"/>
      <c r="NL137" s="33"/>
      <c r="NM137" s="33"/>
      <c r="NN137" s="33"/>
      <c r="NO137" s="33"/>
      <c r="NP137" s="33"/>
      <c r="NQ137" s="33"/>
      <c r="NR137" s="33"/>
      <c r="NS137" s="33"/>
      <c r="NT137" s="33"/>
      <c r="NU137" s="33"/>
      <c r="NV137" s="33"/>
      <c r="NW137" s="33"/>
      <c r="NX137" s="33"/>
      <c r="NY137" s="33"/>
      <c r="NZ137" s="33"/>
      <c r="OA137" s="33"/>
      <c r="OB137" s="33"/>
      <c r="OC137" s="33"/>
      <c r="OD137" s="33"/>
      <c r="OE137" s="33"/>
      <c r="OF137" s="33"/>
      <c r="OG137" s="33"/>
      <c r="OH137" s="33"/>
      <c r="OI137" s="33"/>
      <c r="OJ137" s="33"/>
      <c r="OK137" s="33"/>
      <c r="OL137" s="33"/>
      <c r="OM137" s="33"/>
      <c r="ON137" s="33"/>
      <c r="OO137" s="33"/>
      <c r="OP137" s="33"/>
      <c r="OQ137" s="33"/>
      <c r="OR137" s="33"/>
      <c r="OS137" s="33"/>
      <c r="OT137" s="33"/>
      <c r="OU137" s="33"/>
      <c r="OV137" s="33"/>
      <c r="OW137" s="33"/>
      <c r="OX137" s="33"/>
      <c r="OY137" s="33"/>
      <c r="OZ137" s="33"/>
      <c r="PA137" s="33"/>
      <c r="PB137" s="33"/>
      <c r="PC137" s="33"/>
      <c r="PD137" s="33"/>
      <c r="PE137" s="33"/>
      <c r="PF137" s="33"/>
      <c r="PG137" s="33"/>
      <c r="PH137" s="33"/>
      <c r="PI137" s="33"/>
      <c r="PJ137" s="33"/>
      <c r="PK137" s="33"/>
      <c r="PL137" s="33"/>
      <c r="PM137" s="33"/>
      <c r="PN137" s="33"/>
      <c r="PO137" s="33"/>
      <c r="PP137" s="33"/>
      <c r="PQ137" s="33"/>
      <c r="PR137" s="33"/>
      <c r="PS137" s="33"/>
      <c r="PT137" s="33"/>
      <c r="PU137" s="33"/>
      <c r="PV137" s="33"/>
      <c r="PW137" s="33"/>
      <c r="PX137" s="33"/>
      <c r="PY137" s="33"/>
      <c r="PZ137" s="33"/>
      <c r="QA137" s="33"/>
      <c r="QB137" s="33"/>
      <c r="QC137" s="33"/>
      <c r="QD137" s="33"/>
      <c r="QE137" s="33"/>
      <c r="QF137" s="33"/>
      <c r="QG137" s="33"/>
      <c r="QH137" s="33"/>
      <c r="QI137" s="33"/>
      <c r="QJ137" s="33"/>
      <c r="QK137" s="33"/>
      <c r="QL137" s="33"/>
      <c r="QM137" s="33"/>
      <c r="QN137" s="33"/>
      <c r="QO137" s="33"/>
      <c r="QP137" s="33"/>
      <c r="QQ137" s="33"/>
      <c r="QR137" s="33"/>
      <c r="QS137" s="33"/>
      <c r="QT137" s="33"/>
      <c r="QU137" s="33"/>
      <c r="QV137" s="33"/>
      <c r="QW137" s="33"/>
      <c r="QX137" s="33"/>
      <c r="QY137" s="33"/>
      <c r="QZ137" s="33"/>
      <c r="RA137" s="33"/>
      <c r="RB137" s="33"/>
      <c r="RC137" s="33"/>
      <c r="RD137" s="33"/>
      <c r="RE137" s="33"/>
      <c r="RF137" s="33"/>
      <c r="RG137" s="33"/>
      <c r="RH137" s="33"/>
      <c r="RI137" s="33"/>
      <c r="RJ137" s="33"/>
      <c r="RK137" s="33"/>
      <c r="RL137" s="33"/>
      <c r="RM137" s="33"/>
      <c r="RN137" s="33"/>
      <c r="RO137" s="33"/>
      <c r="RP137" s="33"/>
      <c r="RQ137" s="33"/>
      <c r="RR137" s="33"/>
      <c r="RS137" s="33"/>
      <c r="RT137" s="33"/>
      <c r="RU137" s="33"/>
      <c r="RV137" s="33"/>
      <c r="RW137" s="33"/>
      <c r="RX137" s="33"/>
      <c r="RY137" s="33"/>
      <c r="RZ137" s="33"/>
      <c r="SA137" s="33"/>
      <c r="SB137" s="33"/>
      <c r="SC137" s="33"/>
      <c r="SD137" s="33"/>
      <c r="SE137" s="33"/>
      <c r="SF137" s="33"/>
      <c r="SG137" s="33"/>
      <c r="SH137" s="33"/>
      <c r="SI137" s="33"/>
      <c r="SJ137" s="33"/>
      <c r="SK137" s="33"/>
      <c r="SL137" s="33"/>
      <c r="SM137" s="33"/>
      <c r="SN137" s="33"/>
      <c r="SO137" s="33"/>
      <c r="SP137" s="33"/>
      <c r="SQ137" s="33"/>
      <c r="SR137" s="33"/>
      <c r="SS137" s="33"/>
      <c r="ST137" s="33"/>
      <c r="SU137" s="33"/>
      <c r="SV137" s="33"/>
      <c r="SW137" s="33"/>
      <c r="SX137" s="33"/>
      <c r="SY137" s="33"/>
      <c r="SZ137" s="33"/>
      <c r="TA137" s="33"/>
      <c r="TB137" s="33"/>
      <c r="TC137" s="33"/>
      <c r="TD137" s="33"/>
      <c r="TE137" s="33"/>
    </row>
    <row r="138" spans="1:525" s="34" customFormat="1" ht="63" hidden="1" customHeight="1" x14ac:dyDescent="0.25">
      <c r="A138" s="86"/>
      <c r="B138" s="95"/>
      <c r="C138" s="95"/>
      <c r="D138" s="70" t="s">
        <v>387</v>
      </c>
      <c r="E138" s="138">
        <f>E154+E157</f>
        <v>0</v>
      </c>
      <c r="F138" s="138">
        <f>F154+F157</f>
        <v>0</v>
      </c>
      <c r="G138" s="138">
        <f t="shared" ref="G138:P138" si="51">G154+G157</f>
        <v>0</v>
      </c>
      <c r="H138" s="138">
        <f t="shared" si="51"/>
        <v>0</v>
      </c>
      <c r="I138" s="138">
        <f t="shared" si="51"/>
        <v>0</v>
      </c>
      <c r="J138" s="138">
        <f t="shared" si="51"/>
        <v>0</v>
      </c>
      <c r="K138" s="138">
        <f>K154+K157</f>
        <v>0</v>
      </c>
      <c r="L138" s="138">
        <f t="shared" si="51"/>
        <v>0</v>
      </c>
      <c r="M138" s="138">
        <f t="shared" si="51"/>
        <v>0</v>
      </c>
      <c r="N138" s="138">
        <f t="shared" si="51"/>
        <v>0</v>
      </c>
      <c r="O138" s="138">
        <f t="shared" si="51"/>
        <v>0</v>
      </c>
      <c r="P138" s="138">
        <f t="shared" si="51"/>
        <v>0</v>
      </c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  <c r="IW138" s="33"/>
      <c r="IX138" s="33"/>
      <c r="IY138" s="33"/>
      <c r="IZ138" s="33"/>
      <c r="JA138" s="33"/>
      <c r="JB138" s="33"/>
      <c r="JC138" s="33"/>
      <c r="JD138" s="33"/>
      <c r="JE138" s="33"/>
      <c r="JF138" s="33"/>
      <c r="JG138" s="33"/>
      <c r="JH138" s="33"/>
      <c r="JI138" s="33"/>
      <c r="JJ138" s="33"/>
      <c r="JK138" s="33"/>
      <c r="JL138" s="33"/>
      <c r="JM138" s="33"/>
      <c r="JN138" s="33"/>
      <c r="JO138" s="33"/>
      <c r="JP138" s="33"/>
      <c r="JQ138" s="33"/>
      <c r="JR138" s="33"/>
      <c r="JS138" s="33"/>
      <c r="JT138" s="33"/>
      <c r="JU138" s="33"/>
      <c r="JV138" s="33"/>
      <c r="JW138" s="33"/>
      <c r="JX138" s="33"/>
      <c r="JY138" s="33"/>
      <c r="JZ138" s="33"/>
      <c r="KA138" s="33"/>
      <c r="KB138" s="33"/>
      <c r="KC138" s="33"/>
      <c r="KD138" s="33"/>
      <c r="KE138" s="33"/>
      <c r="KF138" s="33"/>
      <c r="KG138" s="33"/>
      <c r="KH138" s="33"/>
      <c r="KI138" s="33"/>
      <c r="KJ138" s="33"/>
      <c r="KK138" s="33"/>
      <c r="KL138" s="33"/>
      <c r="KM138" s="33"/>
      <c r="KN138" s="33"/>
      <c r="KO138" s="33"/>
      <c r="KP138" s="33"/>
      <c r="KQ138" s="33"/>
      <c r="KR138" s="33"/>
      <c r="KS138" s="33"/>
      <c r="KT138" s="33"/>
      <c r="KU138" s="33"/>
      <c r="KV138" s="33"/>
      <c r="KW138" s="33"/>
      <c r="KX138" s="33"/>
      <c r="KY138" s="33"/>
      <c r="KZ138" s="33"/>
      <c r="LA138" s="33"/>
      <c r="LB138" s="33"/>
      <c r="LC138" s="33"/>
      <c r="LD138" s="33"/>
      <c r="LE138" s="33"/>
      <c r="LF138" s="33"/>
      <c r="LG138" s="33"/>
      <c r="LH138" s="33"/>
      <c r="LI138" s="33"/>
      <c r="LJ138" s="33"/>
      <c r="LK138" s="33"/>
      <c r="LL138" s="33"/>
      <c r="LM138" s="33"/>
      <c r="LN138" s="33"/>
      <c r="LO138" s="33"/>
      <c r="LP138" s="33"/>
      <c r="LQ138" s="33"/>
      <c r="LR138" s="33"/>
      <c r="LS138" s="33"/>
      <c r="LT138" s="33"/>
      <c r="LU138" s="33"/>
      <c r="LV138" s="33"/>
      <c r="LW138" s="33"/>
      <c r="LX138" s="33"/>
      <c r="LY138" s="33"/>
      <c r="LZ138" s="33"/>
      <c r="MA138" s="33"/>
      <c r="MB138" s="33"/>
      <c r="MC138" s="33"/>
      <c r="MD138" s="33"/>
      <c r="ME138" s="33"/>
      <c r="MF138" s="33"/>
      <c r="MG138" s="33"/>
      <c r="MH138" s="33"/>
      <c r="MI138" s="33"/>
      <c r="MJ138" s="33"/>
      <c r="MK138" s="33"/>
      <c r="ML138" s="33"/>
      <c r="MM138" s="33"/>
      <c r="MN138" s="33"/>
      <c r="MO138" s="33"/>
      <c r="MP138" s="33"/>
      <c r="MQ138" s="33"/>
      <c r="MR138" s="33"/>
      <c r="MS138" s="33"/>
      <c r="MT138" s="33"/>
      <c r="MU138" s="33"/>
      <c r="MV138" s="33"/>
      <c r="MW138" s="33"/>
      <c r="MX138" s="33"/>
      <c r="MY138" s="33"/>
      <c r="MZ138" s="33"/>
      <c r="NA138" s="33"/>
      <c r="NB138" s="33"/>
      <c r="NC138" s="33"/>
      <c r="ND138" s="33"/>
      <c r="NE138" s="33"/>
      <c r="NF138" s="33"/>
      <c r="NG138" s="33"/>
      <c r="NH138" s="33"/>
      <c r="NI138" s="33"/>
      <c r="NJ138" s="33"/>
      <c r="NK138" s="33"/>
      <c r="NL138" s="33"/>
      <c r="NM138" s="33"/>
      <c r="NN138" s="33"/>
      <c r="NO138" s="33"/>
      <c r="NP138" s="33"/>
      <c r="NQ138" s="33"/>
      <c r="NR138" s="33"/>
      <c r="NS138" s="33"/>
      <c r="NT138" s="33"/>
      <c r="NU138" s="33"/>
      <c r="NV138" s="33"/>
      <c r="NW138" s="33"/>
      <c r="NX138" s="33"/>
      <c r="NY138" s="33"/>
      <c r="NZ138" s="33"/>
      <c r="OA138" s="33"/>
      <c r="OB138" s="33"/>
      <c r="OC138" s="33"/>
      <c r="OD138" s="33"/>
      <c r="OE138" s="33"/>
      <c r="OF138" s="33"/>
      <c r="OG138" s="33"/>
      <c r="OH138" s="33"/>
      <c r="OI138" s="33"/>
      <c r="OJ138" s="33"/>
      <c r="OK138" s="33"/>
      <c r="OL138" s="33"/>
      <c r="OM138" s="33"/>
      <c r="ON138" s="33"/>
      <c r="OO138" s="33"/>
      <c r="OP138" s="33"/>
      <c r="OQ138" s="33"/>
      <c r="OR138" s="33"/>
      <c r="OS138" s="33"/>
      <c r="OT138" s="33"/>
      <c r="OU138" s="33"/>
      <c r="OV138" s="33"/>
      <c r="OW138" s="33"/>
      <c r="OX138" s="33"/>
      <c r="OY138" s="33"/>
      <c r="OZ138" s="33"/>
      <c r="PA138" s="33"/>
      <c r="PB138" s="33"/>
      <c r="PC138" s="33"/>
      <c r="PD138" s="33"/>
      <c r="PE138" s="33"/>
      <c r="PF138" s="33"/>
      <c r="PG138" s="33"/>
      <c r="PH138" s="33"/>
      <c r="PI138" s="33"/>
      <c r="PJ138" s="33"/>
      <c r="PK138" s="33"/>
      <c r="PL138" s="33"/>
      <c r="PM138" s="33"/>
      <c r="PN138" s="33"/>
      <c r="PO138" s="33"/>
      <c r="PP138" s="33"/>
      <c r="PQ138" s="33"/>
      <c r="PR138" s="33"/>
      <c r="PS138" s="33"/>
      <c r="PT138" s="33"/>
      <c r="PU138" s="33"/>
      <c r="PV138" s="33"/>
      <c r="PW138" s="33"/>
      <c r="PX138" s="33"/>
      <c r="PY138" s="33"/>
      <c r="PZ138" s="33"/>
      <c r="QA138" s="33"/>
      <c r="QB138" s="33"/>
      <c r="QC138" s="33"/>
      <c r="QD138" s="33"/>
      <c r="QE138" s="33"/>
      <c r="QF138" s="33"/>
      <c r="QG138" s="33"/>
      <c r="QH138" s="33"/>
      <c r="QI138" s="33"/>
      <c r="QJ138" s="33"/>
      <c r="QK138" s="33"/>
      <c r="QL138" s="33"/>
      <c r="QM138" s="33"/>
      <c r="QN138" s="33"/>
      <c r="QO138" s="33"/>
      <c r="QP138" s="33"/>
      <c r="QQ138" s="33"/>
      <c r="QR138" s="33"/>
      <c r="QS138" s="33"/>
      <c r="QT138" s="33"/>
      <c r="QU138" s="33"/>
      <c r="QV138" s="33"/>
      <c r="QW138" s="33"/>
      <c r="QX138" s="33"/>
      <c r="QY138" s="33"/>
      <c r="QZ138" s="33"/>
      <c r="RA138" s="33"/>
      <c r="RB138" s="33"/>
      <c r="RC138" s="33"/>
      <c r="RD138" s="33"/>
      <c r="RE138" s="33"/>
      <c r="RF138" s="33"/>
      <c r="RG138" s="33"/>
      <c r="RH138" s="33"/>
      <c r="RI138" s="33"/>
      <c r="RJ138" s="33"/>
      <c r="RK138" s="33"/>
      <c r="RL138" s="33"/>
      <c r="RM138" s="33"/>
      <c r="RN138" s="33"/>
      <c r="RO138" s="33"/>
      <c r="RP138" s="33"/>
      <c r="RQ138" s="33"/>
      <c r="RR138" s="33"/>
      <c r="RS138" s="33"/>
      <c r="RT138" s="33"/>
      <c r="RU138" s="33"/>
      <c r="RV138" s="33"/>
      <c r="RW138" s="33"/>
      <c r="RX138" s="33"/>
      <c r="RY138" s="33"/>
      <c r="RZ138" s="33"/>
      <c r="SA138" s="33"/>
      <c r="SB138" s="33"/>
      <c r="SC138" s="33"/>
      <c r="SD138" s="33"/>
      <c r="SE138" s="33"/>
      <c r="SF138" s="33"/>
      <c r="SG138" s="33"/>
      <c r="SH138" s="33"/>
      <c r="SI138" s="33"/>
      <c r="SJ138" s="33"/>
      <c r="SK138" s="33"/>
      <c r="SL138" s="33"/>
      <c r="SM138" s="33"/>
      <c r="SN138" s="33"/>
      <c r="SO138" s="33"/>
      <c r="SP138" s="33"/>
      <c r="SQ138" s="33"/>
      <c r="SR138" s="33"/>
      <c r="SS138" s="33"/>
      <c r="ST138" s="33"/>
      <c r="SU138" s="33"/>
      <c r="SV138" s="33"/>
      <c r="SW138" s="33"/>
      <c r="SX138" s="33"/>
      <c r="SY138" s="33"/>
      <c r="SZ138" s="33"/>
      <c r="TA138" s="33"/>
      <c r="TB138" s="33"/>
      <c r="TC138" s="33"/>
      <c r="TD138" s="33"/>
      <c r="TE138" s="33"/>
    </row>
    <row r="139" spans="1:525" s="34" customFormat="1" ht="49.5" hidden="1" customHeight="1" x14ac:dyDescent="0.25">
      <c r="A139" s="86"/>
      <c r="B139" s="95"/>
      <c r="C139" s="95"/>
      <c r="D139" s="70" t="s">
        <v>383</v>
      </c>
      <c r="E139" s="138">
        <f>E163</f>
        <v>0</v>
      </c>
      <c r="F139" s="138">
        <f t="shared" ref="F139:P139" si="52">F163</f>
        <v>0</v>
      </c>
      <c r="G139" s="138">
        <f t="shared" si="52"/>
        <v>0</v>
      </c>
      <c r="H139" s="138">
        <f t="shared" si="52"/>
        <v>0</v>
      </c>
      <c r="I139" s="138">
        <f t="shared" si="52"/>
        <v>0</v>
      </c>
      <c r="J139" s="138">
        <f t="shared" si="52"/>
        <v>0</v>
      </c>
      <c r="K139" s="138">
        <f t="shared" si="52"/>
        <v>0</v>
      </c>
      <c r="L139" s="138">
        <f t="shared" si="52"/>
        <v>0</v>
      </c>
      <c r="M139" s="138">
        <f t="shared" si="52"/>
        <v>0</v>
      </c>
      <c r="N139" s="138">
        <f t="shared" si="52"/>
        <v>0</v>
      </c>
      <c r="O139" s="138">
        <f t="shared" si="52"/>
        <v>0</v>
      </c>
      <c r="P139" s="138">
        <f t="shared" si="52"/>
        <v>0</v>
      </c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  <c r="IW139" s="33"/>
      <c r="IX139" s="33"/>
      <c r="IY139" s="33"/>
      <c r="IZ139" s="33"/>
      <c r="JA139" s="33"/>
      <c r="JB139" s="33"/>
      <c r="JC139" s="33"/>
      <c r="JD139" s="33"/>
      <c r="JE139" s="33"/>
      <c r="JF139" s="33"/>
      <c r="JG139" s="33"/>
      <c r="JH139" s="33"/>
      <c r="JI139" s="33"/>
      <c r="JJ139" s="33"/>
      <c r="JK139" s="33"/>
      <c r="JL139" s="33"/>
      <c r="JM139" s="33"/>
      <c r="JN139" s="33"/>
      <c r="JO139" s="33"/>
      <c r="JP139" s="33"/>
      <c r="JQ139" s="33"/>
      <c r="JR139" s="33"/>
      <c r="JS139" s="33"/>
      <c r="JT139" s="33"/>
      <c r="JU139" s="33"/>
      <c r="JV139" s="33"/>
      <c r="JW139" s="33"/>
      <c r="JX139" s="33"/>
      <c r="JY139" s="33"/>
      <c r="JZ139" s="33"/>
      <c r="KA139" s="33"/>
      <c r="KB139" s="33"/>
      <c r="KC139" s="33"/>
      <c r="KD139" s="33"/>
      <c r="KE139" s="33"/>
      <c r="KF139" s="33"/>
      <c r="KG139" s="33"/>
      <c r="KH139" s="33"/>
      <c r="KI139" s="33"/>
      <c r="KJ139" s="33"/>
      <c r="KK139" s="33"/>
      <c r="KL139" s="33"/>
      <c r="KM139" s="33"/>
      <c r="KN139" s="33"/>
      <c r="KO139" s="33"/>
      <c r="KP139" s="33"/>
      <c r="KQ139" s="33"/>
      <c r="KR139" s="33"/>
      <c r="KS139" s="33"/>
      <c r="KT139" s="33"/>
      <c r="KU139" s="33"/>
      <c r="KV139" s="33"/>
      <c r="KW139" s="33"/>
      <c r="KX139" s="33"/>
      <c r="KY139" s="33"/>
      <c r="KZ139" s="33"/>
      <c r="LA139" s="33"/>
      <c r="LB139" s="33"/>
      <c r="LC139" s="33"/>
      <c r="LD139" s="33"/>
      <c r="LE139" s="33"/>
      <c r="LF139" s="33"/>
      <c r="LG139" s="33"/>
      <c r="LH139" s="33"/>
      <c r="LI139" s="33"/>
      <c r="LJ139" s="33"/>
      <c r="LK139" s="33"/>
      <c r="LL139" s="33"/>
      <c r="LM139" s="33"/>
      <c r="LN139" s="33"/>
      <c r="LO139" s="33"/>
      <c r="LP139" s="33"/>
      <c r="LQ139" s="33"/>
      <c r="LR139" s="33"/>
      <c r="LS139" s="33"/>
      <c r="LT139" s="33"/>
      <c r="LU139" s="33"/>
      <c r="LV139" s="33"/>
      <c r="LW139" s="33"/>
      <c r="LX139" s="33"/>
      <c r="LY139" s="33"/>
      <c r="LZ139" s="33"/>
      <c r="MA139" s="33"/>
      <c r="MB139" s="33"/>
      <c r="MC139" s="33"/>
      <c r="MD139" s="33"/>
      <c r="ME139" s="33"/>
      <c r="MF139" s="33"/>
      <c r="MG139" s="33"/>
      <c r="MH139" s="33"/>
      <c r="MI139" s="33"/>
      <c r="MJ139" s="33"/>
      <c r="MK139" s="33"/>
      <c r="ML139" s="33"/>
      <c r="MM139" s="33"/>
      <c r="MN139" s="33"/>
      <c r="MO139" s="33"/>
      <c r="MP139" s="33"/>
      <c r="MQ139" s="33"/>
      <c r="MR139" s="33"/>
      <c r="MS139" s="33"/>
      <c r="MT139" s="33"/>
      <c r="MU139" s="33"/>
      <c r="MV139" s="33"/>
      <c r="MW139" s="33"/>
      <c r="MX139" s="33"/>
      <c r="MY139" s="33"/>
      <c r="MZ139" s="33"/>
      <c r="NA139" s="33"/>
      <c r="NB139" s="33"/>
      <c r="NC139" s="33"/>
      <c r="ND139" s="33"/>
      <c r="NE139" s="33"/>
      <c r="NF139" s="33"/>
      <c r="NG139" s="33"/>
      <c r="NH139" s="33"/>
      <c r="NI139" s="33"/>
      <c r="NJ139" s="33"/>
      <c r="NK139" s="33"/>
      <c r="NL139" s="33"/>
      <c r="NM139" s="33"/>
      <c r="NN139" s="33"/>
      <c r="NO139" s="33"/>
      <c r="NP139" s="33"/>
      <c r="NQ139" s="33"/>
      <c r="NR139" s="33"/>
      <c r="NS139" s="33"/>
      <c r="NT139" s="33"/>
      <c r="NU139" s="33"/>
      <c r="NV139" s="33"/>
      <c r="NW139" s="33"/>
      <c r="NX139" s="33"/>
      <c r="NY139" s="33"/>
      <c r="NZ139" s="33"/>
      <c r="OA139" s="33"/>
      <c r="OB139" s="33"/>
      <c r="OC139" s="33"/>
      <c r="OD139" s="33"/>
      <c r="OE139" s="33"/>
      <c r="OF139" s="33"/>
      <c r="OG139" s="33"/>
      <c r="OH139" s="33"/>
      <c r="OI139" s="33"/>
      <c r="OJ139" s="33"/>
      <c r="OK139" s="33"/>
      <c r="OL139" s="33"/>
      <c r="OM139" s="33"/>
      <c r="ON139" s="33"/>
      <c r="OO139" s="33"/>
      <c r="OP139" s="33"/>
      <c r="OQ139" s="33"/>
      <c r="OR139" s="33"/>
      <c r="OS139" s="33"/>
      <c r="OT139" s="33"/>
      <c r="OU139" s="33"/>
      <c r="OV139" s="33"/>
      <c r="OW139" s="33"/>
      <c r="OX139" s="33"/>
      <c r="OY139" s="33"/>
      <c r="OZ139" s="33"/>
      <c r="PA139" s="33"/>
      <c r="PB139" s="33"/>
      <c r="PC139" s="33"/>
      <c r="PD139" s="33"/>
      <c r="PE139" s="33"/>
      <c r="PF139" s="33"/>
      <c r="PG139" s="33"/>
      <c r="PH139" s="33"/>
      <c r="PI139" s="33"/>
      <c r="PJ139" s="33"/>
      <c r="PK139" s="33"/>
      <c r="PL139" s="33"/>
      <c r="PM139" s="33"/>
      <c r="PN139" s="33"/>
      <c r="PO139" s="33"/>
      <c r="PP139" s="33"/>
      <c r="PQ139" s="33"/>
      <c r="PR139" s="33"/>
      <c r="PS139" s="33"/>
      <c r="PT139" s="33"/>
      <c r="PU139" s="33"/>
      <c r="PV139" s="33"/>
      <c r="PW139" s="33"/>
      <c r="PX139" s="33"/>
      <c r="PY139" s="33"/>
      <c r="PZ139" s="33"/>
      <c r="QA139" s="33"/>
      <c r="QB139" s="33"/>
      <c r="QC139" s="33"/>
      <c r="QD139" s="33"/>
      <c r="QE139" s="33"/>
      <c r="QF139" s="33"/>
      <c r="QG139" s="33"/>
      <c r="QH139" s="33"/>
      <c r="QI139" s="33"/>
      <c r="QJ139" s="33"/>
      <c r="QK139" s="33"/>
      <c r="QL139" s="33"/>
      <c r="QM139" s="33"/>
      <c r="QN139" s="33"/>
      <c r="QO139" s="33"/>
      <c r="QP139" s="33"/>
      <c r="QQ139" s="33"/>
      <c r="QR139" s="33"/>
      <c r="QS139" s="33"/>
      <c r="QT139" s="33"/>
      <c r="QU139" s="33"/>
      <c r="QV139" s="33"/>
      <c r="QW139" s="33"/>
      <c r="QX139" s="33"/>
      <c r="QY139" s="33"/>
      <c r="QZ139" s="33"/>
      <c r="RA139" s="33"/>
      <c r="RB139" s="33"/>
      <c r="RC139" s="33"/>
      <c r="RD139" s="33"/>
      <c r="RE139" s="33"/>
      <c r="RF139" s="33"/>
      <c r="RG139" s="33"/>
      <c r="RH139" s="33"/>
      <c r="RI139" s="33"/>
      <c r="RJ139" s="33"/>
      <c r="RK139" s="33"/>
      <c r="RL139" s="33"/>
      <c r="RM139" s="33"/>
      <c r="RN139" s="33"/>
      <c r="RO139" s="33"/>
      <c r="RP139" s="33"/>
      <c r="RQ139" s="33"/>
      <c r="RR139" s="33"/>
      <c r="RS139" s="33"/>
      <c r="RT139" s="33"/>
      <c r="RU139" s="33"/>
      <c r="RV139" s="33"/>
      <c r="RW139" s="33"/>
      <c r="RX139" s="33"/>
      <c r="RY139" s="33"/>
      <c r="RZ139" s="33"/>
      <c r="SA139" s="33"/>
      <c r="SB139" s="33"/>
      <c r="SC139" s="33"/>
      <c r="SD139" s="33"/>
      <c r="SE139" s="33"/>
      <c r="SF139" s="33"/>
      <c r="SG139" s="33"/>
      <c r="SH139" s="33"/>
      <c r="SI139" s="33"/>
      <c r="SJ139" s="33"/>
      <c r="SK139" s="33"/>
      <c r="SL139" s="33"/>
      <c r="SM139" s="33"/>
      <c r="SN139" s="33"/>
      <c r="SO139" s="33"/>
      <c r="SP139" s="33"/>
      <c r="SQ139" s="33"/>
      <c r="SR139" s="33"/>
      <c r="SS139" s="33"/>
      <c r="ST139" s="33"/>
      <c r="SU139" s="33"/>
      <c r="SV139" s="33"/>
      <c r="SW139" s="33"/>
      <c r="SX139" s="33"/>
      <c r="SY139" s="33"/>
      <c r="SZ139" s="33"/>
      <c r="TA139" s="33"/>
      <c r="TB139" s="33"/>
      <c r="TC139" s="33"/>
      <c r="TD139" s="33"/>
      <c r="TE139" s="33"/>
    </row>
    <row r="140" spans="1:525" s="34" customFormat="1" ht="15.75" hidden="1" customHeight="1" x14ac:dyDescent="0.25">
      <c r="A140" s="86"/>
      <c r="B140" s="95"/>
      <c r="C140" s="95"/>
      <c r="D140" s="70" t="s">
        <v>388</v>
      </c>
      <c r="E140" s="138">
        <f>E146</f>
        <v>0</v>
      </c>
      <c r="F140" s="138">
        <f>F146</f>
        <v>0</v>
      </c>
      <c r="G140" s="138">
        <f t="shared" ref="G140:O140" si="53">G146</f>
        <v>0</v>
      </c>
      <c r="H140" s="138">
        <f t="shared" si="53"/>
        <v>0</v>
      </c>
      <c r="I140" s="138">
        <f t="shared" si="53"/>
        <v>0</v>
      </c>
      <c r="J140" s="138">
        <f t="shared" si="53"/>
        <v>0</v>
      </c>
      <c r="K140" s="138">
        <f t="shared" si="53"/>
        <v>0</v>
      </c>
      <c r="L140" s="138">
        <f t="shared" si="53"/>
        <v>0</v>
      </c>
      <c r="M140" s="138">
        <f t="shared" si="53"/>
        <v>0</v>
      </c>
      <c r="N140" s="138">
        <f t="shared" si="53"/>
        <v>0</v>
      </c>
      <c r="O140" s="138">
        <f t="shared" si="53"/>
        <v>0</v>
      </c>
      <c r="P140" s="138">
        <f>P146</f>
        <v>0</v>
      </c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  <c r="IW140" s="33"/>
      <c r="IX140" s="33"/>
      <c r="IY140" s="33"/>
      <c r="IZ140" s="33"/>
      <c r="JA140" s="33"/>
      <c r="JB140" s="33"/>
      <c r="JC140" s="33"/>
      <c r="JD140" s="33"/>
      <c r="JE140" s="33"/>
      <c r="JF140" s="33"/>
      <c r="JG140" s="33"/>
      <c r="JH140" s="33"/>
      <c r="JI140" s="33"/>
      <c r="JJ140" s="33"/>
      <c r="JK140" s="33"/>
      <c r="JL140" s="33"/>
      <c r="JM140" s="33"/>
      <c r="JN140" s="33"/>
      <c r="JO140" s="33"/>
      <c r="JP140" s="33"/>
      <c r="JQ140" s="33"/>
      <c r="JR140" s="33"/>
      <c r="JS140" s="33"/>
      <c r="JT140" s="33"/>
      <c r="JU140" s="33"/>
      <c r="JV140" s="33"/>
      <c r="JW140" s="33"/>
      <c r="JX140" s="33"/>
      <c r="JY140" s="33"/>
      <c r="JZ140" s="33"/>
      <c r="KA140" s="33"/>
      <c r="KB140" s="33"/>
      <c r="KC140" s="33"/>
      <c r="KD140" s="33"/>
      <c r="KE140" s="33"/>
      <c r="KF140" s="33"/>
      <c r="KG140" s="33"/>
      <c r="KH140" s="33"/>
      <c r="KI140" s="33"/>
      <c r="KJ140" s="33"/>
      <c r="KK140" s="33"/>
      <c r="KL140" s="33"/>
      <c r="KM140" s="33"/>
      <c r="KN140" s="33"/>
      <c r="KO140" s="33"/>
      <c r="KP140" s="33"/>
      <c r="KQ140" s="33"/>
      <c r="KR140" s="33"/>
      <c r="KS140" s="33"/>
      <c r="KT140" s="33"/>
      <c r="KU140" s="33"/>
      <c r="KV140" s="33"/>
      <c r="KW140" s="33"/>
      <c r="KX140" s="33"/>
      <c r="KY140" s="33"/>
      <c r="KZ140" s="33"/>
      <c r="LA140" s="33"/>
      <c r="LB140" s="33"/>
      <c r="LC140" s="33"/>
      <c r="LD140" s="33"/>
      <c r="LE140" s="33"/>
      <c r="LF140" s="33"/>
      <c r="LG140" s="33"/>
      <c r="LH140" s="33"/>
      <c r="LI140" s="33"/>
      <c r="LJ140" s="33"/>
      <c r="LK140" s="33"/>
      <c r="LL140" s="33"/>
      <c r="LM140" s="33"/>
      <c r="LN140" s="33"/>
      <c r="LO140" s="33"/>
      <c r="LP140" s="33"/>
      <c r="LQ140" s="33"/>
      <c r="LR140" s="33"/>
      <c r="LS140" s="33"/>
      <c r="LT140" s="33"/>
      <c r="LU140" s="33"/>
      <c r="LV140" s="33"/>
      <c r="LW140" s="33"/>
      <c r="LX140" s="33"/>
      <c r="LY140" s="33"/>
      <c r="LZ140" s="33"/>
      <c r="MA140" s="33"/>
      <c r="MB140" s="33"/>
      <c r="MC140" s="33"/>
      <c r="MD140" s="33"/>
      <c r="ME140" s="33"/>
      <c r="MF140" s="33"/>
      <c r="MG140" s="33"/>
      <c r="MH140" s="33"/>
      <c r="MI140" s="33"/>
      <c r="MJ140" s="33"/>
      <c r="MK140" s="33"/>
      <c r="ML140" s="33"/>
      <c r="MM140" s="33"/>
      <c r="MN140" s="33"/>
      <c r="MO140" s="33"/>
      <c r="MP140" s="33"/>
      <c r="MQ140" s="33"/>
      <c r="MR140" s="33"/>
      <c r="MS140" s="33"/>
      <c r="MT140" s="33"/>
      <c r="MU140" s="33"/>
      <c r="MV140" s="33"/>
      <c r="MW140" s="33"/>
      <c r="MX140" s="33"/>
      <c r="MY140" s="33"/>
      <c r="MZ140" s="33"/>
      <c r="NA140" s="33"/>
      <c r="NB140" s="33"/>
      <c r="NC140" s="33"/>
      <c r="ND140" s="33"/>
      <c r="NE140" s="33"/>
      <c r="NF140" s="33"/>
      <c r="NG140" s="33"/>
      <c r="NH140" s="33"/>
      <c r="NI140" s="33"/>
      <c r="NJ140" s="33"/>
      <c r="NK140" s="33"/>
      <c r="NL140" s="33"/>
      <c r="NM140" s="33"/>
      <c r="NN140" s="33"/>
      <c r="NO140" s="33"/>
      <c r="NP140" s="33"/>
      <c r="NQ140" s="33"/>
      <c r="NR140" s="33"/>
      <c r="NS140" s="33"/>
      <c r="NT140" s="33"/>
      <c r="NU140" s="33"/>
      <c r="NV140" s="33"/>
      <c r="NW140" s="33"/>
      <c r="NX140" s="33"/>
      <c r="NY140" s="33"/>
      <c r="NZ140" s="33"/>
      <c r="OA140" s="33"/>
      <c r="OB140" s="33"/>
      <c r="OC140" s="33"/>
      <c r="OD140" s="33"/>
      <c r="OE140" s="33"/>
      <c r="OF140" s="33"/>
      <c r="OG140" s="33"/>
      <c r="OH140" s="33"/>
      <c r="OI140" s="33"/>
      <c r="OJ140" s="33"/>
      <c r="OK140" s="33"/>
      <c r="OL140" s="33"/>
      <c r="OM140" s="33"/>
      <c r="ON140" s="33"/>
      <c r="OO140" s="33"/>
      <c r="OP140" s="33"/>
      <c r="OQ140" s="33"/>
      <c r="OR140" s="33"/>
      <c r="OS140" s="33"/>
      <c r="OT140" s="33"/>
      <c r="OU140" s="33"/>
      <c r="OV140" s="33"/>
      <c r="OW140" s="33"/>
      <c r="OX140" s="33"/>
      <c r="OY140" s="33"/>
      <c r="OZ140" s="33"/>
      <c r="PA140" s="33"/>
      <c r="PB140" s="33"/>
      <c r="PC140" s="33"/>
      <c r="PD140" s="33"/>
      <c r="PE140" s="33"/>
      <c r="PF140" s="33"/>
      <c r="PG140" s="33"/>
      <c r="PH140" s="33"/>
      <c r="PI140" s="33"/>
      <c r="PJ140" s="33"/>
      <c r="PK140" s="33"/>
      <c r="PL140" s="33"/>
      <c r="PM140" s="33"/>
      <c r="PN140" s="33"/>
      <c r="PO140" s="33"/>
      <c r="PP140" s="33"/>
      <c r="PQ140" s="33"/>
      <c r="PR140" s="33"/>
      <c r="PS140" s="33"/>
      <c r="PT140" s="33"/>
      <c r="PU140" s="33"/>
      <c r="PV140" s="33"/>
      <c r="PW140" s="33"/>
      <c r="PX140" s="33"/>
      <c r="PY140" s="33"/>
      <c r="PZ140" s="33"/>
      <c r="QA140" s="33"/>
      <c r="QB140" s="33"/>
      <c r="QC140" s="33"/>
      <c r="QD140" s="33"/>
      <c r="QE140" s="33"/>
      <c r="QF140" s="33"/>
      <c r="QG140" s="33"/>
      <c r="QH140" s="33"/>
      <c r="QI140" s="33"/>
      <c r="QJ140" s="33"/>
      <c r="QK140" s="33"/>
      <c r="QL140" s="33"/>
      <c r="QM140" s="33"/>
      <c r="QN140" s="33"/>
      <c r="QO140" s="33"/>
      <c r="QP140" s="33"/>
      <c r="QQ140" s="33"/>
      <c r="QR140" s="33"/>
      <c r="QS140" s="33"/>
      <c r="QT140" s="33"/>
      <c r="QU140" s="33"/>
      <c r="QV140" s="33"/>
      <c r="QW140" s="33"/>
      <c r="QX140" s="33"/>
      <c r="QY140" s="33"/>
      <c r="QZ140" s="33"/>
      <c r="RA140" s="33"/>
      <c r="RB140" s="33"/>
      <c r="RC140" s="33"/>
      <c r="RD140" s="33"/>
      <c r="RE140" s="33"/>
      <c r="RF140" s="33"/>
      <c r="RG140" s="33"/>
      <c r="RH140" s="33"/>
      <c r="RI140" s="33"/>
      <c r="RJ140" s="33"/>
      <c r="RK140" s="33"/>
      <c r="RL140" s="33"/>
      <c r="RM140" s="33"/>
      <c r="RN140" s="33"/>
      <c r="RO140" s="33"/>
      <c r="RP140" s="33"/>
      <c r="RQ140" s="33"/>
      <c r="RR140" s="33"/>
      <c r="RS140" s="33"/>
      <c r="RT140" s="33"/>
      <c r="RU140" s="33"/>
      <c r="RV140" s="33"/>
      <c r="RW140" s="33"/>
      <c r="RX140" s="33"/>
      <c r="RY140" s="33"/>
      <c r="RZ140" s="33"/>
      <c r="SA140" s="33"/>
      <c r="SB140" s="33"/>
      <c r="SC140" s="33"/>
      <c r="SD140" s="33"/>
      <c r="SE140" s="33"/>
      <c r="SF140" s="33"/>
      <c r="SG140" s="33"/>
      <c r="SH140" s="33"/>
      <c r="SI140" s="33"/>
      <c r="SJ140" s="33"/>
      <c r="SK140" s="33"/>
      <c r="SL140" s="33"/>
      <c r="SM140" s="33"/>
      <c r="SN140" s="33"/>
      <c r="SO140" s="33"/>
      <c r="SP140" s="33"/>
      <c r="SQ140" s="33"/>
      <c r="SR140" s="33"/>
      <c r="SS140" s="33"/>
      <c r="ST140" s="33"/>
      <c r="SU140" s="33"/>
      <c r="SV140" s="33"/>
      <c r="SW140" s="33"/>
      <c r="SX140" s="33"/>
      <c r="SY140" s="33"/>
      <c r="SZ140" s="33"/>
      <c r="TA140" s="33"/>
      <c r="TB140" s="33"/>
      <c r="TC140" s="33"/>
      <c r="TD140" s="33"/>
      <c r="TE140" s="33"/>
    </row>
    <row r="141" spans="1:525" s="34" customFormat="1" ht="15.75" hidden="1" customHeight="1" x14ac:dyDescent="0.25">
      <c r="A141" s="86"/>
      <c r="B141" s="95"/>
      <c r="C141" s="95"/>
      <c r="D141" s="75" t="s">
        <v>413</v>
      </c>
      <c r="E141" s="138">
        <f>E165</f>
        <v>0</v>
      </c>
      <c r="F141" s="138">
        <f t="shared" ref="F141:P141" si="54">F165</f>
        <v>0</v>
      </c>
      <c r="G141" s="138">
        <f t="shared" si="54"/>
        <v>0</v>
      </c>
      <c r="H141" s="138">
        <f t="shared" si="54"/>
        <v>0</v>
      </c>
      <c r="I141" s="138">
        <f t="shared" si="54"/>
        <v>0</v>
      </c>
      <c r="J141" s="138">
        <f t="shared" si="54"/>
        <v>0</v>
      </c>
      <c r="K141" s="138">
        <f t="shared" si="54"/>
        <v>0</v>
      </c>
      <c r="L141" s="138">
        <f t="shared" si="54"/>
        <v>0</v>
      </c>
      <c r="M141" s="138">
        <f t="shared" si="54"/>
        <v>0</v>
      </c>
      <c r="N141" s="138">
        <f t="shared" si="54"/>
        <v>0</v>
      </c>
      <c r="O141" s="138">
        <f t="shared" si="54"/>
        <v>0</v>
      </c>
      <c r="P141" s="138">
        <f t="shared" si="54"/>
        <v>0</v>
      </c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  <c r="IW141" s="33"/>
      <c r="IX141" s="33"/>
      <c r="IY141" s="33"/>
      <c r="IZ141" s="33"/>
      <c r="JA141" s="33"/>
      <c r="JB141" s="33"/>
      <c r="JC141" s="33"/>
      <c r="JD141" s="33"/>
      <c r="JE141" s="33"/>
      <c r="JF141" s="33"/>
      <c r="JG141" s="33"/>
      <c r="JH141" s="33"/>
      <c r="JI141" s="33"/>
      <c r="JJ141" s="33"/>
      <c r="JK141" s="33"/>
      <c r="JL141" s="33"/>
      <c r="JM141" s="33"/>
      <c r="JN141" s="33"/>
      <c r="JO141" s="33"/>
      <c r="JP141" s="33"/>
      <c r="JQ141" s="33"/>
      <c r="JR141" s="33"/>
      <c r="JS141" s="33"/>
      <c r="JT141" s="33"/>
      <c r="JU141" s="33"/>
      <c r="JV141" s="33"/>
      <c r="JW141" s="33"/>
      <c r="JX141" s="33"/>
      <c r="JY141" s="33"/>
      <c r="JZ141" s="33"/>
      <c r="KA141" s="33"/>
      <c r="KB141" s="33"/>
      <c r="KC141" s="33"/>
      <c r="KD141" s="33"/>
      <c r="KE141" s="33"/>
      <c r="KF141" s="33"/>
      <c r="KG141" s="33"/>
      <c r="KH141" s="33"/>
      <c r="KI141" s="33"/>
      <c r="KJ141" s="33"/>
      <c r="KK141" s="33"/>
      <c r="KL141" s="33"/>
      <c r="KM141" s="33"/>
      <c r="KN141" s="33"/>
      <c r="KO141" s="33"/>
      <c r="KP141" s="33"/>
      <c r="KQ141" s="33"/>
      <c r="KR141" s="33"/>
      <c r="KS141" s="33"/>
      <c r="KT141" s="33"/>
      <c r="KU141" s="33"/>
      <c r="KV141" s="33"/>
      <c r="KW141" s="33"/>
      <c r="KX141" s="33"/>
      <c r="KY141" s="33"/>
      <c r="KZ141" s="33"/>
      <c r="LA141" s="33"/>
      <c r="LB141" s="33"/>
      <c r="LC141" s="33"/>
      <c r="LD141" s="33"/>
      <c r="LE141" s="33"/>
      <c r="LF141" s="33"/>
      <c r="LG141" s="33"/>
      <c r="LH141" s="33"/>
      <c r="LI141" s="33"/>
      <c r="LJ141" s="33"/>
      <c r="LK141" s="33"/>
      <c r="LL141" s="33"/>
      <c r="LM141" s="33"/>
      <c r="LN141" s="33"/>
      <c r="LO141" s="33"/>
      <c r="LP141" s="33"/>
      <c r="LQ141" s="33"/>
      <c r="LR141" s="33"/>
      <c r="LS141" s="33"/>
      <c r="LT141" s="33"/>
      <c r="LU141" s="33"/>
      <c r="LV141" s="33"/>
      <c r="LW141" s="33"/>
      <c r="LX141" s="33"/>
      <c r="LY141" s="33"/>
      <c r="LZ141" s="33"/>
      <c r="MA141" s="33"/>
      <c r="MB141" s="33"/>
      <c r="MC141" s="33"/>
      <c r="MD141" s="33"/>
      <c r="ME141" s="33"/>
      <c r="MF141" s="33"/>
      <c r="MG141" s="33"/>
      <c r="MH141" s="33"/>
      <c r="MI141" s="33"/>
      <c r="MJ141" s="33"/>
      <c r="MK141" s="33"/>
      <c r="ML141" s="33"/>
      <c r="MM141" s="33"/>
      <c r="MN141" s="33"/>
      <c r="MO141" s="33"/>
      <c r="MP141" s="33"/>
      <c r="MQ141" s="33"/>
      <c r="MR141" s="33"/>
      <c r="MS141" s="33"/>
      <c r="MT141" s="33"/>
      <c r="MU141" s="33"/>
      <c r="MV141" s="33"/>
      <c r="MW141" s="33"/>
      <c r="MX141" s="33"/>
      <c r="MY141" s="33"/>
      <c r="MZ141" s="33"/>
      <c r="NA141" s="33"/>
      <c r="NB141" s="33"/>
      <c r="NC141" s="33"/>
      <c r="ND141" s="33"/>
      <c r="NE141" s="33"/>
      <c r="NF141" s="33"/>
      <c r="NG141" s="33"/>
      <c r="NH141" s="33"/>
      <c r="NI141" s="33"/>
      <c r="NJ141" s="33"/>
      <c r="NK141" s="33"/>
      <c r="NL141" s="33"/>
      <c r="NM141" s="33"/>
      <c r="NN141" s="33"/>
      <c r="NO141" s="33"/>
      <c r="NP141" s="33"/>
      <c r="NQ141" s="33"/>
      <c r="NR141" s="33"/>
      <c r="NS141" s="33"/>
      <c r="NT141" s="33"/>
      <c r="NU141" s="33"/>
      <c r="NV141" s="33"/>
      <c r="NW141" s="33"/>
      <c r="NX141" s="33"/>
      <c r="NY141" s="33"/>
      <c r="NZ141" s="33"/>
      <c r="OA141" s="33"/>
      <c r="OB141" s="33"/>
      <c r="OC141" s="33"/>
      <c r="OD141" s="33"/>
      <c r="OE141" s="33"/>
      <c r="OF141" s="33"/>
      <c r="OG141" s="33"/>
      <c r="OH141" s="33"/>
      <c r="OI141" s="33"/>
      <c r="OJ141" s="33"/>
      <c r="OK141" s="33"/>
      <c r="OL141" s="33"/>
      <c r="OM141" s="33"/>
      <c r="ON141" s="33"/>
      <c r="OO141" s="33"/>
      <c r="OP141" s="33"/>
      <c r="OQ141" s="33"/>
      <c r="OR141" s="33"/>
      <c r="OS141" s="33"/>
      <c r="OT141" s="33"/>
      <c r="OU141" s="33"/>
      <c r="OV141" s="33"/>
      <c r="OW141" s="33"/>
      <c r="OX141" s="33"/>
      <c r="OY141" s="33"/>
      <c r="OZ141" s="33"/>
      <c r="PA141" s="33"/>
      <c r="PB141" s="33"/>
      <c r="PC141" s="33"/>
      <c r="PD141" s="33"/>
      <c r="PE141" s="33"/>
      <c r="PF141" s="33"/>
      <c r="PG141" s="33"/>
      <c r="PH141" s="33"/>
      <c r="PI141" s="33"/>
      <c r="PJ141" s="33"/>
      <c r="PK141" s="33"/>
      <c r="PL141" s="33"/>
      <c r="PM141" s="33"/>
      <c r="PN141" s="33"/>
      <c r="PO141" s="33"/>
      <c r="PP141" s="33"/>
      <c r="PQ141" s="33"/>
      <c r="PR141" s="33"/>
      <c r="PS141" s="33"/>
      <c r="PT141" s="33"/>
      <c r="PU141" s="33"/>
      <c r="PV141" s="33"/>
      <c r="PW141" s="33"/>
      <c r="PX141" s="33"/>
      <c r="PY141" s="33"/>
      <c r="PZ141" s="33"/>
      <c r="QA141" s="33"/>
      <c r="QB141" s="33"/>
      <c r="QC141" s="33"/>
      <c r="QD141" s="33"/>
      <c r="QE141" s="33"/>
      <c r="QF141" s="33"/>
      <c r="QG141" s="33"/>
      <c r="QH141" s="33"/>
      <c r="QI141" s="33"/>
      <c r="QJ141" s="33"/>
      <c r="QK141" s="33"/>
      <c r="QL141" s="33"/>
      <c r="QM141" s="33"/>
      <c r="QN141" s="33"/>
      <c r="QO141" s="33"/>
      <c r="QP141" s="33"/>
      <c r="QQ141" s="33"/>
      <c r="QR141" s="33"/>
      <c r="QS141" s="33"/>
      <c r="QT141" s="33"/>
      <c r="QU141" s="33"/>
      <c r="QV141" s="33"/>
      <c r="QW141" s="33"/>
      <c r="QX141" s="33"/>
      <c r="QY141" s="33"/>
      <c r="QZ141" s="33"/>
      <c r="RA141" s="33"/>
      <c r="RB141" s="33"/>
      <c r="RC141" s="33"/>
      <c r="RD141" s="33"/>
      <c r="RE141" s="33"/>
      <c r="RF141" s="33"/>
      <c r="RG141" s="33"/>
      <c r="RH141" s="33"/>
      <c r="RI141" s="33"/>
      <c r="RJ141" s="33"/>
      <c r="RK141" s="33"/>
      <c r="RL141" s="33"/>
      <c r="RM141" s="33"/>
      <c r="RN141" s="33"/>
      <c r="RO141" s="33"/>
      <c r="RP141" s="33"/>
      <c r="RQ141" s="33"/>
      <c r="RR141" s="33"/>
      <c r="RS141" s="33"/>
      <c r="RT141" s="33"/>
      <c r="RU141" s="33"/>
      <c r="RV141" s="33"/>
      <c r="RW141" s="33"/>
      <c r="RX141" s="33"/>
      <c r="RY141" s="33"/>
      <c r="RZ141" s="33"/>
      <c r="SA141" s="33"/>
      <c r="SB141" s="33"/>
      <c r="SC141" s="33"/>
      <c r="SD141" s="33"/>
      <c r="SE141" s="33"/>
      <c r="SF141" s="33"/>
      <c r="SG141" s="33"/>
      <c r="SH141" s="33"/>
      <c r="SI141" s="33"/>
      <c r="SJ141" s="33"/>
      <c r="SK141" s="33"/>
      <c r="SL141" s="33"/>
      <c r="SM141" s="33"/>
      <c r="SN141" s="33"/>
      <c r="SO141" s="33"/>
      <c r="SP141" s="33"/>
      <c r="SQ141" s="33"/>
      <c r="SR141" s="33"/>
      <c r="SS141" s="33"/>
      <c r="ST141" s="33"/>
      <c r="SU141" s="33"/>
      <c r="SV141" s="33"/>
      <c r="SW141" s="33"/>
      <c r="SX141" s="33"/>
      <c r="SY141" s="33"/>
      <c r="SZ141" s="33"/>
      <c r="TA141" s="33"/>
      <c r="TB141" s="33"/>
      <c r="TC141" s="33"/>
      <c r="TD141" s="33"/>
      <c r="TE141" s="33"/>
    </row>
    <row r="142" spans="1:525" s="22" customFormat="1" ht="48" customHeight="1" x14ac:dyDescent="0.25">
      <c r="A142" s="56" t="s">
        <v>168</v>
      </c>
      <c r="B142" s="84" t="str">
        <f>'дод 3'!A19</f>
        <v>0160</v>
      </c>
      <c r="C142" s="84" t="str">
        <f>'дод 3'!B19</f>
        <v>0111</v>
      </c>
      <c r="D142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142" s="139">
        <f t="shared" ref="E142:E167" si="55">F142+I142</f>
        <v>2544900</v>
      </c>
      <c r="F142" s="139">
        <f>2742700-197800</f>
        <v>2544900</v>
      </c>
      <c r="G142" s="139">
        <f>2086600-162100</f>
        <v>1924500</v>
      </c>
      <c r="H142" s="139">
        <v>57900</v>
      </c>
      <c r="I142" s="139"/>
      <c r="J142" s="139">
        <f>L142+O142</f>
        <v>0</v>
      </c>
      <c r="K142" s="139"/>
      <c r="L142" s="139"/>
      <c r="M142" s="139"/>
      <c r="N142" s="139"/>
      <c r="O142" s="139"/>
      <c r="P142" s="139">
        <f t="shared" ref="P142:P168" si="56">E142+J142</f>
        <v>2544900</v>
      </c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  <c r="IW142" s="23"/>
      <c r="IX142" s="23"/>
      <c r="IY142" s="23"/>
      <c r="IZ142" s="23"/>
      <c r="JA142" s="23"/>
      <c r="JB142" s="23"/>
      <c r="JC142" s="23"/>
      <c r="JD142" s="23"/>
      <c r="JE142" s="23"/>
      <c r="JF142" s="23"/>
      <c r="JG142" s="23"/>
      <c r="JH142" s="23"/>
      <c r="JI142" s="23"/>
      <c r="JJ142" s="23"/>
      <c r="JK142" s="23"/>
      <c r="JL142" s="23"/>
      <c r="JM142" s="23"/>
      <c r="JN142" s="23"/>
      <c r="JO142" s="23"/>
      <c r="JP142" s="23"/>
      <c r="JQ142" s="23"/>
      <c r="JR142" s="23"/>
      <c r="JS142" s="23"/>
      <c r="JT142" s="23"/>
      <c r="JU142" s="23"/>
      <c r="JV142" s="23"/>
      <c r="JW142" s="23"/>
      <c r="JX142" s="23"/>
      <c r="JY142" s="23"/>
      <c r="JZ142" s="23"/>
      <c r="KA142" s="23"/>
      <c r="KB142" s="23"/>
      <c r="KC142" s="23"/>
      <c r="KD142" s="23"/>
      <c r="KE142" s="23"/>
      <c r="KF142" s="23"/>
      <c r="KG142" s="23"/>
      <c r="KH142" s="23"/>
      <c r="KI142" s="23"/>
      <c r="KJ142" s="23"/>
      <c r="KK142" s="23"/>
      <c r="KL142" s="23"/>
      <c r="KM142" s="23"/>
      <c r="KN142" s="23"/>
      <c r="KO142" s="23"/>
      <c r="KP142" s="23"/>
      <c r="KQ142" s="23"/>
      <c r="KR142" s="23"/>
      <c r="KS142" s="23"/>
      <c r="KT142" s="23"/>
      <c r="KU142" s="23"/>
      <c r="KV142" s="23"/>
      <c r="KW142" s="23"/>
      <c r="KX142" s="23"/>
      <c r="KY142" s="23"/>
      <c r="KZ142" s="23"/>
      <c r="LA142" s="23"/>
      <c r="LB142" s="23"/>
      <c r="LC142" s="23"/>
      <c r="LD142" s="23"/>
      <c r="LE142" s="23"/>
      <c r="LF142" s="23"/>
      <c r="LG142" s="23"/>
      <c r="LH142" s="23"/>
      <c r="LI142" s="23"/>
      <c r="LJ142" s="23"/>
      <c r="LK142" s="23"/>
      <c r="LL142" s="23"/>
      <c r="LM142" s="23"/>
      <c r="LN142" s="23"/>
      <c r="LO142" s="23"/>
      <c r="LP142" s="23"/>
      <c r="LQ142" s="23"/>
      <c r="LR142" s="23"/>
      <c r="LS142" s="23"/>
      <c r="LT142" s="23"/>
      <c r="LU142" s="23"/>
      <c r="LV142" s="23"/>
      <c r="LW142" s="23"/>
      <c r="LX142" s="23"/>
      <c r="LY142" s="23"/>
      <c r="LZ142" s="23"/>
      <c r="MA142" s="23"/>
      <c r="MB142" s="23"/>
      <c r="MC142" s="23"/>
      <c r="MD142" s="23"/>
      <c r="ME142" s="23"/>
      <c r="MF142" s="23"/>
      <c r="MG142" s="23"/>
      <c r="MH142" s="23"/>
      <c r="MI142" s="23"/>
      <c r="MJ142" s="23"/>
      <c r="MK142" s="23"/>
      <c r="ML142" s="23"/>
      <c r="MM142" s="23"/>
      <c r="MN142" s="23"/>
      <c r="MO142" s="23"/>
      <c r="MP142" s="23"/>
      <c r="MQ142" s="23"/>
      <c r="MR142" s="23"/>
      <c r="MS142" s="23"/>
      <c r="MT142" s="23"/>
      <c r="MU142" s="23"/>
      <c r="MV142" s="23"/>
      <c r="MW142" s="23"/>
      <c r="MX142" s="23"/>
      <c r="MY142" s="23"/>
      <c r="MZ142" s="23"/>
      <c r="NA142" s="23"/>
      <c r="NB142" s="23"/>
      <c r="NC142" s="23"/>
      <c r="ND142" s="23"/>
      <c r="NE142" s="23"/>
      <c r="NF142" s="23"/>
      <c r="NG142" s="23"/>
      <c r="NH142" s="23"/>
      <c r="NI142" s="23"/>
      <c r="NJ142" s="23"/>
      <c r="NK142" s="23"/>
      <c r="NL142" s="23"/>
      <c r="NM142" s="23"/>
      <c r="NN142" s="23"/>
      <c r="NO142" s="23"/>
      <c r="NP142" s="23"/>
      <c r="NQ142" s="23"/>
      <c r="NR142" s="23"/>
      <c r="NS142" s="23"/>
      <c r="NT142" s="23"/>
      <c r="NU142" s="23"/>
      <c r="NV142" s="23"/>
      <c r="NW142" s="23"/>
      <c r="NX142" s="23"/>
      <c r="NY142" s="23"/>
      <c r="NZ142" s="23"/>
      <c r="OA142" s="23"/>
      <c r="OB142" s="23"/>
      <c r="OC142" s="23"/>
      <c r="OD142" s="23"/>
      <c r="OE142" s="23"/>
      <c r="OF142" s="23"/>
      <c r="OG142" s="23"/>
      <c r="OH142" s="23"/>
      <c r="OI142" s="23"/>
      <c r="OJ142" s="23"/>
      <c r="OK142" s="23"/>
      <c r="OL142" s="23"/>
      <c r="OM142" s="23"/>
      <c r="ON142" s="23"/>
      <c r="OO142" s="23"/>
      <c r="OP142" s="23"/>
      <c r="OQ142" s="23"/>
      <c r="OR142" s="23"/>
      <c r="OS142" s="23"/>
      <c r="OT142" s="23"/>
      <c r="OU142" s="23"/>
      <c r="OV142" s="23"/>
      <c r="OW142" s="23"/>
      <c r="OX142" s="23"/>
      <c r="OY142" s="23"/>
      <c r="OZ142" s="23"/>
      <c r="PA142" s="23"/>
      <c r="PB142" s="23"/>
      <c r="PC142" s="23"/>
      <c r="PD142" s="23"/>
      <c r="PE142" s="23"/>
      <c r="PF142" s="23"/>
      <c r="PG142" s="23"/>
      <c r="PH142" s="23"/>
      <c r="PI142" s="23"/>
      <c r="PJ142" s="23"/>
      <c r="PK142" s="23"/>
      <c r="PL142" s="23"/>
      <c r="PM142" s="23"/>
      <c r="PN142" s="23"/>
      <c r="PO142" s="23"/>
      <c r="PP142" s="23"/>
      <c r="PQ142" s="23"/>
      <c r="PR142" s="23"/>
      <c r="PS142" s="23"/>
      <c r="PT142" s="23"/>
      <c r="PU142" s="23"/>
      <c r="PV142" s="23"/>
      <c r="PW142" s="23"/>
      <c r="PX142" s="23"/>
      <c r="PY142" s="23"/>
      <c r="PZ142" s="23"/>
      <c r="QA142" s="23"/>
      <c r="QB142" s="23"/>
      <c r="QC142" s="23"/>
      <c r="QD142" s="23"/>
      <c r="QE142" s="23"/>
      <c r="QF142" s="23"/>
      <c r="QG142" s="23"/>
      <c r="QH142" s="23"/>
      <c r="QI142" s="23"/>
      <c r="QJ142" s="23"/>
      <c r="QK142" s="23"/>
      <c r="QL142" s="23"/>
      <c r="QM142" s="23"/>
      <c r="QN142" s="23"/>
      <c r="QO142" s="23"/>
      <c r="QP142" s="23"/>
      <c r="QQ142" s="23"/>
      <c r="QR142" s="23"/>
      <c r="QS142" s="23"/>
      <c r="QT142" s="23"/>
      <c r="QU142" s="23"/>
      <c r="QV142" s="23"/>
      <c r="QW142" s="23"/>
      <c r="QX142" s="23"/>
      <c r="QY142" s="23"/>
      <c r="QZ142" s="23"/>
      <c r="RA142" s="23"/>
      <c r="RB142" s="23"/>
      <c r="RC142" s="23"/>
      <c r="RD142" s="23"/>
      <c r="RE142" s="23"/>
      <c r="RF142" s="23"/>
      <c r="RG142" s="23"/>
      <c r="RH142" s="23"/>
      <c r="RI142" s="23"/>
      <c r="RJ142" s="23"/>
      <c r="RK142" s="23"/>
      <c r="RL142" s="23"/>
      <c r="RM142" s="23"/>
      <c r="RN142" s="23"/>
      <c r="RO142" s="23"/>
      <c r="RP142" s="23"/>
      <c r="RQ142" s="23"/>
      <c r="RR142" s="23"/>
      <c r="RS142" s="23"/>
      <c r="RT142" s="23"/>
      <c r="RU142" s="23"/>
      <c r="RV142" s="23"/>
      <c r="RW142" s="23"/>
      <c r="RX142" s="23"/>
      <c r="RY142" s="23"/>
      <c r="RZ142" s="23"/>
      <c r="SA142" s="23"/>
      <c r="SB142" s="23"/>
      <c r="SC142" s="23"/>
      <c r="SD142" s="23"/>
      <c r="SE142" s="23"/>
      <c r="SF142" s="23"/>
      <c r="SG142" s="23"/>
      <c r="SH142" s="23"/>
      <c r="SI142" s="23"/>
      <c r="SJ142" s="23"/>
      <c r="SK142" s="23"/>
      <c r="SL142" s="23"/>
      <c r="SM142" s="23"/>
      <c r="SN142" s="23"/>
      <c r="SO142" s="23"/>
      <c r="SP142" s="23"/>
      <c r="SQ142" s="23"/>
      <c r="SR142" s="23"/>
      <c r="SS142" s="23"/>
      <c r="ST142" s="23"/>
      <c r="SU142" s="23"/>
      <c r="SV142" s="23"/>
      <c r="SW142" s="23"/>
      <c r="SX142" s="23"/>
      <c r="SY142" s="23"/>
      <c r="SZ142" s="23"/>
      <c r="TA142" s="23"/>
      <c r="TB142" s="23"/>
      <c r="TC142" s="23"/>
      <c r="TD142" s="23"/>
      <c r="TE142" s="23"/>
    </row>
    <row r="143" spans="1:525" s="22" customFormat="1" ht="33" customHeight="1" x14ac:dyDescent="0.25">
      <c r="A143" s="56" t="s">
        <v>169</v>
      </c>
      <c r="B143" s="84" t="str">
        <f>'дод 3'!A87</f>
        <v>2010</v>
      </c>
      <c r="C143" s="84" t="str">
        <f>'дод 3'!B87</f>
        <v>0731</v>
      </c>
      <c r="D143" s="6" t="str">
        <f>'дод 3'!C87</f>
        <v>Багатопрофільна стаціонарна медична допомога населенню</v>
      </c>
      <c r="E143" s="139">
        <f t="shared" si="55"/>
        <v>52837500</v>
      </c>
      <c r="F143" s="139">
        <f>51967500+570000+300000</f>
        <v>52837500</v>
      </c>
      <c r="G143" s="139"/>
      <c r="H143" s="139"/>
      <c r="I143" s="141"/>
      <c r="J143" s="139">
        <f t="shared" ref="J143:J168" si="57">L143+O143</f>
        <v>0</v>
      </c>
      <c r="K143" s="139"/>
      <c r="L143" s="139"/>
      <c r="M143" s="139"/>
      <c r="N143" s="139"/>
      <c r="O143" s="139"/>
      <c r="P143" s="139">
        <f t="shared" si="56"/>
        <v>52837500</v>
      </c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</row>
    <row r="144" spans="1:525" s="24" customFormat="1" ht="30" hidden="1" customHeight="1" x14ac:dyDescent="0.25">
      <c r="A144" s="76"/>
      <c r="B144" s="97"/>
      <c r="C144" s="97"/>
      <c r="D144" s="79" t="s">
        <v>385</v>
      </c>
      <c r="E144" s="140">
        <f t="shared" si="55"/>
        <v>0</v>
      </c>
      <c r="F144" s="140"/>
      <c r="G144" s="140"/>
      <c r="H144" s="140"/>
      <c r="I144" s="143"/>
      <c r="J144" s="140">
        <f t="shared" si="57"/>
        <v>0</v>
      </c>
      <c r="K144" s="140"/>
      <c r="L144" s="140"/>
      <c r="M144" s="140"/>
      <c r="N144" s="140"/>
      <c r="O144" s="140"/>
      <c r="P144" s="140">
        <f t="shared" si="56"/>
        <v>0</v>
      </c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</row>
    <row r="145" spans="1:525" s="24" customFormat="1" ht="47.25" hidden="1" customHeight="1" x14ac:dyDescent="0.25">
      <c r="A145" s="76"/>
      <c r="B145" s="97"/>
      <c r="C145" s="97"/>
      <c r="D145" s="79" t="s">
        <v>386</v>
      </c>
      <c r="E145" s="140">
        <f t="shared" si="55"/>
        <v>0</v>
      </c>
      <c r="F145" s="140"/>
      <c r="G145" s="140"/>
      <c r="H145" s="140"/>
      <c r="I145" s="140"/>
      <c r="J145" s="140">
        <f t="shared" si="57"/>
        <v>0</v>
      </c>
      <c r="K145" s="140"/>
      <c r="L145" s="140"/>
      <c r="M145" s="140"/>
      <c r="N145" s="140"/>
      <c r="O145" s="140"/>
      <c r="P145" s="140">
        <f t="shared" si="56"/>
        <v>0</v>
      </c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  <c r="SO145" s="30"/>
      <c r="SP145" s="30"/>
      <c r="SQ145" s="30"/>
      <c r="SR145" s="30"/>
      <c r="SS145" s="30"/>
      <c r="ST145" s="30"/>
      <c r="SU145" s="30"/>
      <c r="SV145" s="30"/>
      <c r="SW145" s="30"/>
      <c r="SX145" s="30"/>
      <c r="SY145" s="30"/>
      <c r="SZ145" s="30"/>
      <c r="TA145" s="30"/>
      <c r="TB145" s="30"/>
      <c r="TC145" s="30"/>
      <c r="TD145" s="30"/>
      <c r="TE145" s="30"/>
    </row>
    <row r="146" spans="1:525" s="24" customFormat="1" ht="15.75" hidden="1" customHeight="1" x14ac:dyDescent="0.25">
      <c r="A146" s="76"/>
      <c r="B146" s="97"/>
      <c r="C146" s="97"/>
      <c r="D146" s="79" t="s">
        <v>388</v>
      </c>
      <c r="E146" s="140">
        <f t="shared" si="55"/>
        <v>0</v>
      </c>
      <c r="F146" s="140"/>
      <c r="G146" s="140"/>
      <c r="H146" s="140"/>
      <c r="I146" s="143"/>
      <c r="J146" s="140">
        <f t="shared" si="57"/>
        <v>0</v>
      </c>
      <c r="K146" s="140"/>
      <c r="L146" s="140"/>
      <c r="M146" s="140"/>
      <c r="N146" s="140"/>
      <c r="O146" s="140"/>
      <c r="P146" s="140">
        <f t="shared" si="56"/>
        <v>0</v>
      </c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30"/>
      <c r="MW146" s="30"/>
      <c r="MX146" s="30"/>
      <c r="MY146" s="30"/>
      <c r="MZ146" s="30"/>
      <c r="NA146" s="30"/>
      <c r="NB146" s="30"/>
      <c r="NC146" s="30"/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0"/>
      <c r="NR146" s="30"/>
      <c r="NS146" s="30"/>
      <c r="NT146" s="30"/>
      <c r="NU146" s="30"/>
      <c r="NV146" s="30"/>
      <c r="NW146" s="30"/>
      <c r="NX146" s="30"/>
      <c r="NY146" s="30"/>
      <c r="NZ146" s="30"/>
      <c r="OA146" s="30"/>
      <c r="OB146" s="30"/>
      <c r="OC146" s="30"/>
      <c r="OD146" s="30"/>
      <c r="OE146" s="30"/>
      <c r="OF146" s="30"/>
      <c r="OG146" s="30"/>
      <c r="OH146" s="30"/>
      <c r="OI146" s="30"/>
      <c r="OJ146" s="30"/>
      <c r="OK146" s="30"/>
      <c r="OL146" s="30"/>
      <c r="OM146" s="30"/>
      <c r="ON146" s="30"/>
      <c r="OO146" s="30"/>
      <c r="OP146" s="30"/>
      <c r="OQ146" s="30"/>
      <c r="OR146" s="30"/>
      <c r="OS146" s="30"/>
      <c r="OT146" s="30"/>
      <c r="OU146" s="30"/>
      <c r="OV146" s="30"/>
      <c r="OW146" s="30"/>
      <c r="OX146" s="30"/>
      <c r="OY146" s="30"/>
      <c r="OZ146" s="30"/>
      <c r="PA146" s="30"/>
      <c r="PB146" s="30"/>
      <c r="PC146" s="30"/>
      <c r="PD146" s="30"/>
      <c r="PE146" s="30"/>
      <c r="PF146" s="30"/>
      <c r="PG146" s="30"/>
      <c r="PH146" s="30"/>
      <c r="PI146" s="30"/>
      <c r="PJ146" s="30"/>
      <c r="PK146" s="30"/>
      <c r="PL146" s="30"/>
      <c r="PM146" s="30"/>
      <c r="PN146" s="30"/>
      <c r="PO146" s="30"/>
      <c r="PP146" s="30"/>
      <c r="PQ146" s="30"/>
      <c r="PR146" s="30"/>
      <c r="PS146" s="30"/>
      <c r="PT146" s="30"/>
      <c r="PU146" s="30"/>
      <c r="PV146" s="30"/>
      <c r="PW146" s="30"/>
      <c r="PX146" s="30"/>
      <c r="PY146" s="30"/>
      <c r="PZ146" s="30"/>
      <c r="QA146" s="30"/>
      <c r="QB146" s="30"/>
      <c r="QC146" s="30"/>
      <c r="QD146" s="30"/>
      <c r="QE146" s="30"/>
      <c r="QF146" s="30"/>
      <c r="QG146" s="30"/>
      <c r="QH146" s="30"/>
      <c r="QI146" s="30"/>
      <c r="QJ146" s="30"/>
      <c r="QK146" s="30"/>
      <c r="QL146" s="30"/>
      <c r="QM146" s="30"/>
      <c r="QN146" s="30"/>
      <c r="QO146" s="30"/>
      <c r="QP146" s="30"/>
      <c r="QQ146" s="30"/>
      <c r="QR146" s="30"/>
      <c r="QS146" s="30"/>
      <c r="QT146" s="30"/>
      <c r="QU146" s="30"/>
      <c r="QV146" s="30"/>
      <c r="QW146" s="30"/>
      <c r="QX146" s="30"/>
      <c r="QY146" s="30"/>
      <c r="QZ146" s="30"/>
      <c r="RA146" s="30"/>
      <c r="RB146" s="30"/>
      <c r="RC146" s="30"/>
      <c r="RD146" s="30"/>
      <c r="RE146" s="30"/>
      <c r="RF146" s="30"/>
      <c r="RG146" s="30"/>
      <c r="RH146" s="30"/>
      <c r="RI146" s="30"/>
      <c r="RJ146" s="30"/>
      <c r="RK146" s="30"/>
      <c r="RL146" s="30"/>
      <c r="RM146" s="30"/>
      <c r="RN146" s="30"/>
      <c r="RO146" s="30"/>
      <c r="RP146" s="30"/>
      <c r="RQ146" s="30"/>
      <c r="RR146" s="30"/>
      <c r="RS146" s="30"/>
      <c r="RT146" s="30"/>
      <c r="RU146" s="30"/>
      <c r="RV146" s="30"/>
      <c r="RW146" s="30"/>
      <c r="RX146" s="30"/>
      <c r="RY146" s="30"/>
      <c r="RZ146" s="30"/>
      <c r="SA146" s="30"/>
      <c r="SB146" s="30"/>
      <c r="SC146" s="30"/>
      <c r="SD146" s="30"/>
      <c r="SE146" s="30"/>
      <c r="SF146" s="30"/>
      <c r="SG146" s="30"/>
      <c r="SH146" s="30"/>
      <c r="SI146" s="30"/>
      <c r="SJ146" s="30"/>
      <c r="SK146" s="30"/>
      <c r="SL146" s="30"/>
      <c r="SM146" s="30"/>
      <c r="SN146" s="30"/>
      <c r="SO146" s="30"/>
      <c r="SP146" s="30"/>
      <c r="SQ146" s="30"/>
      <c r="SR146" s="30"/>
      <c r="SS146" s="30"/>
      <c r="ST146" s="30"/>
      <c r="SU146" s="30"/>
      <c r="SV146" s="30"/>
      <c r="SW146" s="30"/>
      <c r="SX146" s="30"/>
      <c r="SY146" s="30"/>
      <c r="SZ146" s="30"/>
      <c r="TA146" s="30"/>
      <c r="TB146" s="30"/>
      <c r="TC146" s="30"/>
      <c r="TD146" s="30"/>
      <c r="TE146" s="30"/>
    </row>
    <row r="147" spans="1:525" s="22" customFormat="1" ht="31.5" hidden="1" customHeight="1" x14ac:dyDescent="0.25">
      <c r="A147" s="56" t="s">
        <v>436</v>
      </c>
      <c r="B147" s="84">
        <v>2020</v>
      </c>
      <c r="C147" s="56" t="s">
        <v>437</v>
      </c>
      <c r="D147" s="57" t="str">
        <f>'дод 3'!C91</f>
        <v xml:space="preserve"> Спеціалізована стаціонарна медична допомога населенню</v>
      </c>
      <c r="E147" s="139">
        <f t="shared" si="55"/>
        <v>0</v>
      </c>
      <c r="F147" s="139"/>
      <c r="G147" s="141"/>
      <c r="H147" s="141"/>
      <c r="I147" s="141"/>
      <c r="J147" s="139">
        <f t="shared" si="57"/>
        <v>0</v>
      </c>
      <c r="K147" s="139"/>
      <c r="L147" s="139"/>
      <c r="M147" s="139"/>
      <c r="N147" s="139"/>
      <c r="O147" s="139"/>
      <c r="P147" s="139">
        <f t="shared" si="56"/>
        <v>0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  <c r="PA147" s="23"/>
      <c r="PB147" s="23"/>
      <c r="PC147" s="23"/>
      <c r="PD147" s="23"/>
      <c r="PE147" s="23"/>
      <c r="PF147" s="23"/>
      <c r="PG147" s="23"/>
      <c r="PH147" s="23"/>
      <c r="PI147" s="23"/>
      <c r="PJ147" s="23"/>
      <c r="PK147" s="23"/>
      <c r="PL147" s="23"/>
      <c r="PM147" s="23"/>
      <c r="PN147" s="23"/>
      <c r="PO147" s="23"/>
      <c r="PP147" s="23"/>
      <c r="PQ147" s="23"/>
      <c r="PR147" s="23"/>
      <c r="PS147" s="23"/>
      <c r="PT147" s="23"/>
      <c r="PU147" s="23"/>
      <c r="PV147" s="23"/>
      <c r="PW147" s="23"/>
      <c r="PX147" s="23"/>
      <c r="PY147" s="23"/>
      <c r="PZ147" s="23"/>
      <c r="QA147" s="23"/>
      <c r="QB147" s="23"/>
      <c r="QC147" s="23"/>
      <c r="QD147" s="23"/>
      <c r="QE147" s="23"/>
      <c r="QF147" s="23"/>
      <c r="QG147" s="23"/>
      <c r="QH147" s="23"/>
      <c r="QI147" s="23"/>
      <c r="QJ147" s="23"/>
      <c r="QK147" s="23"/>
      <c r="QL147" s="23"/>
      <c r="QM147" s="23"/>
      <c r="QN147" s="23"/>
      <c r="QO147" s="23"/>
      <c r="QP147" s="23"/>
      <c r="QQ147" s="23"/>
      <c r="QR147" s="23"/>
      <c r="QS147" s="23"/>
      <c r="QT147" s="23"/>
      <c r="QU147" s="23"/>
      <c r="QV147" s="23"/>
      <c r="QW147" s="23"/>
      <c r="QX147" s="23"/>
      <c r="QY147" s="23"/>
      <c r="QZ147" s="23"/>
      <c r="RA147" s="23"/>
      <c r="RB147" s="23"/>
      <c r="RC147" s="23"/>
      <c r="RD147" s="23"/>
      <c r="RE147" s="23"/>
      <c r="RF147" s="23"/>
      <c r="RG147" s="23"/>
      <c r="RH147" s="23"/>
      <c r="RI147" s="23"/>
      <c r="RJ147" s="23"/>
      <c r="RK147" s="23"/>
      <c r="RL147" s="23"/>
      <c r="RM147" s="23"/>
      <c r="RN147" s="23"/>
      <c r="RO147" s="23"/>
      <c r="RP147" s="23"/>
      <c r="RQ147" s="23"/>
      <c r="RR147" s="23"/>
      <c r="RS147" s="23"/>
      <c r="RT147" s="23"/>
      <c r="RU147" s="23"/>
      <c r="RV147" s="23"/>
      <c r="RW147" s="23"/>
      <c r="RX147" s="23"/>
      <c r="RY147" s="23"/>
      <c r="RZ147" s="23"/>
      <c r="SA147" s="23"/>
      <c r="SB147" s="23"/>
      <c r="SC147" s="23"/>
      <c r="SD147" s="23"/>
      <c r="SE147" s="23"/>
      <c r="SF147" s="23"/>
      <c r="SG147" s="23"/>
      <c r="SH147" s="23"/>
      <c r="SI147" s="23"/>
      <c r="SJ147" s="23"/>
      <c r="SK147" s="23"/>
      <c r="SL147" s="23"/>
      <c r="SM147" s="23"/>
      <c r="SN147" s="23"/>
      <c r="SO147" s="23"/>
      <c r="SP147" s="23"/>
      <c r="SQ147" s="23"/>
      <c r="SR147" s="23"/>
      <c r="SS147" s="23"/>
      <c r="ST147" s="23"/>
      <c r="SU147" s="23"/>
      <c r="SV147" s="23"/>
      <c r="SW147" s="23"/>
      <c r="SX147" s="23"/>
      <c r="SY147" s="23"/>
      <c r="SZ147" s="23"/>
      <c r="TA147" s="23"/>
      <c r="TB147" s="23"/>
      <c r="TC147" s="23"/>
      <c r="TD147" s="23"/>
      <c r="TE147" s="23"/>
    </row>
    <row r="148" spans="1:525" s="22" customFormat="1" ht="31.5" x14ac:dyDescent="0.25">
      <c r="A148" s="56" t="s">
        <v>174</v>
      </c>
      <c r="B148" s="84" t="str">
        <f>'дод 3'!A92</f>
        <v>2030</v>
      </c>
      <c r="C148" s="84" t="str">
        <f>'дод 3'!B92</f>
        <v>0733</v>
      </c>
      <c r="D148" s="57" t="str">
        <f>'дод 3'!C92</f>
        <v>Лікарсько-акушерська допомога вагітним, породіллям та новонародженим</v>
      </c>
      <c r="E148" s="139">
        <f t="shared" si="55"/>
        <v>5125600</v>
      </c>
      <c r="F148" s="139">
        <v>5125600</v>
      </c>
      <c r="G148" s="144"/>
      <c r="H148" s="144"/>
      <c r="I148" s="141"/>
      <c r="J148" s="139">
        <f t="shared" si="57"/>
        <v>0</v>
      </c>
      <c r="K148" s="139"/>
      <c r="L148" s="139"/>
      <c r="M148" s="139"/>
      <c r="N148" s="139"/>
      <c r="O148" s="139"/>
      <c r="P148" s="139">
        <f t="shared" si="56"/>
        <v>5125600</v>
      </c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  <c r="SQ148" s="23"/>
      <c r="SR148" s="23"/>
      <c r="SS148" s="23"/>
      <c r="ST148" s="23"/>
      <c r="SU148" s="23"/>
      <c r="SV148" s="23"/>
      <c r="SW148" s="23"/>
      <c r="SX148" s="23"/>
      <c r="SY148" s="23"/>
      <c r="SZ148" s="23"/>
      <c r="TA148" s="23"/>
      <c r="TB148" s="23"/>
      <c r="TC148" s="23"/>
      <c r="TD148" s="23"/>
      <c r="TE148" s="23"/>
    </row>
    <row r="149" spans="1:525" s="24" customFormat="1" ht="31.5" hidden="1" x14ac:dyDescent="0.25">
      <c r="A149" s="76"/>
      <c r="B149" s="97"/>
      <c r="C149" s="97"/>
      <c r="D149" s="79" t="s">
        <v>385</v>
      </c>
      <c r="E149" s="140">
        <f t="shared" si="55"/>
        <v>0</v>
      </c>
      <c r="F149" s="140"/>
      <c r="G149" s="143"/>
      <c r="H149" s="143"/>
      <c r="I149" s="143"/>
      <c r="J149" s="140"/>
      <c r="K149" s="140"/>
      <c r="L149" s="140"/>
      <c r="M149" s="140"/>
      <c r="N149" s="140"/>
      <c r="O149" s="140"/>
      <c r="P149" s="139">
        <f t="shared" si="56"/>
        <v>0</v>
      </c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  <c r="SO149" s="30"/>
      <c r="SP149" s="30"/>
      <c r="SQ149" s="30"/>
      <c r="SR149" s="30"/>
      <c r="SS149" s="30"/>
      <c r="ST149" s="30"/>
      <c r="SU149" s="30"/>
      <c r="SV149" s="30"/>
      <c r="SW149" s="30"/>
      <c r="SX149" s="30"/>
      <c r="SY149" s="30"/>
      <c r="SZ149" s="30"/>
      <c r="TA149" s="30"/>
      <c r="TB149" s="30"/>
      <c r="TC149" s="30"/>
      <c r="TD149" s="30"/>
      <c r="TE149" s="30"/>
    </row>
    <row r="150" spans="1:525" s="24" customFormat="1" ht="15.75" x14ac:dyDescent="0.25">
      <c r="A150" s="56" t="s">
        <v>623</v>
      </c>
      <c r="B150" s="84">
        <v>2070</v>
      </c>
      <c r="C150" s="55" t="s">
        <v>624</v>
      </c>
      <c r="D150" s="57" t="s">
        <v>625</v>
      </c>
      <c r="E150" s="139"/>
      <c r="F150" s="139"/>
      <c r="G150" s="57"/>
      <c r="H150" s="57"/>
      <c r="I150" s="57"/>
      <c r="J150" s="139">
        <v>400000</v>
      </c>
      <c r="K150" s="139">
        <v>400000</v>
      </c>
      <c r="L150" s="139"/>
      <c r="M150" s="139"/>
      <c r="N150" s="139"/>
      <c r="O150" s="139">
        <v>400000</v>
      </c>
      <c r="P150" s="139">
        <f t="shared" si="56"/>
        <v>400000</v>
      </c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30"/>
      <c r="NY150" s="30"/>
      <c r="NZ150" s="30"/>
      <c r="OA150" s="30"/>
      <c r="OB150" s="30"/>
      <c r="OC150" s="30"/>
      <c r="OD150" s="30"/>
      <c r="OE150" s="30"/>
      <c r="OF150" s="30"/>
      <c r="OG150" s="30"/>
      <c r="OH150" s="30"/>
      <c r="OI150" s="30"/>
      <c r="OJ150" s="30"/>
      <c r="OK150" s="30"/>
      <c r="OL150" s="30"/>
      <c r="OM150" s="30"/>
      <c r="ON150" s="30"/>
      <c r="OO150" s="30"/>
      <c r="OP150" s="30"/>
      <c r="OQ150" s="30"/>
      <c r="OR150" s="30"/>
      <c r="OS150" s="30"/>
      <c r="OT150" s="30"/>
      <c r="OU150" s="30"/>
      <c r="OV150" s="30"/>
      <c r="OW150" s="30"/>
      <c r="OX150" s="30"/>
      <c r="OY150" s="30"/>
      <c r="OZ150" s="30"/>
      <c r="PA150" s="30"/>
      <c r="PB150" s="30"/>
      <c r="PC150" s="30"/>
      <c r="PD150" s="30"/>
      <c r="PE150" s="30"/>
      <c r="PF150" s="30"/>
      <c r="PG150" s="30"/>
      <c r="PH150" s="30"/>
      <c r="PI150" s="30"/>
      <c r="PJ150" s="30"/>
      <c r="PK150" s="30"/>
      <c r="PL150" s="30"/>
      <c r="PM150" s="30"/>
      <c r="PN150" s="30"/>
      <c r="PO150" s="30"/>
      <c r="PP150" s="30"/>
      <c r="PQ150" s="30"/>
      <c r="PR150" s="30"/>
      <c r="PS150" s="30"/>
      <c r="PT150" s="30"/>
      <c r="PU150" s="30"/>
      <c r="PV150" s="30"/>
      <c r="PW150" s="30"/>
      <c r="PX150" s="30"/>
      <c r="PY150" s="30"/>
      <c r="PZ150" s="30"/>
      <c r="QA150" s="30"/>
      <c r="QB150" s="30"/>
      <c r="QC150" s="30"/>
      <c r="QD150" s="30"/>
      <c r="QE150" s="30"/>
      <c r="QF150" s="30"/>
      <c r="QG150" s="30"/>
      <c r="QH150" s="30"/>
      <c r="QI150" s="30"/>
      <c r="QJ150" s="30"/>
      <c r="QK150" s="30"/>
      <c r="QL150" s="30"/>
      <c r="QM150" s="30"/>
      <c r="QN150" s="30"/>
      <c r="QO150" s="30"/>
      <c r="QP150" s="30"/>
      <c r="QQ150" s="30"/>
      <c r="QR150" s="30"/>
      <c r="QS150" s="30"/>
      <c r="QT150" s="30"/>
      <c r="QU150" s="30"/>
      <c r="QV150" s="30"/>
      <c r="QW150" s="30"/>
      <c r="QX150" s="30"/>
      <c r="QY150" s="30"/>
      <c r="QZ150" s="30"/>
      <c r="RA150" s="30"/>
      <c r="RB150" s="30"/>
      <c r="RC150" s="30"/>
      <c r="RD150" s="30"/>
      <c r="RE150" s="30"/>
      <c r="RF150" s="30"/>
      <c r="RG150" s="30"/>
      <c r="RH150" s="30"/>
      <c r="RI150" s="30"/>
      <c r="RJ150" s="30"/>
      <c r="RK150" s="30"/>
      <c r="RL150" s="30"/>
      <c r="RM150" s="30"/>
      <c r="RN150" s="30"/>
      <c r="RO150" s="30"/>
      <c r="RP150" s="30"/>
      <c r="RQ150" s="30"/>
      <c r="RR150" s="30"/>
      <c r="RS150" s="30"/>
      <c r="RT150" s="30"/>
      <c r="RU150" s="30"/>
      <c r="RV150" s="30"/>
      <c r="RW150" s="30"/>
      <c r="RX150" s="30"/>
      <c r="RY150" s="30"/>
      <c r="RZ150" s="30"/>
      <c r="SA150" s="30"/>
      <c r="SB150" s="30"/>
      <c r="SC150" s="30"/>
      <c r="SD150" s="30"/>
      <c r="SE150" s="30"/>
      <c r="SF150" s="30"/>
      <c r="SG150" s="30"/>
      <c r="SH150" s="30"/>
      <c r="SI150" s="30"/>
      <c r="SJ150" s="30"/>
      <c r="SK150" s="30"/>
      <c r="SL150" s="30"/>
      <c r="SM150" s="30"/>
      <c r="SN150" s="30"/>
      <c r="SO150" s="30"/>
      <c r="SP150" s="30"/>
      <c r="SQ150" s="30"/>
      <c r="SR150" s="30"/>
      <c r="SS150" s="30"/>
      <c r="ST150" s="30"/>
      <c r="SU150" s="30"/>
      <c r="SV150" s="30"/>
      <c r="SW150" s="30"/>
      <c r="SX150" s="30"/>
      <c r="SY150" s="30"/>
      <c r="SZ150" s="30"/>
      <c r="TA150" s="30"/>
      <c r="TB150" s="30"/>
      <c r="TC150" s="30"/>
      <c r="TD150" s="30"/>
      <c r="TE150" s="30"/>
    </row>
    <row r="151" spans="1:525" s="22" customFormat="1" ht="24" customHeight="1" x14ac:dyDescent="0.25">
      <c r="A151" s="56" t="s">
        <v>173</v>
      </c>
      <c r="B151" s="84" t="str">
        <f>'дод 3'!A95</f>
        <v>2100</v>
      </c>
      <c r="C151" s="84" t="str">
        <f>'дод 3'!B95</f>
        <v>0722</v>
      </c>
      <c r="D151" s="57" t="str">
        <f>'дод 3'!C95</f>
        <v>Стоматологічна допомога населенню</v>
      </c>
      <c r="E151" s="139">
        <f t="shared" si="55"/>
        <v>12388700</v>
      </c>
      <c r="F151" s="139">
        <f>12958700-570000</f>
        <v>12388700</v>
      </c>
      <c r="G151" s="144"/>
      <c r="H151" s="144"/>
      <c r="I151" s="141"/>
      <c r="J151" s="139">
        <f t="shared" si="57"/>
        <v>0</v>
      </c>
      <c r="K151" s="139"/>
      <c r="L151" s="139"/>
      <c r="M151" s="139"/>
      <c r="N151" s="139"/>
      <c r="O151" s="139"/>
      <c r="P151" s="139">
        <f t="shared" si="56"/>
        <v>12388700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  <c r="PA151" s="23"/>
      <c r="PB151" s="23"/>
      <c r="PC151" s="23"/>
      <c r="PD151" s="23"/>
      <c r="PE151" s="23"/>
      <c r="PF151" s="23"/>
      <c r="PG151" s="23"/>
      <c r="PH151" s="23"/>
      <c r="PI151" s="23"/>
      <c r="PJ151" s="23"/>
      <c r="PK151" s="23"/>
      <c r="PL151" s="23"/>
      <c r="PM151" s="23"/>
      <c r="PN151" s="23"/>
      <c r="PO151" s="23"/>
      <c r="PP151" s="23"/>
      <c r="PQ151" s="23"/>
      <c r="PR151" s="23"/>
      <c r="PS151" s="23"/>
      <c r="PT151" s="23"/>
      <c r="PU151" s="23"/>
      <c r="PV151" s="23"/>
      <c r="PW151" s="23"/>
      <c r="PX151" s="23"/>
      <c r="PY151" s="23"/>
      <c r="PZ151" s="23"/>
      <c r="QA151" s="23"/>
      <c r="QB151" s="23"/>
      <c r="QC151" s="23"/>
      <c r="QD151" s="23"/>
      <c r="QE151" s="23"/>
      <c r="QF151" s="23"/>
      <c r="QG151" s="23"/>
      <c r="QH151" s="23"/>
      <c r="QI151" s="23"/>
      <c r="QJ151" s="23"/>
      <c r="QK151" s="23"/>
      <c r="QL151" s="23"/>
      <c r="QM151" s="23"/>
      <c r="QN151" s="23"/>
      <c r="QO151" s="23"/>
      <c r="QP151" s="23"/>
      <c r="QQ151" s="23"/>
      <c r="QR151" s="23"/>
      <c r="QS151" s="23"/>
      <c r="QT151" s="23"/>
      <c r="QU151" s="23"/>
      <c r="QV151" s="23"/>
      <c r="QW151" s="23"/>
      <c r="QX151" s="23"/>
      <c r="QY151" s="23"/>
      <c r="QZ151" s="23"/>
      <c r="RA151" s="23"/>
      <c r="RB151" s="23"/>
      <c r="RC151" s="23"/>
      <c r="RD151" s="23"/>
      <c r="RE151" s="23"/>
      <c r="RF151" s="23"/>
      <c r="RG151" s="23"/>
      <c r="RH151" s="23"/>
      <c r="RI151" s="23"/>
      <c r="RJ151" s="23"/>
      <c r="RK151" s="23"/>
      <c r="RL151" s="23"/>
      <c r="RM151" s="23"/>
      <c r="RN151" s="23"/>
      <c r="RO151" s="23"/>
      <c r="RP151" s="23"/>
      <c r="RQ151" s="23"/>
      <c r="RR151" s="23"/>
      <c r="RS151" s="23"/>
      <c r="RT151" s="23"/>
      <c r="RU151" s="23"/>
      <c r="RV151" s="23"/>
      <c r="RW151" s="23"/>
      <c r="RX151" s="23"/>
      <c r="RY151" s="23"/>
      <c r="RZ151" s="23"/>
      <c r="SA151" s="23"/>
      <c r="SB151" s="23"/>
      <c r="SC151" s="23"/>
      <c r="SD151" s="23"/>
      <c r="SE151" s="23"/>
      <c r="SF151" s="23"/>
      <c r="SG151" s="23"/>
      <c r="SH151" s="23"/>
      <c r="SI151" s="23"/>
      <c r="SJ151" s="23"/>
      <c r="SK151" s="23"/>
      <c r="SL151" s="23"/>
      <c r="SM151" s="23"/>
      <c r="SN151" s="23"/>
      <c r="SO151" s="23"/>
      <c r="SP151" s="23"/>
      <c r="SQ151" s="23"/>
      <c r="SR151" s="23"/>
      <c r="SS151" s="23"/>
      <c r="ST151" s="23"/>
      <c r="SU151" s="23"/>
      <c r="SV151" s="23"/>
      <c r="SW151" s="23"/>
      <c r="SX151" s="23"/>
      <c r="SY151" s="23"/>
      <c r="SZ151" s="23"/>
      <c r="TA151" s="23"/>
      <c r="TB151" s="23"/>
      <c r="TC151" s="23"/>
      <c r="TD151" s="23"/>
      <c r="TE151" s="23"/>
    </row>
    <row r="152" spans="1:525" s="24" customFormat="1" ht="30" hidden="1" customHeight="1" x14ac:dyDescent="0.25">
      <c r="A152" s="76"/>
      <c r="B152" s="97"/>
      <c r="C152" s="97"/>
      <c r="D152" s="79" t="s">
        <v>385</v>
      </c>
      <c r="E152" s="140">
        <f t="shared" si="55"/>
        <v>0</v>
      </c>
      <c r="F152" s="140"/>
      <c r="G152" s="143"/>
      <c r="H152" s="143"/>
      <c r="I152" s="143"/>
      <c r="J152" s="140">
        <f t="shared" si="57"/>
        <v>0</v>
      </c>
      <c r="K152" s="140"/>
      <c r="L152" s="140"/>
      <c r="M152" s="140"/>
      <c r="N152" s="140"/>
      <c r="O152" s="140"/>
      <c r="P152" s="140">
        <f t="shared" si="56"/>
        <v>0</v>
      </c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  <c r="SQ152" s="30"/>
      <c r="SR152" s="30"/>
      <c r="SS152" s="30"/>
      <c r="ST152" s="30"/>
      <c r="SU152" s="30"/>
      <c r="SV152" s="30"/>
      <c r="SW152" s="30"/>
      <c r="SX152" s="30"/>
      <c r="SY152" s="30"/>
      <c r="SZ152" s="30"/>
      <c r="TA152" s="30"/>
      <c r="TB152" s="30"/>
      <c r="TC152" s="30"/>
      <c r="TD152" s="30"/>
      <c r="TE152" s="30"/>
    </row>
    <row r="153" spans="1:525" s="22" customFormat="1" ht="48" customHeight="1" x14ac:dyDescent="0.25">
      <c r="A153" s="56" t="s">
        <v>172</v>
      </c>
      <c r="B153" s="84" t="str">
        <f>'дод 3'!A97</f>
        <v>2111</v>
      </c>
      <c r="C153" s="84" t="str">
        <f>'дод 3'!B97</f>
        <v>0726</v>
      </c>
      <c r="D153" s="57" t="str">
        <f>'дод 3'!C97</f>
        <v>Первинна медична допомога населенню, що надається центрами первинної медичної (медико-санітарної) допомоги</v>
      </c>
      <c r="E153" s="139">
        <f t="shared" si="55"/>
        <v>5307100</v>
      </c>
      <c r="F153" s="139">
        <v>5307100</v>
      </c>
      <c r="G153" s="141"/>
      <c r="H153" s="144"/>
      <c r="I153" s="141"/>
      <c r="J153" s="139">
        <f t="shared" si="57"/>
        <v>0</v>
      </c>
      <c r="K153" s="139"/>
      <c r="L153" s="139"/>
      <c r="M153" s="139"/>
      <c r="N153" s="139"/>
      <c r="O153" s="139"/>
      <c r="P153" s="139">
        <f t="shared" si="56"/>
        <v>5307100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</row>
    <row r="154" spans="1:525" s="24" customFormat="1" ht="63" hidden="1" customHeight="1" x14ac:dyDescent="0.25">
      <c r="A154" s="76"/>
      <c r="B154" s="97"/>
      <c r="C154" s="97"/>
      <c r="D154" s="77" t="s">
        <v>387</v>
      </c>
      <c r="E154" s="140">
        <f t="shared" si="55"/>
        <v>0</v>
      </c>
      <c r="F154" s="140"/>
      <c r="G154" s="143"/>
      <c r="H154" s="143"/>
      <c r="I154" s="143"/>
      <c r="J154" s="140">
        <f t="shared" si="57"/>
        <v>0</v>
      </c>
      <c r="K154" s="140"/>
      <c r="L154" s="140"/>
      <c r="M154" s="140"/>
      <c r="N154" s="140"/>
      <c r="O154" s="140"/>
      <c r="P154" s="140">
        <f t="shared" si="56"/>
        <v>0</v>
      </c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  <c r="IW154" s="30"/>
      <c r="IX154" s="30"/>
      <c r="IY154" s="30"/>
      <c r="IZ154" s="30"/>
      <c r="JA154" s="30"/>
      <c r="JB154" s="30"/>
      <c r="JC154" s="30"/>
      <c r="JD154" s="30"/>
      <c r="JE154" s="30"/>
      <c r="JF154" s="30"/>
      <c r="JG154" s="30"/>
      <c r="JH154" s="30"/>
      <c r="JI154" s="30"/>
      <c r="JJ154" s="30"/>
      <c r="JK154" s="30"/>
      <c r="JL154" s="30"/>
      <c r="JM154" s="30"/>
      <c r="JN154" s="30"/>
      <c r="JO154" s="30"/>
      <c r="JP154" s="30"/>
      <c r="JQ154" s="30"/>
      <c r="JR154" s="30"/>
      <c r="JS154" s="30"/>
      <c r="JT154" s="30"/>
      <c r="JU154" s="30"/>
      <c r="JV154" s="30"/>
      <c r="JW154" s="30"/>
      <c r="JX154" s="30"/>
      <c r="JY154" s="30"/>
      <c r="JZ154" s="30"/>
      <c r="KA154" s="30"/>
      <c r="KB154" s="30"/>
      <c r="KC154" s="30"/>
      <c r="KD154" s="30"/>
      <c r="KE154" s="30"/>
      <c r="KF154" s="30"/>
      <c r="KG154" s="30"/>
      <c r="KH154" s="30"/>
      <c r="KI154" s="30"/>
      <c r="KJ154" s="30"/>
      <c r="KK154" s="30"/>
      <c r="KL154" s="30"/>
      <c r="KM154" s="30"/>
      <c r="KN154" s="30"/>
      <c r="KO154" s="30"/>
      <c r="KP154" s="30"/>
      <c r="KQ154" s="30"/>
      <c r="KR154" s="30"/>
      <c r="KS154" s="30"/>
      <c r="KT154" s="30"/>
      <c r="KU154" s="30"/>
      <c r="KV154" s="30"/>
      <c r="KW154" s="30"/>
      <c r="KX154" s="30"/>
      <c r="KY154" s="30"/>
      <c r="KZ154" s="30"/>
      <c r="LA154" s="30"/>
      <c r="LB154" s="30"/>
      <c r="LC154" s="30"/>
      <c r="LD154" s="30"/>
      <c r="LE154" s="30"/>
      <c r="LF154" s="30"/>
      <c r="LG154" s="30"/>
      <c r="LH154" s="30"/>
      <c r="LI154" s="30"/>
      <c r="LJ154" s="30"/>
      <c r="LK154" s="30"/>
      <c r="LL154" s="30"/>
      <c r="LM154" s="30"/>
      <c r="LN154" s="30"/>
      <c r="LO154" s="30"/>
      <c r="LP154" s="30"/>
      <c r="LQ154" s="30"/>
      <c r="LR154" s="30"/>
      <c r="LS154" s="30"/>
      <c r="LT154" s="30"/>
      <c r="LU154" s="30"/>
      <c r="LV154" s="30"/>
      <c r="LW154" s="30"/>
      <c r="LX154" s="30"/>
      <c r="LY154" s="30"/>
      <c r="LZ154" s="30"/>
      <c r="MA154" s="30"/>
      <c r="MB154" s="30"/>
      <c r="MC154" s="30"/>
      <c r="MD154" s="30"/>
      <c r="ME154" s="30"/>
      <c r="MF154" s="30"/>
      <c r="MG154" s="30"/>
      <c r="MH154" s="30"/>
      <c r="MI154" s="30"/>
      <c r="MJ154" s="30"/>
      <c r="MK154" s="30"/>
      <c r="ML154" s="30"/>
      <c r="MM154" s="30"/>
      <c r="MN154" s="30"/>
      <c r="MO154" s="30"/>
      <c r="MP154" s="30"/>
      <c r="MQ154" s="30"/>
      <c r="MR154" s="30"/>
      <c r="MS154" s="30"/>
      <c r="MT154" s="30"/>
      <c r="MU154" s="30"/>
      <c r="MV154" s="30"/>
      <c r="MW154" s="30"/>
      <c r="MX154" s="30"/>
      <c r="MY154" s="30"/>
      <c r="MZ154" s="30"/>
      <c r="NA154" s="30"/>
      <c r="NB154" s="30"/>
      <c r="NC154" s="30"/>
      <c r="ND154" s="30"/>
      <c r="NE154" s="30"/>
      <c r="NF154" s="30"/>
      <c r="NG154" s="30"/>
      <c r="NH154" s="30"/>
      <c r="NI154" s="30"/>
      <c r="NJ154" s="30"/>
      <c r="NK154" s="30"/>
      <c r="NL154" s="30"/>
      <c r="NM154" s="30"/>
      <c r="NN154" s="30"/>
      <c r="NO154" s="30"/>
      <c r="NP154" s="30"/>
      <c r="NQ154" s="30"/>
      <c r="NR154" s="30"/>
      <c r="NS154" s="30"/>
      <c r="NT154" s="30"/>
      <c r="NU154" s="30"/>
      <c r="NV154" s="30"/>
      <c r="NW154" s="30"/>
      <c r="NX154" s="30"/>
      <c r="NY154" s="30"/>
      <c r="NZ154" s="30"/>
      <c r="OA154" s="30"/>
      <c r="OB154" s="30"/>
      <c r="OC154" s="30"/>
      <c r="OD154" s="30"/>
      <c r="OE154" s="30"/>
      <c r="OF154" s="30"/>
      <c r="OG154" s="30"/>
      <c r="OH154" s="30"/>
      <c r="OI154" s="30"/>
      <c r="OJ154" s="30"/>
      <c r="OK154" s="30"/>
      <c r="OL154" s="30"/>
      <c r="OM154" s="30"/>
      <c r="ON154" s="30"/>
      <c r="OO154" s="30"/>
      <c r="OP154" s="30"/>
      <c r="OQ154" s="30"/>
      <c r="OR154" s="30"/>
      <c r="OS154" s="30"/>
      <c r="OT154" s="30"/>
      <c r="OU154" s="30"/>
      <c r="OV154" s="30"/>
      <c r="OW154" s="30"/>
      <c r="OX154" s="30"/>
      <c r="OY154" s="30"/>
      <c r="OZ154" s="30"/>
      <c r="PA154" s="30"/>
      <c r="PB154" s="30"/>
      <c r="PC154" s="30"/>
      <c r="PD154" s="30"/>
      <c r="PE154" s="30"/>
      <c r="PF154" s="30"/>
      <c r="PG154" s="30"/>
      <c r="PH154" s="30"/>
      <c r="PI154" s="30"/>
      <c r="PJ154" s="30"/>
      <c r="PK154" s="30"/>
      <c r="PL154" s="30"/>
      <c r="PM154" s="30"/>
      <c r="PN154" s="30"/>
      <c r="PO154" s="30"/>
      <c r="PP154" s="30"/>
      <c r="PQ154" s="30"/>
      <c r="PR154" s="30"/>
      <c r="PS154" s="30"/>
      <c r="PT154" s="30"/>
      <c r="PU154" s="30"/>
      <c r="PV154" s="30"/>
      <c r="PW154" s="30"/>
      <c r="PX154" s="30"/>
      <c r="PY154" s="30"/>
      <c r="PZ154" s="30"/>
      <c r="QA154" s="30"/>
      <c r="QB154" s="30"/>
      <c r="QC154" s="30"/>
      <c r="QD154" s="30"/>
      <c r="QE154" s="30"/>
      <c r="QF154" s="30"/>
      <c r="QG154" s="30"/>
      <c r="QH154" s="30"/>
      <c r="QI154" s="30"/>
      <c r="QJ154" s="30"/>
      <c r="QK154" s="30"/>
      <c r="QL154" s="30"/>
      <c r="QM154" s="30"/>
      <c r="QN154" s="30"/>
      <c r="QO154" s="30"/>
      <c r="QP154" s="30"/>
      <c r="QQ154" s="30"/>
      <c r="QR154" s="30"/>
      <c r="QS154" s="30"/>
      <c r="QT154" s="30"/>
      <c r="QU154" s="30"/>
      <c r="QV154" s="30"/>
      <c r="QW154" s="30"/>
      <c r="QX154" s="30"/>
      <c r="QY154" s="30"/>
      <c r="QZ154" s="30"/>
      <c r="RA154" s="30"/>
      <c r="RB154" s="30"/>
      <c r="RC154" s="30"/>
      <c r="RD154" s="30"/>
      <c r="RE154" s="30"/>
      <c r="RF154" s="30"/>
      <c r="RG154" s="30"/>
      <c r="RH154" s="30"/>
      <c r="RI154" s="30"/>
      <c r="RJ154" s="30"/>
      <c r="RK154" s="30"/>
      <c r="RL154" s="30"/>
      <c r="RM154" s="30"/>
      <c r="RN154" s="30"/>
      <c r="RO154" s="30"/>
      <c r="RP154" s="30"/>
      <c r="RQ154" s="30"/>
      <c r="RR154" s="30"/>
      <c r="RS154" s="30"/>
      <c r="RT154" s="30"/>
      <c r="RU154" s="30"/>
      <c r="RV154" s="30"/>
      <c r="RW154" s="30"/>
      <c r="RX154" s="30"/>
      <c r="RY154" s="30"/>
      <c r="RZ154" s="30"/>
      <c r="SA154" s="30"/>
      <c r="SB154" s="30"/>
      <c r="SC154" s="30"/>
      <c r="SD154" s="30"/>
      <c r="SE154" s="30"/>
      <c r="SF154" s="30"/>
      <c r="SG154" s="30"/>
      <c r="SH154" s="30"/>
      <c r="SI154" s="30"/>
      <c r="SJ154" s="30"/>
      <c r="SK154" s="30"/>
      <c r="SL154" s="30"/>
      <c r="SM154" s="30"/>
      <c r="SN154" s="30"/>
      <c r="SO154" s="30"/>
      <c r="SP154" s="30"/>
      <c r="SQ154" s="30"/>
      <c r="SR154" s="30"/>
      <c r="SS154" s="30"/>
      <c r="ST154" s="30"/>
      <c r="SU154" s="30"/>
      <c r="SV154" s="30"/>
      <c r="SW154" s="30"/>
      <c r="SX154" s="30"/>
      <c r="SY154" s="30"/>
      <c r="SZ154" s="30"/>
      <c r="TA154" s="30"/>
      <c r="TB154" s="30"/>
      <c r="TC154" s="30"/>
      <c r="TD154" s="30"/>
      <c r="TE154" s="30"/>
    </row>
    <row r="155" spans="1:525" s="22" customFormat="1" ht="31.5" hidden="1" customHeight="1" x14ac:dyDescent="0.25">
      <c r="A155" s="56" t="s">
        <v>171</v>
      </c>
      <c r="B155" s="84">
        <f>'дод 3'!A99</f>
        <v>2144</v>
      </c>
      <c r="C155" s="84" t="str">
        <f>'дод 3'!B99</f>
        <v>0763</v>
      </c>
      <c r="D155" s="105" t="str">
        <f>'дод 3'!C99</f>
        <v>Централізовані заходи з лікування хворих на цукровий та нецукровий діабет, у т.ч. за рахунок:</v>
      </c>
      <c r="E155" s="139">
        <f t="shared" si="55"/>
        <v>0</v>
      </c>
      <c r="F155" s="139"/>
      <c r="G155" s="141"/>
      <c r="H155" s="141"/>
      <c r="I155" s="141"/>
      <c r="J155" s="139">
        <f t="shared" si="57"/>
        <v>0</v>
      </c>
      <c r="K155" s="139"/>
      <c r="L155" s="139"/>
      <c r="M155" s="139"/>
      <c r="N155" s="139"/>
      <c r="O155" s="139"/>
      <c r="P155" s="139">
        <f t="shared" si="56"/>
        <v>0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</row>
    <row r="156" spans="1:525" s="24" customFormat="1" ht="47.25" hidden="1" customHeight="1" x14ac:dyDescent="0.25">
      <c r="A156" s="76"/>
      <c r="B156" s="97"/>
      <c r="C156" s="97"/>
      <c r="D156" s="106" t="s">
        <v>386</v>
      </c>
      <c r="E156" s="140">
        <f t="shared" si="55"/>
        <v>0</v>
      </c>
      <c r="F156" s="140"/>
      <c r="G156" s="140"/>
      <c r="H156" s="140"/>
      <c r="I156" s="140"/>
      <c r="J156" s="140">
        <f t="shared" si="57"/>
        <v>0</v>
      </c>
      <c r="K156" s="140"/>
      <c r="L156" s="140"/>
      <c r="M156" s="140"/>
      <c r="N156" s="140"/>
      <c r="O156" s="140"/>
      <c r="P156" s="140">
        <f t="shared" si="56"/>
        <v>0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/>
      <c r="JA156" s="30"/>
      <c r="JB156" s="30"/>
      <c r="JC156" s="30"/>
      <c r="JD156" s="30"/>
      <c r="JE156" s="30"/>
      <c r="JF156" s="30"/>
      <c r="JG156" s="30"/>
      <c r="JH156" s="30"/>
      <c r="JI156" s="30"/>
      <c r="JJ156" s="30"/>
      <c r="JK156" s="30"/>
      <c r="JL156" s="30"/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30"/>
      <c r="KU156" s="30"/>
      <c r="KV156" s="30"/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  <c r="LU156" s="30"/>
      <c r="LV156" s="30"/>
      <c r="LW156" s="30"/>
      <c r="LX156" s="30"/>
      <c r="LY156" s="30"/>
      <c r="LZ156" s="30"/>
      <c r="MA156" s="30"/>
      <c r="MB156" s="30"/>
      <c r="MC156" s="30"/>
      <c r="MD156" s="30"/>
      <c r="ME156" s="30"/>
      <c r="MF156" s="30"/>
      <c r="MG156" s="30"/>
      <c r="MH156" s="30"/>
      <c r="MI156" s="30"/>
      <c r="MJ156" s="30"/>
      <c r="MK156" s="30"/>
      <c r="ML156" s="30"/>
      <c r="MM156" s="30"/>
      <c r="MN156" s="30"/>
      <c r="MO156" s="30"/>
      <c r="MP156" s="30"/>
      <c r="MQ156" s="30"/>
      <c r="MR156" s="30"/>
      <c r="MS156" s="30"/>
      <c r="MT156" s="30"/>
      <c r="MU156" s="30"/>
      <c r="MV156" s="30"/>
      <c r="MW156" s="30"/>
      <c r="MX156" s="30"/>
      <c r="MY156" s="30"/>
      <c r="MZ156" s="30"/>
      <c r="NA156" s="30"/>
      <c r="NB156" s="30"/>
      <c r="NC156" s="30"/>
      <c r="ND156" s="30"/>
      <c r="NE156" s="30"/>
      <c r="NF156" s="30"/>
      <c r="NG156" s="30"/>
      <c r="NH156" s="30"/>
      <c r="NI156" s="30"/>
      <c r="NJ156" s="30"/>
      <c r="NK156" s="30"/>
      <c r="NL156" s="30"/>
      <c r="NM156" s="30"/>
      <c r="NN156" s="30"/>
      <c r="NO156" s="30"/>
      <c r="NP156" s="30"/>
      <c r="NQ156" s="30"/>
      <c r="NR156" s="30"/>
      <c r="NS156" s="30"/>
      <c r="NT156" s="30"/>
      <c r="NU156" s="30"/>
      <c r="NV156" s="30"/>
      <c r="NW156" s="30"/>
      <c r="NX156" s="30"/>
      <c r="NY156" s="30"/>
      <c r="NZ156" s="30"/>
      <c r="OA156" s="30"/>
      <c r="OB156" s="30"/>
      <c r="OC156" s="30"/>
      <c r="OD156" s="30"/>
      <c r="OE156" s="30"/>
      <c r="OF156" s="30"/>
      <c r="OG156" s="30"/>
      <c r="OH156" s="30"/>
      <c r="OI156" s="30"/>
      <c r="OJ156" s="30"/>
      <c r="OK156" s="30"/>
      <c r="OL156" s="30"/>
      <c r="OM156" s="30"/>
      <c r="ON156" s="30"/>
      <c r="OO156" s="30"/>
      <c r="OP156" s="30"/>
      <c r="OQ156" s="30"/>
      <c r="OR156" s="30"/>
      <c r="OS156" s="30"/>
      <c r="OT156" s="30"/>
      <c r="OU156" s="30"/>
      <c r="OV156" s="30"/>
      <c r="OW156" s="30"/>
      <c r="OX156" s="30"/>
      <c r="OY156" s="30"/>
      <c r="OZ156" s="30"/>
      <c r="PA156" s="30"/>
      <c r="PB156" s="30"/>
      <c r="PC156" s="30"/>
      <c r="PD156" s="30"/>
      <c r="PE156" s="30"/>
      <c r="PF156" s="30"/>
      <c r="PG156" s="30"/>
      <c r="PH156" s="30"/>
      <c r="PI156" s="30"/>
      <c r="PJ156" s="30"/>
      <c r="PK156" s="30"/>
      <c r="PL156" s="30"/>
      <c r="PM156" s="30"/>
      <c r="PN156" s="30"/>
      <c r="PO156" s="30"/>
      <c r="PP156" s="30"/>
      <c r="PQ156" s="30"/>
      <c r="PR156" s="30"/>
      <c r="PS156" s="30"/>
      <c r="PT156" s="30"/>
      <c r="PU156" s="30"/>
      <c r="PV156" s="30"/>
      <c r="PW156" s="30"/>
      <c r="PX156" s="30"/>
      <c r="PY156" s="30"/>
      <c r="PZ156" s="30"/>
      <c r="QA156" s="30"/>
      <c r="QB156" s="30"/>
      <c r="QC156" s="30"/>
      <c r="QD156" s="30"/>
      <c r="QE156" s="30"/>
      <c r="QF156" s="30"/>
      <c r="QG156" s="30"/>
      <c r="QH156" s="30"/>
      <c r="QI156" s="30"/>
      <c r="QJ156" s="30"/>
      <c r="QK156" s="30"/>
      <c r="QL156" s="30"/>
      <c r="QM156" s="30"/>
      <c r="QN156" s="30"/>
      <c r="QO156" s="30"/>
      <c r="QP156" s="30"/>
      <c r="QQ156" s="30"/>
      <c r="QR156" s="30"/>
      <c r="QS156" s="30"/>
      <c r="QT156" s="30"/>
      <c r="QU156" s="30"/>
      <c r="QV156" s="30"/>
      <c r="QW156" s="30"/>
      <c r="QX156" s="30"/>
      <c r="QY156" s="30"/>
      <c r="QZ156" s="30"/>
      <c r="RA156" s="30"/>
      <c r="RB156" s="30"/>
      <c r="RC156" s="30"/>
      <c r="RD156" s="30"/>
      <c r="RE156" s="30"/>
      <c r="RF156" s="30"/>
      <c r="RG156" s="30"/>
      <c r="RH156" s="30"/>
      <c r="RI156" s="30"/>
      <c r="RJ156" s="30"/>
      <c r="RK156" s="30"/>
      <c r="RL156" s="30"/>
      <c r="RM156" s="30"/>
      <c r="RN156" s="30"/>
      <c r="RO156" s="30"/>
      <c r="RP156" s="30"/>
      <c r="RQ156" s="30"/>
      <c r="RR156" s="30"/>
      <c r="RS156" s="30"/>
      <c r="RT156" s="30"/>
      <c r="RU156" s="30"/>
      <c r="RV156" s="30"/>
      <c r="RW156" s="30"/>
      <c r="RX156" s="30"/>
      <c r="RY156" s="30"/>
      <c r="RZ156" s="30"/>
      <c r="SA156" s="30"/>
      <c r="SB156" s="30"/>
      <c r="SC156" s="30"/>
      <c r="SD156" s="30"/>
      <c r="SE156" s="30"/>
      <c r="SF156" s="30"/>
      <c r="SG156" s="30"/>
      <c r="SH156" s="30"/>
      <c r="SI156" s="30"/>
      <c r="SJ156" s="30"/>
      <c r="SK156" s="30"/>
      <c r="SL156" s="30"/>
      <c r="SM156" s="30"/>
      <c r="SN156" s="30"/>
      <c r="SO156" s="30"/>
      <c r="SP156" s="30"/>
      <c r="SQ156" s="30"/>
      <c r="SR156" s="30"/>
      <c r="SS156" s="30"/>
      <c r="ST156" s="30"/>
      <c r="SU156" s="30"/>
      <c r="SV156" s="30"/>
      <c r="SW156" s="30"/>
      <c r="SX156" s="30"/>
      <c r="SY156" s="30"/>
      <c r="SZ156" s="30"/>
      <c r="TA156" s="30"/>
      <c r="TB156" s="30"/>
      <c r="TC156" s="30"/>
      <c r="TD156" s="30"/>
      <c r="TE156" s="30"/>
    </row>
    <row r="157" spans="1:525" s="24" customFormat="1" ht="63" hidden="1" customHeight="1" x14ac:dyDescent="0.25">
      <c r="A157" s="76"/>
      <c r="B157" s="97"/>
      <c r="C157" s="97"/>
      <c r="D157" s="106" t="s">
        <v>387</v>
      </c>
      <c r="E157" s="140">
        <f t="shared" si="55"/>
        <v>0</v>
      </c>
      <c r="F157" s="140"/>
      <c r="G157" s="143"/>
      <c r="H157" s="143"/>
      <c r="I157" s="143"/>
      <c r="J157" s="140">
        <f t="shared" si="57"/>
        <v>0</v>
      </c>
      <c r="K157" s="140"/>
      <c r="L157" s="140"/>
      <c r="M157" s="140"/>
      <c r="N157" s="140"/>
      <c r="O157" s="140"/>
      <c r="P157" s="140">
        <f t="shared" si="56"/>
        <v>0</v>
      </c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  <c r="SQ157" s="30"/>
      <c r="SR157" s="30"/>
      <c r="SS157" s="30"/>
      <c r="ST157" s="30"/>
      <c r="SU157" s="30"/>
      <c r="SV157" s="30"/>
      <c r="SW157" s="30"/>
      <c r="SX157" s="30"/>
      <c r="SY157" s="30"/>
      <c r="SZ157" s="30"/>
      <c r="TA157" s="30"/>
      <c r="TB157" s="30"/>
      <c r="TC157" s="30"/>
      <c r="TD157" s="30"/>
      <c r="TE157" s="30"/>
    </row>
    <row r="158" spans="1:525" s="22" customFormat="1" ht="30" customHeight="1" x14ac:dyDescent="0.25">
      <c r="A158" s="56" t="s">
        <v>320</v>
      </c>
      <c r="B158" s="42" t="str">
        <f>'дод 3'!A102</f>
        <v>2151</v>
      </c>
      <c r="C158" s="42" t="str">
        <f>'дод 3'!B102</f>
        <v>0763</v>
      </c>
      <c r="D158" s="57" t="str">
        <f>'дод 3'!C102</f>
        <v>Забезпечення діяльності інших закладів у сфері охорони здоров'я</v>
      </c>
      <c r="E158" s="139">
        <f t="shared" si="55"/>
        <v>3518500</v>
      </c>
      <c r="F158" s="139">
        <v>3518500</v>
      </c>
      <c r="G158" s="144">
        <v>2645800</v>
      </c>
      <c r="H158" s="144">
        <v>158000</v>
      </c>
      <c r="I158" s="141"/>
      <c r="J158" s="139">
        <f t="shared" si="57"/>
        <v>300000</v>
      </c>
      <c r="K158" s="139">
        <v>300000</v>
      </c>
      <c r="L158" s="139"/>
      <c r="M158" s="139"/>
      <c r="N158" s="139"/>
      <c r="O158" s="139">
        <v>300000</v>
      </c>
      <c r="P158" s="139">
        <f t="shared" si="56"/>
        <v>3818500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</row>
    <row r="159" spans="1:525" s="22" customFormat="1" ht="34.5" customHeight="1" x14ac:dyDescent="0.25">
      <c r="A159" s="56" t="s">
        <v>321</v>
      </c>
      <c r="B159" s="42" t="str">
        <f>'дод 3'!A103</f>
        <v>2152</v>
      </c>
      <c r="C159" s="42" t="str">
        <f>'дод 3'!B103</f>
        <v>0763</v>
      </c>
      <c r="D159" s="36" t="str">
        <f>'дод 3'!C103</f>
        <v>Інші програми та заходи у сфері охорони здоров'я</v>
      </c>
      <c r="E159" s="139">
        <f>F159+I159</f>
        <v>21723600</v>
      </c>
      <c r="F159" s="139">
        <v>21723600</v>
      </c>
      <c r="G159" s="139"/>
      <c r="H159" s="139"/>
      <c r="I159" s="139"/>
      <c r="J159" s="139">
        <f t="shared" si="57"/>
        <v>80030000</v>
      </c>
      <c r="K159" s="139">
        <v>80030000</v>
      </c>
      <c r="L159" s="139"/>
      <c r="M159" s="139"/>
      <c r="N159" s="139"/>
      <c r="O159" s="139">
        <v>80030000</v>
      </c>
      <c r="P159" s="139">
        <f t="shared" si="56"/>
        <v>101753600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</row>
    <row r="160" spans="1:525" s="22" customFormat="1" ht="24.75" hidden="1" customHeight="1" x14ac:dyDescent="0.25">
      <c r="A160" s="56" t="s">
        <v>410</v>
      </c>
      <c r="B160" s="42">
        <v>7322</v>
      </c>
      <c r="C160" s="89" t="s">
        <v>110</v>
      </c>
      <c r="D160" s="6" t="str">
        <f>'дод 3'!C186</f>
        <v>Будівництво1 медичних установ та закладів</v>
      </c>
      <c r="E160" s="139">
        <f>F160+I160</f>
        <v>0</v>
      </c>
      <c r="F160" s="139"/>
      <c r="G160" s="139"/>
      <c r="H160" s="139"/>
      <c r="I160" s="139"/>
      <c r="J160" s="139">
        <f t="shared" si="57"/>
        <v>0</v>
      </c>
      <c r="K160" s="139"/>
      <c r="L160" s="139"/>
      <c r="M160" s="139"/>
      <c r="N160" s="139"/>
      <c r="O160" s="139"/>
      <c r="P160" s="139">
        <f t="shared" si="56"/>
        <v>0</v>
      </c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</row>
    <row r="161" spans="1:525" s="22" customFormat="1" ht="47.25" x14ac:dyDescent="0.25">
      <c r="A161" s="56" t="s">
        <v>368</v>
      </c>
      <c r="B161" s="42">
        <f>'дод 3'!A193</f>
        <v>7361</v>
      </c>
      <c r="C161" s="42" t="str">
        <f>'дод 3'!B193</f>
        <v>0490</v>
      </c>
      <c r="D161" s="36" t="str">
        <f>'дод 3'!C193</f>
        <v>Співфінансування інвестиційних проектів, що реалізуються за рахунок коштів державного фонду регіонального розвитку</v>
      </c>
      <c r="E161" s="139">
        <f t="shared" si="55"/>
        <v>0</v>
      </c>
      <c r="F161" s="139"/>
      <c r="G161" s="139"/>
      <c r="H161" s="139"/>
      <c r="I161" s="139"/>
      <c r="J161" s="139">
        <f t="shared" si="57"/>
        <v>7136700</v>
      </c>
      <c r="K161" s="139">
        <f>17636700+1100000-10000000-1600000</f>
        <v>7136700</v>
      </c>
      <c r="L161" s="139"/>
      <c r="M161" s="139"/>
      <c r="N161" s="139"/>
      <c r="O161" s="139">
        <f>17636700+1100000-10000000-1600000</f>
        <v>7136700</v>
      </c>
      <c r="P161" s="139">
        <f t="shared" si="56"/>
        <v>7136700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</row>
    <row r="162" spans="1:525" s="22" customFormat="1" ht="47.25" hidden="1" customHeight="1" x14ac:dyDescent="0.25">
      <c r="A162" s="56" t="s">
        <v>417</v>
      </c>
      <c r="B162" s="42">
        <v>7363</v>
      </c>
      <c r="C162" s="89" t="s">
        <v>81</v>
      </c>
      <c r="D162" s="57" t="s">
        <v>392</v>
      </c>
      <c r="E162" s="139">
        <f t="shared" si="55"/>
        <v>0</v>
      </c>
      <c r="F162" s="139"/>
      <c r="G162" s="139"/>
      <c r="H162" s="139"/>
      <c r="I162" s="139"/>
      <c r="J162" s="139">
        <f t="shared" si="57"/>
        <v>0</v>
      </c>
      <c r="K162" s="139"/>
      <c r="L162" s="139"/>
      <c r="M162" s="139"/>
      <c r="N162" s="139"/>
      <c r="O162" s="139"/>
      <c r="P162" s="139">
        <f t="shared" si="56"/>
        <v>0</v>
      </c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</row>
    <row r="163" spans="1:525" s="22" customFormat="1" ht="47.25" hidden="1" customHeight="1" x14ac:dyDescent="0.25">
      <c r="A163" s="56"/>
      <c r="B163" s="42"/>
      <c r="C163" s="42"/>
      <c r="D163" s="79" t="s">
        <v>383</v>
      </c>
      <c r="E163" s="140">
        <f t="shared" si="55"/>
        <v>0</v>
      </c>
      <c r="F163" s="140"/>
      <c r="G163" s="140"/>
      <c r="H163" s="140"/>
      <c r="I163" s="140"/>
      <c r="J163" s="140">
        <f t="shared" si="57"/>
        <v>0</v>
      </c>
      <c r="K163" s="140"/>
      <c r="L163" s="140"/>
      <c r="M163" s="140"/>
      <c r="N163" s="140"/>
      <c r="O163" s="140"/>
      <c r="P163" s="140">
        <f t="shared" si="56"/>
        <v>0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</row>
    <row r="164" spans="1:525" s="22" customFormat="1" ht="27.75" customHeight="1" x14ac:dyDescent="0.25">
      <c r="A164" s="56" t="s">
        <v>170</v>
      </c>
      <c r="B164" s="84" t="str">
        <f>'дод 3'!A221</f>
        <v>7640</v>
      </c>
      <c r="C164" s="84" t="str">
        <f>'дод 3'!B221</f>
        <v>0470</v>
      </c>
      <c r="D164" s="57" t="s">
        <v>416</v>
      </c>
      <c r="E164" s="139">
        <f t="shared" si="55"/>
        <v>124500</v>
      </c>
      <c r="F164" s="139">
        <v>124500</v>
      </c>
      <c r="G164" s="139"/>
      <c r="H164" s="139"/>
      <c r="I164" s="139"/>
      <c r="J164" s="139">
        <f t="shared" si="57"/>
        <v>40500</v>
      </c>
      <c r="K164" s="139">
        <f>8635500-6900000-700000-495000-500000</f>
        <v>40500</v>
      </c>
      <c r="L164" s="139"/>
      <c r="M164" s="139"/>
      <c r="N164" s="139"/>
      <c r="O164" s="139">
        <f>8635500-6900000-700000-495000-500000</f>
        <v>40500</v>
      </c>
      <c r="P164" s="139">
        <f t="shared" si="56"/>
        <v>165000</v>
      </c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</row>
    <row r="165" spans="1:525" s="24" customFormat="1" ht="15" hidden="1" customHeight="1" x14ac:dyDescent="0.25">
      <c r="A165" s="76"/>
      <c r="B165" s="97"/>
      <c r="C165" s="97"/>
      <c r="D165" s="77" t="s">
        <v>413</v>
      </c>
      <c r="E165" s="140">
        <f t="shared" si="55"/>
        <v>0</v>
      </c>
      <c r="F165" s="140"/>
      <c r="G165" s="140"/>
      <c r="H165" s="140"/>
      <c r="I165" s="140"/>
      <c r="J165" s="140">
        <f t="shared" si="57"/>
        <v>0</v>
      </c>
      <c r="K165" s="140"/>
      <c r="L165" s="140"/>
      <c r="M165" s="140"/>
      <c r="N165" s="140"/>
      <c r="O165" s="140"/>
      <c r="P165" s="140">
        <f t="shared" si="56"/>
        <v>0</v>
      </c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  <c r="IV165" s="30"/>
      <c r="IW165" s="30"/>
      <c r="IX165" s="30"/>
      <c r="IY165" s="30"/>
      <c r="IZ165" s="30"/>
      <c r="JA165" s="30"/>
      <c r="JB165" s="30"/>
      <c r="JC165" s="30"/>
      <c r="JD165" s="30"/>
      <c r="JE165" s="30"/>
      <c r="JF165" s="30"/>
      <c r="JG165" s="30"/>
      <c r="JH165" s="30"/>
      <c r="JI165" s="30"/>
      <c r="JJ165" s="30"/>
      <c r="JK165" s="30"/>
      <c r="JL165" s="30"/>
      <c r="JM165" s="30"/>
      <c r="JN165" s="30"/>
      <c r="JO165" s="30"/>
      <c r="JP165" s="30"/>
      <c r="JQ165" s="30"/>
      <c r="JR165" s="30"/>
      <c r="JS165" s="30"/>
      <c r="JT165" s="30"/>
      <c r="JU165" s="30"/>
      <c r="JV165" s="30"/>
      <c r="JW165" s="30"/>
      <c r="JX165" s="30"/>
      <c r="JY165" s="30"/>
      <c r="JZ165" s="30"/>
      <c r="KA165" s="30"/>
      <c r="KB165" s="30"/>
      <c r="KC165" s="30"/>
      <c r="KD165" s="30"/>
      <c r="KE165" s="30"/>
      <c r="KF165" s="30"/>
      <c r="KG165" s="30"/>
      <c r="KH165" s="30"/>
      <c r="KI165" s="30"/>
      <c r="KJ165" s="30"/>
      <c r="KK165" s="30"/>
      <c r="KL165" s="30"/>
      <c r="KM165" s="30"/>
      <c r="KN165" s="30"/>
      <c r="KO165" s="30"/>
      <c r="KP165" s="30"/>
      <c r="KQ165" s="30"/>
      <c r="KR165" s="30"/>
      <c r="KS165" s="30"/>
      <c r="KT165" s="30"/>
      <c r="KU165" s="30"/>
      <c r="KV165" s="30"/>
      <c r="KW165" s="30"/>
      <c r="KX165" s="30"/>
      <c r="KY165" s="30"/>
      <c r="KZ165" s="30"/>
      <c r="LA165" s="30"/>
      <c r="LB165" s="30"/>
      <c r="LC165" s="30"/>
      <c r="LD165" s="30"/>
      <c r="LE165" s="30"/>
      <c r="LF165" s="30"/>
      <c r="LG165" s="30"/>
      <c r="LH165" s="30"/>
      <c r="LI165" s="30"/>
      <c r="LJ165" s="30"/>
      <c r="LK165" s="30"/>
      <c r="LL165" s="30"/>
      <c r="LM165" s="30"/>
      <c r="LN165" s="30"/>
      <c r="LO165" s="30"/>
      <c r="LP165" s="30"/>
      <c r="LQ165" s="30"/>
      <c r="LR165" s="30"/>
      <c r="LS165" s="30"/>
      <c r="LT165" s="30"/>
      <c r="LU165" s="30"/>
      <c r="LV165" s="30"/>
      <c r="LW165" s="30"/>
      <c r="LX165" s="30"/>
      <c r="LY165" s="30"/>
      <c r="LZ165" s="30"/>
      <c r="MA165" s="30"/>
      <c r="MB165" s="30"/>
      <c r="MC165" s="30"/>
      <c r="MD165" s="30"/>
      <c r="ME165" s="30"/>
      <c r="MF165" s="30"/>
      <c r="MG165" s="30"/>
      <c r="MH165" s="30"/>
      <c r="MI165" s="30"/>
      <c r="MJ165" s="30"/>
      <c r="MK165" s="30"/>
      <c r="ML165" s="30"/>
      <c r="MM165" s="30"/>
      <c r="MN165" s="30"/>
      <c r="MO165" s="30"/>
      <c r="MP165" s="30"/>
      <c r="MQ165" s="30"/>
      <c r="MR165" s="30"/>
      <c r="MS165" s="30"/>
      <c r="MT165" s="30"/>
      <c r="MU165" s="30"/>
      <c r="MV165" s="30"/>
      <c r="MW165" s="30"/>
      <c r="MX165" s="30"/>
      <c r="MY165" s="30"/>
      <c r="MZ165" s="30"/>
      <c r="NA165" s="30"/>
      <c r="NB165" s="30"/>
      <c r="NC165" s="30"/>
      <c r="ND165" s="30"/>
      <c r="NE165" s="30"/>
      <c r="NF165" s="30"/>
      <c r="NG165" s="30"/>
      <c r="NH165" s="30"/>
      <c r="NI165" s="30"/>
      <c r="NJ165" s="30"/>
      <c r="NK165" s="30"/>
      <c r="NL165" s="30"/>
      <c r="NM165" s="30"/>
      <c r="NN165" s="30"/>
      <c r="NO165" s="30"/>
      <c r="NP165" s="30"/>
      <c r="NQ165" s="30"/>
      <c r="NR165" s="30"/>
      <c r="NS165" s="30"/>
      <c r="NT165" s="30"/>
      <c r="NU165" s="30"/>
      <c r="NV165" s="30"/>
      <c r="NW165" s="30"/>
      <c r="NX165" s="30"/>
      <c r="NY165" s="30"/>
      <c r="NZ165" s="30"/>
      <c r="OA165" s="30"/>
      <c r="OB165" s="30"/>
      <c r="OC165" s="30"/>
      <c r="OD165" s="30"/>
      <c r="OE165" s="30"/>
      <c r="OF165" s="30"/>
      <c r="OG165" s="30"/>
      <c r="OH165" s="30"/>
      <c r="OI165" s="30"/>
      <c r="OJ165" s="30"/>
      <c r="OK165" s="30"/>
      <c r="OL165" s="30"/>
      <c r="OM165" s="30"/>
      <c r="ON165" s="30"/>
      <c r="OO165" s="30"/>
      <c r="OP165" s="30"/>
      <c r="OQ165" s="30"/>
      <c r="OR165" s="30"/>
      <c r="OS165" s="30"/>
      <c r="OT165" s="30"/>
      <c r="OU165" s="30"/>
      <c r="OV165" s="30"/>
      <c r="OW165" s="30"/>
      <c r="OX165" s="30"/>
      <c r="OY165" s="30"/>
      <c r="OZ165" s="30"/>
      <c r="PA165" s="30"/>
      <c r="PB165" s="30"/>
      <c r="PC165" s="30"/>
      <c r="PD165" s="30"/>
      <c r="PE165" s="30"/>
      <c r="PF165" s="30"/>
      <c r="PG165" s="30"/>
      <c r="PH165" s="30"/>
      <c r="PI165" s="30"/>
      <c r="PJ165" s="30"/>
      <c r="PK165" s="30"/>
      <c r="PL165" s="30"/>
      <c r="PM165" s="30"/>
      <c r="PN165" s="30"/>
      <c r="PO165" s="30"/>
      <c r="PP165" s="30"/>
      <c r="PQ165" s="30"/>
      <c r="PR165" s="30"/>
      <c r="PS165" s="30"/>
      <c r="PT165" s="30"/>
      <c r="PU165" s="30"/>
      <c r="PV165" s="30"/>
      <c r="PW165" s="30"/>
      <c r="PX165" s="30"/>
      <c r="PY165" s="30"/>
      <c r="PZ165" s="30"/>
      <c r="QA165" s="30"/>
      <c r="QB165" s="30"/>
      <c r="QC165" s="30"/>
      <c r="QD165" s="30"/>
      <c r="QE165" s="30"/>
      <c r="QF165" s="30"/>
      <c r="QG165" s="30"/>
      <c r="QH165" s="30"/>
      <c r="QI165" s="30"/>
      <c r="QJ165" s="30"/>
      <c r="QK165" s="30"/>
      <c r="QL165" s="30"/>
      <c r="QM165" s="30"/>
      <c r="QN165" s="30"/>
      <c r="QO165" s="30"/>
      <c r="QP165" s="30"/>
      <c r="QQ165" s="30"/>
      <c r="QR165" s="30"/>
      <c r="QS165" s="30"/>
      <c r="QT165" s="30"/>
      <c r="QU165" s="30"/>
      <c r="QV165" s="30"/>
      <c r="QW165" s="30"/>
      <c r="QX165" s="30"/>
      <c r="QY165" s="30"/>
      <c r="QZ165" s="30"/>
      <c r="RA165" s="30"/>
      <c r="RB165" s="30"/>
      <c r="RC165" s="30"/>
      <c r="RD165" s="30"/>
      <c r="RE165" s="30"/>
      <c r="RF165" s="30"/>
      <c r="RG165" s="30"/>
      <c r="RH165" s="30"/>
      <c r="RI165" s="30"/>
      <c r="RJ165" s="30"/>
      <c r="RK165" s="30"/>
      <c r="RL165" s="30"/>
      <c r="RM165" s="30"/>
      <c r="RN165" s="30"/>
      <c r="RO165" s="30"/>
      <c r="RP165" s="30"/>
      <c r="RQ165" s="30"/>
      <c r="RR165" s="30"/>
      <c r="RS165" s="30"/>
      <c r="RT165" s="30"/>
      <c r="RU165" s="30"/>
      <c r="RV165" s="30"/>
      <c r="RW165" s="30"/>
      <c r="RX165" s="30"/>
      <c r="RY165" s="30"/>
      <c r="RZ165" s="30"/>
      <c r="SA165" s="30"/>
      <c r="SB165" s="30"/>
      <c r="SC165" s="30"/>
      <c r="SD165" s="30"/>
      <c r="SE165" s="30"/>
      <c r="SF165" s="30"/>
      <c r="SG165" s="30"/>
      <c r="SH165" s="30"/>
      <c r="SI165" s="30"/>
      <c r="SJ165" s="30"/>
      <c r="SK165" s="30"/>
      <c r="SL165" s="30"/>
      <c r="SM165" s="30"/>
      <c r="SN165" s="30"/>
      <c r="SO165" s="30"/>
      <c r="SP165" s="30"/>
      <c r="SQ165" s="30"/>
      <c r="SR165" s="30"/>
      <c r="SS165" s="30"/>
      <c r="ST165" s="30"/>
      <c r="SU165" s="30"/>
      <c r="SV165" s="30"/>
      <c r="SW165" s="30"/>
      <c r="SX165" s="30"/>
      <c r="SY165" s="30"/>
      <c r="SZ165" s="30"/>
      <c r="TA165" s="30"/>
      <c r="TB165" s="30"/>
      <c r="TC165" s="30"/>
      <c r="TD165" s="30"/>
      <c r="TE165" s="30"/>
    </row>
    <row r="166" spans="1:525" s="22" customFormat="1" ht="45" hidden="1" customHeight="1" x14ac:dyDescent="0.25">
      <c r="A166" s="56" t="s">
        <v>356</v>
      </c>
      <c r="B166" s="84">
        <v>7700</v>
      </c>
      <c r="C166" s="56" t="s">
        <v>92</v>
      </c>
      <c r="D166" s="57" t="s">
        <v>357</v>
      </c>
      <c r="E166" s="139">
        <f t="shared" si="55"/>
        <v>0</v>
      </c>
      <c r="F166" s="139"/>
      <c r="G166" s="139"/>
      <c r="H166" s="139"/>
      <c r="I166" s="139"/>
      <c r="J166" s="139">
        <f t="shared" si="57"/>
        <v>0</v>
      </c>
      <c r="K166" s="139"/>
      <c r="L166" s="139"/>
      <c r="M166" s="139"/>
      <c r="N166" s="139"/>
      <c r="O166" s="139"/>
      <c r="P166" s="139">
        <f t="shared" si="56"/>
        <v>0</v>
      </c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</row>
    <row r="167" spans="1:525" s="22" customFormat="1" ht="15.75" hidden="1" customHeight="1" x14ac:dyDescent="0.25">
      <c r="A167" s="56" t="s">
        <v>422</v>
      </c>
      <c r="B167" s="84">
        <v>9770</v>
      </c>
      <c r="C167" s="56" t="s">
        <v>44</v>
      </c>
      <c r="D167" s="57" t="s">
        <v>423</v>
      </c>
      <c r="E167" s="139">
        <f t="shared" si="55"/>
        <v>0</v>
      </c>
      <c r="F167" s="139"/>
      <c r="G167" s="139"/>
      <c r="H167" s="139"/>
      <c r="I167" s="139"/>
      <c r="J167" s="139">
        <f t="shared" si="57"/>
        <v>0</v>
      </c>
      <c r="K167" s="139"/>
      <c r="L167" s="139"/>
      <c r="M167" s="139"/>
      <c r="N167" s="139"/>
      <c r="O167" s="139"/>
      <c r="P167" s="139">
        <f t="shared" si="56"/>
        <v>0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</row>
    <row r="168" spans="1:525" s="173" customFormat="1" ht="38.25" customHeight="1" x14ac:dyDescent="0.25">
      <c r="A168" s="89" t="s">
        <v>629</v>
      </c>
      <c r="B168" s="42">
        <v>8775</v>
      </c>
      <c r="C168" s="89" t="s">
        <v>92</v>
      </c>
      <c r="D168" s="36" t="s">
        <v>628</v>
      </c>
      <c r="E168" s="139">
        <f>F168</f>
        <v>2000000</v>
      </c>
      <c r="F168" s="139">
        <v>2000000</v>
      </c>
      <c r="G168" s="139"/>
      <c r="H168" s="139"/>
      <c r="I168" s="139"/>
      <c r="J168" s="139">
        <f t="shared" si="57"/>
        <v>0</v>
      </c>
      <c r="K168" s="139"/>
      <c r="L168" s="139"/>
      <c r="M168" s="139"/>
      <c r="N168" s="139"/>
      <c r="O168" s="139"/>
      <c r="P168" s="139">
        <f t="shared" si="56"/>
        <v>2000000</v>
      </c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2"/>
      <c r="DL168" s="172"/>
      <c r="DM168" s="172"/>
      <c r="DN168" s="172"/>
      <c r="DO168" s="172"/>
      <c r="DP168" s="172"/>
      <c r="DQ168" s="172"/>
      <c r="DR168" s="172"/>
      <c r="DS168" s="172"/>
      <c r="DT168" s="172"/>
      <c r="DU168" s="172"/>
      <c r="DV168" s="172"/>
      <c r="DW168" s="172"/>
      <c r="DX168" s="172"/>
      <c r="DY168" s="172"/>
      <c r="DZ168" s="172"/>
      <c r="EA168" s="172"/>
      <c r="EB168" s="172"/>
      <c r="EC168" s="172"/>
      <c r="ED168" s="172"/>
      <c r="EE168" s="172"/>
      <c r="EF168" s="172"/>
      <c r="EG168" s="172"/>
      <c r="EH168" s="172"/>
      <c r="EI168" s="172"/>
      <c r="EJ168" s="172"/>
      <c r="EK168" s="172"/>
      <c r="EL168" s="172"/>
      <c r="EM168" s="172"/>
      <c r="EN168" s="172"/>
      <c r="EO168" s="172"/>
      <c r="EP168" s="172"/>
      <c r="EQ168" s="172"/>
      <c r="ER168" s="172"/>
      <c r="ES168" s="172"/>
      <c r="ET168" s="172"/>
      <c r="EU168" s="172"/>
      <c r="EV168" s="172"/>
      <c r="EW168" s="172"/>
      <c r="EX168" s="172"/>
      <c r="EY168" s="172"/>
      <c r="EZ168" s="172"/>
      <c r="FA168" s="172"/>
      <c r="FB168" s="172"/>
      <c r="FC168" s="172"/>
      <c r="FD168" s="172"/>
      <c r="FE168" s="172"/>
      <c r="FF168" s="172"/>
      <c r="FG168" s="172"/>
      <c r="FH168" s="172"/>
      <c r="FI168" s="172"/>
      <c r="FJ168" s="172"/>
      <c r="FK168" s="172"/>
      <c r="FL168" s="172"/>
      <c r="FM168" s="172"/>
      <c r="FN168" s="172"/>
      <c r="FO168" s="172"/>
      <c r="FP168" s="172"/>
      <c r="FQ168" s="172"/>
      <c r="FR168" s="172"/>
      <c r="FS168" s="172"/>
      <c r="FT168" s="172"/>
      <c r="FU168" s="172"/>
      <c r="FV168" s="172"/>
      <c r="FW168" s="172"/>
      <c r="FX168" s="172"/>
      <c r="FY168" s="172"/>
      <c r="FZ168" s="172"/>
      <c r="GA168" s="172"/>
      <c r="GB168" s="172"/>
      <c r="GC168" s="172"/>
      <c r="GD168" s="172"/>
      <c r="GE168" s="172"/>
      <c r="GF168" s="172"/>
      <c r="GG168" s="172"/>
      <c r="GH168" s="172"/>
      <c r="GI168" s="172"/>
      <c r="GJ168" s="172"/>
      <c r="GK168" s="172"/>
      <c r="GL168" s="172"/>
      <c r="GM168" s="172"/>
      <c r="GN168" s="172"/>
      <c r="GO168" s="172"/>
      <c r="GP168" s="172"/>
      <c r="GQ168" s="172"/>
      <c r="GR168" s="172"/>
      <c r="GS168" s="172"/>
      <c r="GT168" s="172"/>
      <c r="GU168" s="172"/>
      <c r="GV168" s="172"/>
      <c r="GW168" s="172"/>
      <c r="GX168" s="172"/>
      <c r="GY168" s="172"/>
      <c r="GZ168" s="172"/>
      <c r="HA168" s="172"/>
      <c r="HB168" s="172"/>
      <c r="HC168" s="172"/>
      <c r="HD168" s="172"/>
      <c r="HE168" s="172"/>
      <c r="HF168" s="172"/>
      <c r="HG168" s="172"/>
      <c r="HH168" s="172"/>
      <c r="HI168" s="172"/>
      <c r="HJ168" s="172"/>
      <c r="HK168" s="172"/>
      <c r="HL168" s="172"/>
      <c r="HM168" s="172"/>
      <c r="HN168" s="172"/>
      <c r="HO168" s="172"/>
      <c r="HP168" s="172"/>
      <c r="HQ168" s="172"/>
      <c r="HR168" s="172"/>
      <c r="HS168" s="172"/>
      <c r="HT168" s="172"/>
      <c r="HU168" s="172"/>
      <c r="HV168" s="172"/>
      <c r="HW168" s="172"/>
      <c r="HX168" s="172"/>
      <c r="HY168" s="172"/>
      <c r="HZ168" s="172"/>
      <c r="IA168" s="172"/>
      <c r="IB168" s="172"/>
      <c r="IC168" s="172"/>
      <c r="ID168" s="172"/>
      <c r="IE168" s="172"/>
      <c r="IF168" s="172"/>
      <c r="IG168" s="172"/>
      <c r="IH168" s="172"/>
      <c r="II168" s="172"/>
      <c r="IJ168" s="172"/>
      <c r="IK168" s="172"/>
      <c r="IL168" s="172"/>
      <c r="IM168" s="172"/>
      <c r="IN168" s="172"/>
      <c r="IO168" s="172"/>
      <c r="IP168" s="172"/>
      <c r="IQ168" s="172"/>
      <c r="IR168" s="172"/>
      <c r="IS168" s="172"/>
      <c r="IT168" s="172"/>
      <c r="IU168" s="172"/>
      <c r="IV168" s="172"/>
      <c r="IW168" s="172"/>
      <c r="IX168" s="172"/>
      <c r="IY168" s="172"/>
      <c r="IZ168" s="172"/>
      <c r="JA168" s="172"/>
      <c r="JB168" s="172"/>
      <c r="JC168" s="172"/>
      <c r="JD168" s="172"/>
      <c r="JE168" s="172"/>
      <c r="JF168" s="172"/>
      <c r="JG168" s="172"/>
      <c r="JH168" s="172"/>
      <c r="JI168" s="172"/>
      <c r="JJ168" s="172"/>
      <c r="JK168" s="172"/>
      <c r="JL168" s="172"/>
      <c r="JM168" s="172"/>
      <c r="JN168" s="172"/>
      <c r="JO168" s="172"/>
      <c r="JP168" s="172"/>
      <c r="JQ168" s="172"/>
      <c r="JR168" s="172"/>
      <c r="JS168" s="172"/>
      <c r="JT168" s="172"/>
      <c r="JU168" s="172"/>
      <c r="JV168" s="172"/>
      <c r="JW168" s="172"/>
      <c r="JX168" s="172"/>
      <c r="JY168" s="172"/>
      <c r="JZ168" s="172"/>
      <c r="KA168" s="172"/>
      <c r="KB168" s="172"/>
      <c r="KC168" s="172"/>
      <c r="KD168" s="172"/>
      <c r="KE168" s="172"/>
      <c r="KF168" s="172"/>
      <c r="KG168" s="172"/>
      <c r="KH168" s="172"/>
      <c r="KI168" s="172"/>
      <c r="KJ168" s="172"/>
      <c r="KK168" s="172"/>
      <c r="KL168" s="172"/>
      <c r="KM168" s="172"/>
      <c r="KN168" s="172"/>
      <c r="KO168" s="172"/>
      <c r="KP168" s="172"/>
      <c r="KQ168" s="172"/>
      <c r="KR168" s="172"/>
      <c r="KS168" s="172"/>
      <c r="KT168" s="172"/>
      <c r="KU168" s="172"/>
      <c r="KV168" s="172"/>
      <c r="KW168" s="172"/>
      <c r="KX168" s="172"/>
      <c r="KY168" s="172"/>
      <c r="KZ168" s="172"/>
      <c r="LA168" s="172"/>
      <c r="LB168" s="172"/>
      <c r="LC168" s="172"/>
      <c r="LD168" s="172"/>
      <c r="LE168" s="172"/>
      <c r="LF168" s="172"/>
      <c r="LG168" s="172"/>
      <c r="LH168" s="172"/>
      <c r="LI168" s="172"/>
      <c r="LJ168" s="172"/>
      <c r="LK168" s="172"/>
      <c r="LL168" s="172"/>
      <c r="LM168" s="172"/>
      <c r="LN168" s="172"/>
      <c r="LO168" s="172"/>
      <c r="LP168" s="172"/>
      <c r="LQ168" s="172"/>
      <c r="LR168" s="172"/>
      <c r="LS168" s="172"/>
      <c r="LT168" s="172"/>
      <c r="LU168" s="172"/>
      <c r="LV168" s="172"/>
      <c r="LW168" s="172"/>
      <c r="LX168" s="172"/>
      <c r="LY168" s="172"/>
      <c r="LZ168" s="172"/>
      <c r="MA168" s="172"/>
      <c r="MB168" s="172"/>
      <c r="MC168" s="172"/>
      <c r="MD168" s="172"/>
      <c r="ME168" s="172"/>
      <c r="MF168" s="172"/>
      <c r="MG168" s="172"/>
      <c r="MH168" s="172"/>
      <c r="MI168" s="172"/>
      <c r="MJ168" s="172"/>
      <c r="MK168" s="172"/>
      <c r="ML168" s="172"/>
      <c r="MM168" s="172"/>
      <c r="MN168" s="172"/>
      <c r="MO168" s="172"/>
      <c r="MP168" s="172"/>
      <c r="MQ168" s="172"/>
      <c r="MR168" s="172"/>
      <c r="MS168" s="172"/>
      <c r="MT168" s="172"/>
      <c r="MU168" s="172"/>
      <c r="MV168" s="172"/>
      <c r="MW168" s="172"/>
      <c r="MX168" s="172"/>
      <c r="MY168" s="172"/>
      <c r="MZ168" s="172"/>
      <c r="NA168" s="172"/>
      <c r="NB168" s="172"/>
      <c r="NC168" s="172"/>
      <c r="ND168" s="172"/>
      <c r="NE168" s="172"/>
      <c r="NF168" s="172"/>
      <c r="NG168" s="172"/>
      <c r="NH168" s="172"/>
      <c r="NI168" s="172"/>
      <c r="NJ168" s="172"/>
      <c r="NK168" s="172"/>
      <c r="NL168" s="172"/>
      <c r="NM168" s="172"/>
      <c r="NN168" s="172"/>
      <c r="NO168" s="172"/>
      <c r="NP168" s="172"/>
      <c r="NQ168" s="172"/>
      <c r="NR168" s="172"/>
      <c r="NS168" s="172"/>
      <c r="NT168" s="172"/>
      <c r="NU168" s="172"/>
      <c r="NV168" s="172"/>
      <c r="NW168" s="172"/>
      <c r="NX168" s="172"/>
      <c r="NY168" s="172"/>
      <c r="NZ168" s="172"/>
      <c r="OA168" s="172"/>
      <c r="OB168" s="172"/>
      <c r="OC168" s="172"/>
      <c r="OD168" s="172"/>
      <c r="OE168" s="172"/>
      <c r="OF168" s="172"/>
      <c r="OG168" s="172"/>
      <c r="OH168" s="172"/>
      <c r="OI168" s="172"/>
      <c r="OJ168" s="172"/>
      <c r="OK168" s="172"/>
      <c r="OL168" s="172"/>
      <c r="OM168" s="172"/>
      <c r="ON168" s="172"/>
      <c r="OO168" s="172"/>
      <c r="OP168" s="172"/>
      <c r="OQ168" s="172"/>
      <c r="OR168" s="172"/>
      <c r="OS168" s="172"/>
      <c r="OT168" s="172"/>
      <c r="OU168" s="172"/>
      <c r="OV168" s="172"/>
      <c r="OW168" s="172"/>
      <c r="OX168" s="172"/>
      <c r="OY168" s="172"/>
      <c r="OZ168" s="172"/>
      <c r="PA168" s="172"/>
      <c r="PB168" s="172"/>
      <c r="PC168" s="172"/>
      <c r="PD168" s="172"/>
      <c r="PE168" s="172"/>
      <c r="PF168" s="172"/>
      <c r="PG168" s="172"/>
      <c r="PH168" s="172"/>
      <c r="PI168" s="172"/>
      <c r="PJ168" s="172"/>
      <c r="PK168" s="172"/>
      <c r="PL168" s="172"/>
      <c r="PM168" s="172"/>
      <c r="PN168" s="172"/>
      <c r="PO168" s="172"/>
      <c r="PP168" s="172"/>
      <c r="PQ168" s="172"/>
      <c r="PR168" s="172"/>
      <c r="PS168" s="172"/>
      <c r="PT168" s="172"/>
      <c r="PU168" s="172"/>
      <c r="PV168" s="172"/>
      <c r="PW168" s="172"/>
      <c r="PX168" s="172"/>
      <c r="PY168" s="172"/>
      <c r="PZ168" s="172"/>
      <c r="QA168" s="172"/>
      <c r="QB168" s="172"/>
      <c r="QC168" s="172"/>
      <c r="QD168" s="172"/>
      <c r="QE168" s="172"/>
      <c r="QF168" s="172"/>
      <c r="QG168" s="172"/>
      <c r="QH168" s="172"/>
      <c r="QI168" s="172"/>
      <c r="QJ168" s="172"/>
      <c r="QK168" s="172"/>
      <c r="QL168" s="172"/>
      <c r="QM168" s="172"/>
      <c r="QN168" s="172"/>
      <c r="QO168" s="172"/>
      <c r="QP168" s="172"/>
      <c r="QQ168" s="172"/>
      <c r="QR168" s="172"/>
      <c r="QS168" s="172"/>
      <c r="QT168" s="172"/>
      <c r="QU168" s="172"/>
      <c r="QV168" s="172"/>
      <c r="QW168" s="172"/>
      <c r="QX168" s="172"/>
      <c r="QY168" s="172"/>
      <c r="QZ168" s="172"/>
      <c r="RA168" s="172"/>
      <c r="RB168" s="172"/>
      <c r="RC168" s="172"/>
      <c r="RD168" s="172"/>
      <c r="RE168" s="172"/>
      <c r="RF168" s="172"/>
      <c r="RG168" s="172"/>
      <c r="RH168" s="172"/>
      <c r="RI168" s="172"/>
      <c r="RJ168" s="172"/>
      <c r="RK168" s="172"/>
      <c r="RL168" s="172"/>
      <c r="RM168" s="172"/>
      <c r="RN168" s="172"/>
      <c r="RO168" s="172"/>
      <c r="RP168" s="172"/>
      <c r="RQ168" s="172"/>
      <c r="RR168" s="172"/>
      <c r="RS168" s="172"/>
      <c r="RT168" s="172"/>
      <c r="RU168" s="172"/>
      <c r="RV168" s="172"/>
      <c r="RW168" s="172"/>
      <c r="RX168" s="172"/>
      <c r="RY168" s="172"/>
      <c r="RZ168" s="172"/>
      <c r="SA168" s="172"/>
      <c r="SB168" s="172"/>
      <c r="SC168" s="172"/>
      <c r="SD168" s="172"/>
      <c r="SE168" s="172"/>
      <c r="SF168" s="172"/>
      <c r="SG168" s="172"/>
      <c r="SH168" s="172"/>
      <c r="SI168" s="172"/>
      <c r="SJ168" s="172"/>
      <c r="SK168" s="172"/>
      <c r="SL168" s="172"/>
      <c r="SM168" s="172"/>
      <c r="SN168" s="172"/>
      <c r="SO168" s="172"/>
      <c r="SP168" s="172"/>
      <c r="SQ168" s="172"/>
      <c r="SR168" s="172"/>
      <c r="SS168" s="172"/>
      <c r="ST168" s="172"/>
      <c r="SU168" s="172"/>
      <c r="SV168" s="172"/>
      <c r="SW168" s="172"/>
      <c r="SX168" s="172"/>
      <c r="SY168" s="172"/>
      <c r="SZ168" s="172"/>
      <c r="TA168" s="172"/>
      <c r="TB168" s="172"/>
      <c r="TC168" s="172"/>
      <c r="TD168" s="172"/>
      <c r="TE168" s="172"/>
    </row>
    <row r="169" spans="1:525" s="27" customFormat="1" ht="36" customHeight="1" x14ac:dyDescent="0.25">
      <c r="A169" s="96" t="s">
        <v>175</v>
      </c>
      <c r="B169" s="98"/>
      <c r="C169" s="98"/>
      <c r="D169" s="93" t="s">
        <v>37</v>
      </c>
      <c r="E169" s="137">
        <f>E170</f>
        <v>233932082</v>
      </c>
      <c r="F169" s="137">
        <f t="shared" ref="F169:J169" si="58">F170</f>
        <v>233932082</v>
      </c>
      <c r="G169" s="137">
        <f t="shared" si="58"/>
        <v>59588900</v>
      </c>
      <c r="H169" s="137">
        <f t="shared" si="58"/>
        <v>2416100</v>
      </c>
      <c r="I169" s="137">
        <f t="shared" si="58"/>
        <v>0</v>
      </c>
      <c r="J169" s="137">
        <f t="shared" si="58"/>
        <v>668200</v>
      </c>
      <c r="K169" s="137">
        <f t="shared" ref="K169" si="59">K170</f>
        <v>572000</v>
      </c>
      <c r="L169" s="137">
        <f t="shared" ref="L169" si="60">L170</f>
        <v>96200</v>
      </c>
      <c r="M169" s="137">
        <f t="shared" ref="M169" si="61">M170</f>
        <v>78600</v>
      </c>
      <c r="N169" s="137">
        <f t="shared" ref="N169" si="62">N170</f>
        <v>0</v>
      </c>
      <c r="O169" s="137">
        <f t="shared" ref="O169:P169" si="63">O170</f>
        <v>572000</v>
      </c>
      <c r="P169" s="137">
        <f t="shared" si="63"/>
        <v>234600282</v>
      </c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  <c r="IU169" s="32"/>
      <c r="IV169" s="32"/>
      <c r="IW169" s="32"/>
      <c r="IX169" s="32"/>
      <c r="IY169" s="32"/>
      <c r="IZ169" s="32"/>
      <c r="JA169" s="32"/>
      <c r="JB169" s="32"/>
      <c r="JC169" s="32"/>
      <c r="JD169" s="32"/>
      <c r="JE169" s="32"/>
      <c r="JF169" s="32"/>
      <c r="JG169" s="32"/>
      <c r="JH169" s="32"/>
      <c r="JI169" s="32"/>
      <c r="JJ169" s="32"/>
      <c r="JK169" s="32"/>
      <c r="JL169" s="32"/>
      <c r="JM169" s="32"/>
      <c r="JN169" s="32"/>
      <c r="JO169" s="32"/>
      <c r="JP169" s="32"/>
      <c r="JQ169" s="32"/>
      <c r="JR169" s="32"/>
      <c r="JS169" s="32"/>
      <c r="JT169" s="32"/>
      <c r="JU169" s="32"/>
      <c r="JV169" s="32"/>
      <c r="JW169" s="32"/>
      <c r="JX169" s="32"/>
      <c r="JY169" s="32"/>
      <c r="JZ169" s="32"/>
      <c r="KA169" s="32"/>
      <c r="KB169" s="32"/>
      <c r="KC169" s="32"/>
      <c r="KD169" s="32"/>
      <c r="KE169" s="32"/>
      <c r="KF169" s="32"/>
      <c r="KG169" s="32"/>
      <c r="KH169" s="32"/>
      <c r="KI169" s="32"/>
      <c r="KJ169" s="32"/>
      <c r="KK169" s="32"/>
      <c r="KL169" s="32"/>
      <c r="KM169" s="32"/>
      <c r="KN169" s="32"/>
      <c r="KO169" s="32"/>
      <c r="KP169" s="32"/>
      <c r="KQ169" s="32"/>
      <c r="KR169" s="32"/>
      <c r="KS169" s="32"/>
      <c r="KT169" s="32"/>
      <c r="KU169" s="32"/>
      <c r="KV169" s="32"/>
      <c r="KW169" s="32"/>
      <c r="KX169" s="32"/>
      <c r="KY169" s="32"/>
      <c r="KZ169" s="32"/>
      <c r="LA169" s="32"/>
      <c r="LB169" s="32"/>
      <c r="LC169" s="32"/>
      <c r="LD169" s="32"/>
      <c r="LE169" s="32"/>
      <c r="LF169" s="32"/>
      <c r="LG169" s="32"/>
      <c r="LH169" s="32"/>
      <c r="LI169" s="32"/>
      <c r="LJ169" s="32"/>
      <c r="LK169" s="32"/>
      <c r="LL169" s="32"/>
      <c r="LM169" s="32"/>
      <c r="LN169" s="32"/>
      <c r="LO169" s="32"/>
      <c r="LP169" s="32"/>
      <c r="LQ169" s="32"/>
      <c r="LR169" s="32"/>
      <c r="LS169" s="32"/>
      <c r="LT169" s="32"/>
      <c r="LU169" s="32"/>
      <c r="LV169" s="32"/>
      <c r="LW169" s="32"/>
      <c r="LX169" s="32"/>
      <c r="LY169" s="32"/>
      <c r="LZ169" s="32"/>
      <c r="MA169" s="32"/>
      <c r="MB169" s="32"/>
      <c r="MC169" s="32"/>
      <c r="MD169" s="32"/>
      <c r="ME169" s="32"/>
      <c r="MF169" s="32"/>
      <c r="MG169" s="32"/>
      <c r="MH169" s="32"/>
      <c r="MI169" s="32"/>
      <c r="MJ169" s="32"/>
      <c r="MK169" s="32"/>
      <c r="ML169" s="32"/>
      <c r="MM169" s="32"/>
      <c r="MN169" s="32"/>
      <c r="MO169" s="32"/>
      <c r="MP169" s="32"/>
      <c r="MQ169" s="32"/>
      <c r="MR169" s="32"/>
      <c r="MS169" s="32"/>
      <c r="MT169" s="32"/>
      <c r="MU169" s="32"/>
      <c r="MV169" s="32"/>
      <c r="MW169" s="32"/>
      <c r="MX169" s="32"/>
      <c r="MY169" s="32"/>
      <c r="MZ169" s="32"/>
      <c r="NA169" s="32"/>
      <c r="NB169" s="32"/>
      <c r="NC169" s="32"/>
      <c r="ND169" s="32"/>
      <c r="NE169" s="32"/>
      <c r="NF169" s="32"/>
      <c r="NG169" s="32"/>
      <c r="NH169" s="32"/>
      <c r="NI169" s="32"/>
      <c r="NJ169" s="32"/>
      <c r="NK169" s="32"/>
      <c r="NL169" s="32"/>
      <c r="NM169" s="32"/>
      <c r="NN169" s="32"/>
      <c r="NO169" s="32"/>
      <c r="NP169" s="32"/>
      <c r="NQ169" s="32"/>
      <c r="NR169" s="32"/>
      <c r="NS169" s="32"/>
      <c r="NT169" s="32"/>
      <c r="NU169" s="32"/>
      <c r="NV169" s="32"/>
      <c r="NW169" s="32"/>
      <c r="NX169" s="32"/>
      <c r="NY169" s="32"/>
      <c r="NZ169" s="32"/>
      <c r="OA169" s="32"/>
      <c r="OB169" s="32"/>
      <c r="OC169" s="32"/>
      <c r="OD169" s="32"/>
      <c r="OE169" s="32"/>
      <c r="OF169" s="32"/>
      <c r="OG169" s="32"/>
      <c r="OH169" s="32"/>
      <c r="OI169" s="32"/>
      <c r="OJ169" s="32"/>
      <c r="OK169" s="32"/>
      <c r="OL169" s="32"/>
      <c r="OM169" s="32"/>
      <c r="ON169" s="32"/>
      <c r="OO169" s="32"/>
      <c r="OP169" s="32"/>
      <c r="OQ169" s="32"/>
      <c r="OR169" s="32"/>
      <c r="OS169" s="32"/>
      <c r="OT169" s="32"/>
      <c r="OU169" s="32"/>
      <c r="OV169" s="32"/>
      <c r="OW169" s="32"/>
      <c r="OX169" s="32"/>
      <c r="OY169" s="32"/>
      <c r="OZ169" s="32"/>
      <c r="PA169" s="32"/>
      <c r="PB169" s="32"/>
      <c r="PC169" s="32"/>
      <c r="PD169" s="32"/>
      <c r="PE169" s="32"/>
      <c r="PF169" s="32"/>
      <c r="PG169" s="32"/>
      <c r="PH169" s="32"/>
      <c r="PI169" s="32"/>
      <c r="PJ169" s="32"/>
      <c r="PK169" s="32"/>
      <c r="PL169" s="32"/>
      <c r="PM169" s="32"/>
      <c r="PN169" s="32"/>
      <c r="PO169" s="32"/>
      <c r="PP169" s="32"/>
      <c r="PQ169" s="32"/>
      <c r="PR169" s="32"/>
      <c r="PS169" s="32"/>
      <c r="PT169" s="32"/>
      <c r="PU169" s="32"/>
      <c r="PV169" s="32"/>
      <c r="PW169" s="32"/>
      <c r="PX169" s="32"/>
      <c r="PY169" s="32"/>
      <c r="PZ169" s="32"/>
      <c r="QA169" s="32"/>
      <c r="QB169" s="32"/>
      <c r="QC169" s="32"/>
      <c r="QD169" s="32"/>
      <c r="QE169" s="32"/>
      <c r="QF169" s="32"/>
      <c r="QG169" s="32"/>
      <c r="QH169" s="32"/>
      <c r="QI169" s="32"/>
      <c r="QJ169" s="32"/>
      <c r="QK169" s="32"/>
      <c r="QL169" s="32"/>
      <c r="QM169" s="32"/>
      <c r="QN169" s="32"/>
      <c r="QO169" s="32"/>
      <c r="QP169" s="32"/>
      <c r="QQ169" s="32"/>
      <c r="QR169" s="32"/>
      <c r="QS169" s="32"/>
      <c r="QT169" s="32"/>
      <c r="QU169" s="32"/>
      <c r="QV169" s="32"/>
      <c r="QW169" s="32"/>
      <c r="QX169" s="32"/>
      <c r="QY169" s="32"/>
      <c r="QZ169" s="32"/>
      <c r="RA169" s="32"/>
      <c r="RB169" s="32"/>
      <c r="RC169" s="32"/>
      <c r="RD169" s="32"/>
      <c r="RE169" s="32"/>
      <c r="RF169" s="32"/>
      <c r="RG169" s="32"/>
      <c r="RH169" s="32"/>
      <c r="RI169" s="32"/>
      <c r="RJ169" s="32"/>
      <c r="RK169" s="32"/>
      <c r="RL169" s="32"/>
      <c r="RM169" s="32"/>
      <c r="RN169" s="32"/>
      <c r="RO169" s="32"/>
      <c r="RP169" s="32"/>
      <c r="RQ169" s="32"/>
      <c r="RR169" s="32"/>
      <c r="RS169" s="32"/>
      <c r="RT169" s="32"/>
      <c r="RU169" s="32"/>
      <c r="RV169" s="32"/>
      <c r="RW169" s="32"/>
      <c r="RX169" s="32"/>
      <c r="RY169" s="32"/>
      <c r="RZ169" s="32"/>
      <c r="SA169" s="32"/>
      <c r="SB169" s="32"/>
      <c r="SC169" s="32"/>
      <c r="SD169" s="32"/>
      <c r="SE169" s="32"/>
      <c r="SF169" s="32"/>
      <c r="SG169" s="32"/>
      <c r="SH169" s="32"/>
      <c r="SI169" s="32"/>
      <c r="SJ169" s="32"/>
      <c r="SK169" s="32"/>
      <c r="SL169" s="32"/>
      <c r="SM169" s="32"/>
      <c r="SN169" s="32"/>
      <c r="SO169" s="32"/>
      <c r="SP169" s="32"/>
      <c r="SQ169" s="32"/>
      <c r="SR169" s="32"/>
      <c r="SS169" s="32"/>
      <c r="ST169" s="32"/>
      <c r="SU169" s="32"/>
      <c r="SV169" s="32"/>
      <c r="SW169" s="32"/>
      <c r="SX169" s="32"/>
      <c r="SY169" s="32"/>
      <c r="SZ169" s="32"/>
      <c r="TA169" s="32"/>
      <c r="TB169" s="32"/>
      <c r="TC169" s="32"/>
      <c r="TD169" s="32"/>
      <c r="TE169" s="32"/>
    </row>
    <row r="170" spans="1:525" s="34" customFormat="1" ht="32.25" customHeight="1" x14ac:dyDescent="0.25">
      <c r="A170" s="86" t="s">
        <v>176</v>
      </c>
      <c r="B170" s="95"/>
      <c r="C170" s="95"/>
      <c r="D170" s="70" t="s">
        <v>389</v>
      </c>
      <c r="E170" s="138">
        <f>E176+E177+E178+E179+E180+E182+E183+E184+E186+E188+E190+E191+E193+E195+E196+E197+E198+E199+E200+E202+E204+E206+E207+E209+E212+E189+E210+E211</f>
        <v>233932082</v>
      </c>
      <c r="F170" s="138">
        <f t="shared" ref="F170:P170" si="64">F176+F177+F178+F179+F180+F182+F183+F184+F186+F188+F190+F191+F193+F195+F196+F197+F198+F199+F200+F202+F204+F206+F207+F209+F212+F189+F210+F211</f>
        <v>233932082</v>
      </c>
      <c r="G170" s="138">
        <f t="shared" si="64"/>
        <v>59588900</v>
      </c>
      <c r="H170" s="138">
        <f t="shared" si="64"/>
        <v>2416100</v>
      </c>
      <c r="I170" s="138">
        <f t="shared" si="64"/>
        <v>0</v>
      </c>
      <c r="J170" s="138">
        <f t="shared" si="64"/>
        <v>668200</v>
      </c>
      <c r="K170" s="138">
        <f t="shared" si="64"/>
        <v>572000</v>
      </c>
      <c r="L170" s="138">
        <f t="shared" si="64"/>
        <v>96200</v>
      </c>
      <c r="M170" s="138">
        <f t="shared" si="64"/>
        <v>78600</v>
      </c>
      <c r="N170" s="138">
        <f t="shared" si="64"/>
        <v>0</v>
      </c>
      <c r="O170" s="138">
        <f t="shared" si="64"/>
        <v>572000</v>
      </c>
      <c r="P170" s="138">
        <f t="shared" si="64"/>
        <v>234600282</v>
      </c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  <c r="SQ170" s="33"/>
      <c r="SR170" s="33"/>
      <c r="SS170" s="33"/>
      <c r="ST170" s="33"/>
      <c r="SU170" s="33"/>
      <c r="SV170" s="33"/>
      <c r="SW170" s="33"/>
      <c r="SX170" s="33"/>
      <c r="SY170" s="33"/>
      <c r="SZ170" s="33"/>
      <c r="TA170" s="33"/>
      <c r="TB170" s="33"/>
      <c r="TC170" s="33"/>
      <c r="TD170" s="33"/>
      <c r="TE170" s="33"/>
    </row>
    <row r="171" spans="1:525" s="34" customFormat="1" ht="275.25" hidden="1" customHeight="1" x14ac:dyDescent="0.25">
      <c r="A171" s="86"/>
      <c r="B171" s="95"/>
      <c r="C171" s="95"/>
      <c r="D171" s="70" t="str">
        <f>'дод 3'!C105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1" s="138">
        <f>E201</f>
        <v>0</v>
      </c>
      <c r="F171" s="138">
        <f>L201</f>
        <v>0</v>
      </c>
      <c r="G171" s="138">
        <f t="shared" ref="G171:P171" si="65">G201</f>
        <v>0</v>
      </c>
      <c r="H171" s="138">
        <f t="shared" si="65"/>
        <v>0</v>
      </c>
      <c r="I171" s="138">
        <f t="shared" si="65"/>
        <v>0</v>
      </c>
      <c r="J171" s="138">
        <f t="shared" si="65"/>
        <v>0</v>
      </c>
      <c r="K171" s="138">
        <f t="shared" si="65"/>
        <v>0</v>
      </c>
      <c r="L171" s="138">
        <f t="shared" si="65"/>
        <v>0</v>
      </c>
      <c r="M171" s="138">
        <f t="shared" si="65"/>
        <v>0</v>
      </c>
      <c r="N171" s="138">
        <f t="shared" si="65"/>
        <v>0</v>
      </c>
      <c r="O171" s="138">
        <f t="shared" si="65"/>
        <v>0</v>
      </c>
      <c r="P171" s="138">
        <f t="shared" si="65"/>
        <v>0</v>
      </c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  <c r="SQ171" s="33"/>
      <c r="SR171" s="33"/>
      <c r="SS171" s="33"/>
      <c r="ST171" s="33"/>
      <c r="SU171" s="33"/>
      <c r="SV171" s="33"/>
      <c r="SW171" s="33"/>
      <c r="SX171" s="33"/>
      <c r="SY171" s="33"/>
      <c r="SZ171" s="33"/>
      <c r="TA171" s="33"/>
      <c r="TB171" s="33"/>
      <c r="TC171" s="33"/>
      <c r="TD171" s="33"/>
      <c r="TE171" s="33"/>
    </row>
    <row r="172" spans="1:525" s="34" customFormat="1" ht="255" hidden="1" customHeight="1" x14ac:dyDescent="0.25">
      <c r="A172" s="86"/>
      <c r="B172" s="95"/>
      <c r="C172" s="95"/>
      <c r="D172" s="70" t="str">
        <f>'дод 3'!C106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2" s="138">
        <f>E205</f>
        <v>0</v>
      </c>
      <c r="F172" s="138">
        <f t="shared" ref="F172:P172" si="66">F205</f>
        <v>0</v>
      </c>
      <c r="G172" s="138">
        <f t="shared" si="66"/>
        <v>0</v>
      </c>
      <c r="H172" s="138">
        <f t="shared" si="66"/>
        <v>0</v>
      </c>
      <c r="I172" s="138">
        <f t="shared" si="66"/>
        <v>0</v>
      </c>
      <c r="J172" s="138">
        <f t="shared" si="66"/>
        <v>0</v>
      </c>
      <c r="K172" s="138">
        <f t="shared" si="66"/>
        <v>0</v>
      </c>
      <c r="L172" s="138">
        <f t="shared" si="66"/>
        <v>0</v>
      </c>
      <c r="M172" s="138">
        <f t="shared" si="66"/>
        <v>0</v>
      </c>
      <c r="N172" s="138">
        <f t="shared" si="66"/>
        <v>0</v>
      </c>
      <c r="O172" s="138">
        <f t="shared" si="66"/>
        <v>0</v>
      </c>
      <c r="P172" s="138">
        <f t="shared" si="66"/>
        <v>0</v>
      </c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  <c r="IW172" s="33"/>
      <c r="IX172" s="33"/>
      <c r="IY172" s="33"/>
      <c r="IZ172" s="33"/>
      <c r="JA172" s="33"/>
      <c r="JB172" s="33"/>
      <c r="JC172" s="33"/>
      <c r="JD172" s="33"/>
      <c r="JE172" s="33"/>
      <c r="JF172" s="33"/>
      <c r="JG172" s="33"/>
      <c r="JH172" s="33"/>
      <c r="JI172" s="33"/>
      <c r="JJ172" s="33"/>
      <c r="JK172" s="33"/>
      <c r="JL172" s="33"/>
      <c r="JM172" s="33"/>
      <c r="JN172" s="33"/>
      <c r="JO172" s="33"/>
      <c r="JP172" s="33"/>
      <c r="JQ172" s="33"/>
      <c r="JR172" s="33"/>
      <c r="JS172" s="33"/>
      <c r="JT172" s="33"/>
      <c r="JU172" s="33"/>
      <c r="JV172" s="33"/>
      <c r="JW172" s="33"/>
      <c r="JX172" s="33"/>
      <c r="JY172" s="33"/>
      <c r="JZ172" s="33"/>
      <c r="KA172" s="33"/>
      <c r="KB172" s="33"/>
      <c r="KC172" s="33"/>
      <c r="KD172" s="33"/>
      <c r="KE172" s="33"/>
      <c r="KF172" s="33"/>
      <c r="KG172" s="33"/>
      <c r="KH172" s="33"/>
      <c r="KI172" s="33"/>
      <c r="KJ172" s="33"/>
      <c r="KK172" s="33"/>
      <c r="KL172" s="33"/>
      <c r="KM172" s="33"/>
      <c r="KN172" s="33"/>
      <c r="KO172" s="33"/>
      <c r="KP172" s="33"/>
      <c r="KQ172" s="33"/>
      <c r="KR172" s="33"/>
      <c r="KS172" s="33"/>
      <c r="KT172" s="33"/>
      <c r="KU172" s="33"/>
      <c r="KV172" s="33"/>
      <c r="KW172" s="33"/>
      <c r="KX172" s="33"/>
      <c r="KY172" s="33"/>
      <c r="KZ172" s="33"/>
      <c r="LA172" s="33"/>
      <c r="LB172" s="33"/>
      <c r="LC172" s="33"/>
      <c r="LD172" s="33"/>
      <c r="LE172" s="33"/>
      <c r="LF172" s="33"/>
      <c r="LG172" s="33"/>
      <c r="LH172" s="33"/>
      <c r="LI172" s="33"/>
      <c r="LJ172" s="33"/>
      <c r="LK172" s="33"/>
      <c r="LL172" s="33"/>
      <c r="LM172" s="33"/>
      <c r="LN172" s="33"/>
      <c r="LO172" s="33"/>
      <c r="LP172" s="33"/>
      <c r="LQ172" s="33"/>
      <c r="LR172" s="33"/>
      <c r="LS172" s="33"/>
      <c r="LT172" s="33"/>
      <c r="LU172" s="33"/>
      <c r="LV172" s="33"/>
      <c r="LW172" s="33"/>
      <c r="LX172" s="33"/>
      <c r="LY172" s="33"/>
      <c r="LZ172" s="33"/>
      <c r="MA172" s="33"/>
      <c r="MB172" s="33"/>
      <c r="MC172" s="33"/>
      <c r="MD172" s="33"/>
      <c r="ME172" s="33"/>
      <c r="MF172" s="33"/>
      <c r="MG172" s="33"/>
      <c r="MH172" s="33"/>
      <c r="MI172" s="33"/>
      <c r="MJ172" s="33"/>
      <c r="MK172" s="33"/>
      <c r="ML172" s="33"/>
      <c r="MM172" s="33"/>
      <c r="MN172" s="33"/>
      <c r="MO172" s="33"/>
      <c r="MP172" s="33"/>
      <c r="MQ172" s="33"/>
      <c r="MR172" s="33"/>
      <c r="MS172" s="33"/>
      <c r="MT172" s="33"/>
      <c r="MU172" s="33"/>
      <c r="MV172" s="33"/>
      <c r="MW172" s="33"/>
      <c r="MX172" s="33"/>
      <c r="MY172" s="33"/>
      <c r="MZ172" s="33"/>
      <c r="NA172" s="33"/>
      <c r="NB172" s="33"/>
      <c r="NC172" s="33"/>
      <c r="ND172" s="33"/>
      <c r="NE172" s="33"/>
      <c r="NF172" s="33"/>
      <c r="NG172" s="33"/>
      <c r="NH172" s="33"/>
      <c r="NI172" s="33"/>
      <c r="NJ172" s="33"/>
      <c r="NK172" s="33"/>
      <c r="NL172" s="33"/>
      <c r="NM172" s="33"/>
      <c r="NN172" s="33"/>
      <c r="NO172" s="33"/>
      <c r="NP172" s="33"/>
      <c r="NQ172" s="33"/>
      <c r="NR172" s="33"/>
      <c r="NS172" s="33"/>
      <c r="NT172" s="33"/>
      <c r="NU172" s="33"/>
      <c r="NV172" s="33"/>
      <c r="NW172" s="33"/>
      <c r="NX172" s="33"/>
      <c r="NY172" s="33"/>
      <c r="NZ172" s="33"/>
      <c r="OA172" s="33"/>
      <c r="OB172" s="33"/>
      <c r="OC172" s="33"/>
      <c r="OD172" s="33"/>
      <c r="OE172" s="33"/>
      <c r="OF172" s="33"/>
      <c r="OG172" s="33"/>
      <c r="OH172" s="33"/>
      <c r="OI172" s="33"/>
      <c r="OJ172" s="33"/>
      <c r="OK172" s="33"/>
      <c r="OL172" s="33"/>
      <c r="OM172" s="33"/>
      <c r="ON172" s="33"/>
      <c r="OO172" s="33"/>
      <c r="OP172" s="33"/>
      <c r="OQ172" s="33"/>
      <c r="OR172" s="33"/>
      <c r="OS172" s="33"/>
      <c r="OT172" s="33"/>
      <c r="OU172" s="33"/>
      <c r="OV172" s="33"/>
      <c r="OW172" s="33"/>
      <c r="OX172" s="33"/>
      <c r="OY172" s="33"/>
      <c r="OZ172" s="33"/>
      <c r="PA172" s="33"/>
      <c r="PB172" s="33"/>
      <c r="PC172" s="33"/>
      <c r="PD172" s="33"/>
      <c r="PE172" s="33"/>
      <c r="PF172" s="33"/>
      <c r="PG172" s="33"/>
      <c r="PH172" s="33"/>
      <c r="PI172" s="33"/>
      <c r="PJ172" s="33"/>
      <c r="PK172" s="33"/>
      <c r="PL172" s="33"/>
      <c r="PM172" s="33"/>
      <c r="PN172" s="33"/>
      <c r="PO172" s="33"/>
      <c r="PP172" s="33"/>
      <c r="PQ172" s="33"/>
      <c r="PR172" s="33"/>
      <c r="PS172" s="33"/>
      <c r="PT172" s="33"/>
      <c r="PU172" s="33"/>
      <c r="PV172" s="33"/>
      <c r="PW172" s="33"/>
      <c r="PX172" s="33"/>
      <c r="PY172" s="33"/>
      <c r="PZ172" s="33"/>
      <c r="QA172" s="33"/>
      <c r="QB172" s="33"/>
      <c r="QC172" s="33"/>
      <c r="QD172" s="33"/>
      <c r="QE172" s="33"/>
      <c r="QF172" s="33"/>
      <c r="QG172" s="33"/>
      <c r="QH172" s="33"/>
      <c r="QI172" s="33"/>
      <c r="QJ172" s="33"/>
      <c r="QK172" s="33"/>
      <c r="QL172" s="33"/>
      <c r="QM172" s="33"/>
      <c r="QN172" s="33"/>
      <c r="QO172" s="33"/>
      <c r="QP172" s="33"/>
      <c r="QQ172" s="33"/>
      <c r="QR172" s="33"/>
      <c r="QS172" s="33"/>
      <c r="QT172" s="33"/>
      <c r="QU172" s="33"/>
      <c r="QV172" s="33"/>
      <c r="QW172" s="33"/>
      <c r="QX172" s="33"/>
      <c r="QY172" s="33"/>
      <c r="QZ172" s="33"/>
      <c r="RA172" s="33"/>
      <c r="RB172" s="33"/>
      <c r="RC172" s="33"/>
      <c r="RD172" s="33"/>
      <c r="RE172" s="33"/>
      <c r="RF172" s="33"/>
      <c r="RG172" s="33"/>
      <c r="RH172" s="33"/>
      <c r="RI172" s="33"/>
      <c r="RJ172" s="33"/>
      <c r="RK172" s="33"/>
      <c r="RL172" s="33"/>
      <c r="RM172" s="33"/>
      <c r="RN172" s="33"/>
      <c r="RO172" s="33"/>
      <c r="RP172" s="33"/>
      <c r="RQ172" s="33"/>
      <c r="RR172" s="33"/>
      <c r="RS172" s="33"/>
      <c r="RT172" s="33"/>
      <c r="RU172" s="33"/>
      <c r="RV172" s="33"/>
      <c r="RW172" s="33"/>
      <c r="RX172" s="33"/>
      <c r="RY172" s="33"/>
      <c r="RZ172" s="33"/>
      <c r="SA172" s="33"/>
      <c r="SB172" s="33"/>
      <c r="SC172" s="33"/>
      <c r="SD172" s="33"/>
      <c r="SE172" s="33"/>
      <c r="SF172" s="33"/>
      <c r="SG172" s="33"/>
      <c r="SH172" s="33"/>
      <c r="SI172" s="33"/>
      <c r="SJ172" s="33"/>
      <c r="SK172" s="33"/>
      <c r="SL172" s="33"/>
      <c r="SM172" s="33"/>
      <c r="SN172" s="33"/>
      <c r="SO172" s="33"/>
      <c r="SP172" s="33"/>
      <c r="SQ172" s="33"/>
      <c r="SR172" s="33"/>
      <c r="SS172" s="33"/>
      <c r="ST172" s="33"/>
      <c r="SU172" s="33"/>
      <c r="SV172" s="33"/>
      <c r="SW172" s="33"/>
      <c r="SX172" s="33"/>
      <c r="SY172" s="33"/>
      <c r="SZ172" s="33"/>
      <c r="TA172" s="33"/>
      <c r="TB172" s="33"/>
      <c r="TC172" s="33"/>
      <c r="TD172" s="33"/>
      <c r="TE172" s="33"/>
    </row>
    <row r="173" spans="1:525" s="34" customFormat="1" ht="15.75" x14ac:dyDescent="0.25">
      <c r="A173" s="86"/>
      <c r="B173" s="95"/>
      <c r="C173" s="95"/>
      <c r="D173" s="70" t="s">
        <v>390</v>
      </c>
      <c r="E173" s="138">
        <f>E181+E185+E187+E192+E194+E208</f>
        <v>1293200</v>
      </c>
      <c r="F173" s="138">
        <f>F181+F185+F187+F192+F194+F208</f>
        <v>1293200</v>
      </c>
      <c r="G173" s="138">
        <f t="shared" ref="G173:P173" si="67">G181+G185+G187+G192+G194+G208</f>
        <v>0</v>
      </c>
      <c r="H173" s="138">
        <f t="shared" si="67"/>
        <v>0</v>
      </c>
      <c r="I173" s="138">
        <f t="shared" si="67"/>
        <v>0</v>
      </c>
      <c r="J173" s="138">
        <f t="shared" si="67"/>
        <v>0</v>
      </c>
      <c r="K173" s="138">
        <f t="shared" si="67"/>
        <v>0</v>
      </c>
      <c r="L173" s="138">
        <f t="shared" si="67"/>
        <v>0</v>
      </c>
      <c r="M173" s="138">
        <f t="shared" si="67"/>
        <v>0</v>
      </c>
      <c r="N173" s="138">
        <f t="shared" si="67"/>
        <v>0</v>
      </c>
      <c r="O173" s="138">
        <f t="shared" si="67"/>
        <v>0</v>
      </c>
      <c r="P173" s="138">
        <f t="shared" si="67"/>
        <v>1293200</v>
      </c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  <c r="IV173" s="33"/>
      <c r="IW173" s="33"/>
      <c r="IX173" s="33"/>
      <c r="IY173" s="33"/>
      <c r="IZ173" s="33"/>
      <c r="JA173" s="33"/>
      <c r="JB173" s="33"/>
      <c r="JC173" s="33"/>
      <c r="JD173" s="33"/>
      <c r="JE173" s="33"/>
      <c r="JF173" s="33"/>
      <c r="JG173" s="33"/>
      <c r="JH173" s="33"/>
      <c r="JI173" s="33"/>
      <c r="JJ173" s="33"/>
      <c r="JK173" s="33"/>
      <c r="JL173" s="33"/>
      <c r="JM173" s="33"/>
      <c r="JN173" s="33"/>
      <c r="JO173" s="33"/>
      <c r="JP173" s="33"/>
      <c r="JQ173" s="33"/>
      <c r="JR173" s="33"/>
      <c r="JS173" s="33"/>
      <c r="JT173" s="33"/>
      <c r="JU173" s="33"/>
      <c r="JV173" s="33"/>
      <c r="JW173" s="33"/>
      <c r="JX173" s="33"/>
      <c r="JY173" s="33"/>
      <c r="JZ173" s="33"/>
      <c r="KA173" s="33"/>
      <c r="KB173" s="33"/>
      <c r="KC173" s="33"/>
      <c r="KD173" s="33"/>
      <c r="KE173" s="33"/>
      <c r="KF173" s="33"/>
      <c r="KG173" s="33"/>
      <c r="KH173" s="33"/>
      <c r="KI173" s="33"/>
      <c r="KJ173" s="33"/>
      <c r="KK173" s="33"/>
      <c r="KL173" s="33"/>
      <c r="KM173" s="33"/>
      <c r="KN173" s="33"/>
      <c r="KO173" s="33"/>
      <c r="KP173" s="33"/>
      <c r="KQ173" s="33"/>
      <c r="KR173" s="33"/>
      <c r="KS173" s="33"/>
      <c r="KT173" s="33"/>
      <c r="KU173" s="33"/>
      <c r="KV173" s="33"/>
      <c r="KW173" s="33"/>
      <c r="KX173" s="33"/>
      <c r="KY173" s="33"/>
      <c r="KZ173" s="33"/>
      <c r="LA173" s="33"/>
      <c r="LB173" s="33"/>
      <c r="LC173" s="33"/>
      <c r="LD173" s="33"/>
      <c r="LE173" s="33"/>
      <c r="LF173" s="33"/>
      <c r="LG173" s="33"/>
      <c r="LH173" s="33"/>
      <c r="LI173" s="33"/>
      <c r="LJ173" s="33"/>
      <c r="LK173" s="33"/>
      <c r="LL173" s="33"/>
      <c r="LM173" s="33"/>
      <c r="LN173" s="33"/>
      <c r="LO173" s="33"/>
      <c r="LP173" s="33"/>
      <c r="LQ173" s="33"/>
      <c r="LR173" s="33"/>
      <c r="LS173" s="33"/>
      <c r="LT173" s="33"/>
      <c r="LU173" s="33"/>
      <c r="LV173" s="33"/>
      <c r="LW173" s="33"/>
      <c r="LX173" s="33"/>
      <c r="LY173" s="33"/>
      <c r="LZ173" s="33"/>
      <c r="MA173" s="33"/>
      <c r="MB173" s="33"/>
      <c r="MC173" s="33"/>
      <c r="MD173" s="33"/>
      <c r="ME173" s="33"/>
      <c r="MF173" s="33"/>
      <c r="MG173" s="33"/>
      <c r="MH173" s="33"/>
      <c r="MI173" s="33"/>
      <c r="MJ173" s="33"/>
      <c r="MK173" s="33"/>
      <c r="ML173" s="33"/>
      <c r="MM173" s="33"/>
      <c r="MN173" s="33"/>
      <c r="MO173" s="33"/>
      <c r="MP173" s="33"/>
      <c r="MQ173" s="33"/>
      <c r="MR173" s="33"/>
      <c r="MS173" s="33"/>
      <c r="MT173" s="33"/>
      <c r="MU173" s="33"/>
      <c r="MV173" s="33"/>
      <c r="MW173" s="33"/>
      <c r="MX173" s="33"/>
      <c r="MY173" s="33"/>
      <c r="MZ173" s="33"/>
      <c r="NA173" s="33"/>
      <c r="NB173" s="33"/>
      <c r="NC173" s="33"/>
      <c r="ND173" s="33"/>
      <c r="NE173" s="33"/>
      <c r="NF173" s="33"/>
      <c r="NG173" s="33"/>
      <c r="NH173" s="33"/>
      <c r="NI173" s="33"/>
      <c r="NJ173" s="33"/>
      <c r="NK173" s="33"/>
      <c r="NL173" s="33"/>
      <c r="NM173" s="33"/>
      <c r="NN173" s="33"/>
      <c r="NO173" s="33"/>
      <c r="NP173" s="33"/>
      <c r="NQ173" s="33"/>
      <c r="NR173" s="33"/>
      <c r="NS173" s="33"/>
      <c r="NT173" s="33"/>
      <c r="NU173" s="33"/>
      <c r="NV173" s="33"/>
      <c r="NW173" s="33"/>
      <c r="NX173" s="33"/>
      <c r="NY173" s="33"/>
      <c r="NZ173" s="33"/>
      <c r="OA173" s="33"/>
      <c r="OB173" s="33"/>
      <c r="OC173" s="33"/>
      <c r="OD173" s="33"/>
      <c r="OE173" s="33"/>
      <c r="OF173" s="33"/>
      <c r="OG173" s="33"/>
      <c r="OH173" s="33"/>
      <c r="OI173" s="33"/>
      <c r="OJ173" s="33"/>
      <c r="OK173" s="33"/>
      <c r="OL173" s="33"/>
      <c r="OM173" s="33"/>
      <c r="ON173" s="33"/>
      <c r="OO173" s="33"/>
      <c r="OP173" s="33"/>
      <c r="OQ173" s="33"/>
      <c r="OR173" s="33"/>
      <c r="OS173" s="33"/>
      <c r="OT173" s="33"/>
      <c r="OU173" s="33"/>
      <c r="OV173" s="33"/>
      <c r="OW173" s="33"/>
      <c r="OX173" s="33"/>
      <c r="OY173" s="33"/>
      <c r="OZ173" s="33"/>
      <c r="PA173" s="33"/>
      <c r="PB173" s="33"/>
      <c r="PC173" s="33"/>
      <c r="PD173" s="33"/>
      <c r="PE173" s="33"/>
      <c r="PF173" s="33"/>
      <c r="PG173" s="33"/>
      <c r="PH173" s="33"/>
      <c r="PI173" s="33"/>
      <c r="PJ173" s="33"/>
      <c r="PK173" s="33"/>
      <c r="PL173" s="33"/>
      <c r="PM173" s="33"/>
      <c r="PN173" s="33"/>
      <c r="PO173" s="33"/>
      <c r="PP173" s="33"/>
      <c r="PQ173" s="33"/>
      <c r="PR173" s="33"/>
      <c r="PS173" s="33"/>
      <c r="PT173" s="33"/>
      <c r="PU173" s="33"/>
      <c r="PV173" s="33"/>
      <c r="PW173" s="33"/>
      <c r="PX173" s="33"/>
      <c r="PY173" s="33"/>
      <c r="PZ173" s="33"/>
      <c r="QA173" s="33"/>
      <c r="QB173" s="33"/>
      <c r="QC173" s="33"/>
      <c r="QD173" s="33"/>
      <c r="QE173" s="33"/>
      <c r="QF173" s="33"/>
      <c r="QG173" s="33"/>
      <c r="QH173" s="33"/>
      <c r="QI173" s="33"/>
      <c r="QJ173" s="33"/>
      <c r="QK173" s="33"/>
      <c r="QL173" s="33"/>
      <c r="QM173" s="33"/>
      <c r="QN173" s="33"/>
      <c r="QO173" s="33"/>
      <c r="QP173" s="33"/>
      <c r="QQ173" s="33"/>
      <c r="QR173" s="33"/>
      <c r="QS173" s="33"/>
      <c r="QT173" s="33"/>
      <c r="QU173" s="33"/>
      <c r="QV173" s="33"/>
      <c r="QW173" s="33"/>
      <c r="QX173" s="33"/>
      <c r="QY173" s="33"/>
      <c r="QZ173" s="33"/>
      <c r="RA173" s="33"/>
      <c r="RB173" s="33"/>
      <c r="RC173" s="33"/>
      <c r="RD173" s="33"/>
      <c r="RE173" s="33"/>
      <c r="RF173" s="33"/>
      <c r="RG173" s="33"/>
      <c r="RH173" s="33"/>
      <c r="RI173" s="33"/>
      <c r="RJ173" s="33"/>
      <c r="RK173" s="33"/>
      <c r="RL173" s="33"/>
      <c r="RM173" s="33"/>
      <c r="RN173" s="33"/>
      <c r="RO173" s="33"/>
      <c r="RP173" s="33"/>
      <c r="RQ173" s="33"/>
      <c r="RR173" s="33"/>
      <c r="RS173" s="33"/>
      <c r="RT173" s="33"/>
      <c r="RU173" s="33"/>
      <c r="RV173" s="33"/>
      <c r="RW173" s="33"/>
      <c r="RX173" s="33"/>
      <c r="RY173" s="33"/>
      <c r="RZ173" s="33"/>
      <c r="SA173" s="33"/>
      <c r="SB173" s="33"/>
      <c r="SC173" s="33"/>
      <c r="SD173" s="33"/>
      <c r="SE173" s="33"/>
      <c r="SF173" s="33"/>
      <c r="SG173" s="33"/>
      <c r="SH173" s="33"/>
      <c r="SI173" s="33"/>
      <c r="SJ173" s="33"/>
      <c r="SK173" s="33"/>
      <c r="SL173" s="33"/>
      <c r="SM173" s="33"/>
      <c r="SN173" s="33"/>
      <c r="SO173" s="33"/>
      <c r="SP173" s="33"/>
      <c r="SQ173" s="33"/>
      <c r="SR173" s="33"/>
      <c r="SS173" s="33"/>
      <c r="ST173" s="33"/>
      <c r="SU173" s="33"/>
      <c r="SV173" s="33"/>
      <c r="SW173" s="33"/>
      <c r="SX173" s="33"/>
      <c r="SY173" s="33"/>
      <c r="SZ173" s="33"/>
      <c r="TA173" s="33"/>
      <c r="TB173" s="33"/>
      <c r="TC173" s="33"/>
      <c r="TD173" s="33"/>
      <c r="TE173" s="33"/>
    </row>
    <row r="174" spans="1:525" s="34" customFormat="1" ht="309.75" hidden="1" customHeight="1" x14ac:dyDescent="0.25">
      <c r="A174" s="86"/>
      <c r="B174" s="95"/>
      <c r="C174" s="95"/>
      <c r="D174" s="70" t="s">
        <v>549</v>
      </c>
      <c r="E174" s="138">
        <f>E201</f>
        <v>0</v>
      </c>
      <c r="F174" s="138">
        <f t="shared" ref="F174:P174" si="68">F201</f>
        <v>0</v>
      </c>
      <c r="G174" s="138">
        <f t="shared" si="68"/>
        <v>0</v>
      </c>
      <c r="H174" s="138">
        <f t="shared" si="68"/>
        <v>0</v>
      </c>
      <c r="I174" s="138">
        <f t="shared" si="68"/>
        <v>0</v>
      </c>
      <c r="J174" s="138">
        <f t="shared" si="68"/>
        <v>0</v>
      </c>
      <c r="K174" s="138">
        <f t="shared" si="68"/>
        <v>0</v>
      </c>
      <c r="L174" s="138">
        <f t="shared" si="68"/>
        <v>0</v>
      </c>
      <c r="M174" s="138">
        <f t="shared" si="68"/>
        <v>0</v>
      </c>
      <c r="N174" s="138">
        <f t="shared" si="68"/>
        <v>0</v>
      </c>
      <c r="O174" s="138">
        <f t="shared" si="68"/>
        <v>0</v>
      </c>
      <c r="P174" s="138">
        <f t="shared" si="68"/>
        <v>0</v>
      </c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  <c r="IV174" s="33"/>
      <c r="IW174" s="33"/>
      <c r="IX174" s="33"/>
      <c r="IY174" s="33"/>
      <c r="IZ174" s="33"/>
      <c r="JA174" s="33"/>
      <c r="JB174" s="33"/>
      <c r="JC174" s="33"/>
      <c r="JD174" s="33"/>
      <c r="JE174" s="33"/>
      <c r="JF174" s="33"/>
      <c r="JG174" s="33"/>
      <c r="JH174" s="33"/>
      <c r="JI174" s="33"/>
      <c r="JJ174" s="33"/>
      <c r="JK174" s="33"/>
      <c r="JL174" s="33"/>
      <c r="JM174" s="33"/>
      <c r="JN174" s="33"/>
      <c r="JO174" s="33"/>
      <c r="JP174" s="33"/>
      <c r="JQ174" s="33"/>
      <c r="JR174" s="33"/>
      <c r="JS174" s="33"/>
      <c r="JT174" s="33"/>
      <c r="JU174" s="33"/>
      <c r="JV174" s="33"/>
      <c r="JW174" s="33"/>
      <c r="JX174" s="33"/>
      <c r="JY174" s="33"/>
      <c r="JZ174" s="33"/>
      <c r="KA174" s="33"/>
      <c r="KB174" s="33"/>
      <c r="KC174" s="33"/>
      <c r="KD174" s="33"/>
      <c r="KE174" s="33"/>
      <c r="KF174" s="33"/>
      <c r="KG174" s="33"/>
      <c r="KH174" s="33"/>
      <c r="KI174" s="33"/>
      <c r="KJ174" s="33"/>
      <c r="KK174" s="33"/>
      <c r="KL174" s="33"/>
      <c r="KM174" s="33"/>
      <c r="KN174" s="33"/>
      <c r="KO174" s="33"/>
      <c r="KP174" s="33"/>
      <c r="KQ174" s="33"/>
      <c r="KR174" s="33"/>
      <c r="KS174" s="33"/>
      <c r="KT174" s="33"/>
      <c r="KU174" s="33"/>
      <c r="KV174" s="33"/>
      <c r="KW174" s="33"/>
      <c r="KX174" s="33"/>
      <c r="KY174" s="33"/>
      <c r="KZ174" s="33"/>
      <c r="LA174" s="33"/>
      <c r="LB174" s="33"/>
      <c r="LC174" s="33"/>
      <c r="LD174" s="33"/>
      <c r="LE174" s="33"/>
      <c r="LF174" s="33"/>
      <c r="LG174" s="33"/>
      <c r="LH174" s="33"/>
      <c r="LI174" s="33"/>
      <c r="LJ174" s="33"/>
      <c r="LK174" s="33"/>
      <c r="LL174" s="33"/>
      <c r="LM174" s="33"/>
      <c r="LN174" s="33"/>
      <c r="LO174" s="33"/>
      <c r="LP174" s="33"/>
      <c r="LQ174" s="33"/>
      <c r="LR174" s="33"/>
      <c r="LS174" s="33"/>
      <c r="LT174" s="33"/>
      <c r="LU174" s="33"/>
      <c r="LV174" s="33"/>
      <c r="LW174" s="33"/>
      <c r="LX174" s="33"/>
      <c r="LY174" s="33"/>
      <c r="LZ174" s="33"/>
      <c r="MA174" s="33"/>
      <c r="MB174" s="33"/>
      <c r="MC174" s="33"/>
      <c r="MD174" s="33"/>
      <c r="ME174" s="33"/>
      <c r="MF174" s="33"/>
      <c r="MG174" s="33"/>
      <c r="MH174" s="33"/>
      <c r="MI174" s="33"/>
      <c r="MJ174" s="33"/>
      <c r="MK174" s="33"/>
      <c r="ML174" s="33"/>
      <c r="MM174" s="33"/>
      <c r="MN174" s="33"/>
      <c r="MO174" s="33"/>
      <c r="MP174" s="33"/>
      <c r="MQ174" s="33"/>
      <c r="MR174" s="33"/>
      <c r="MS174" s="33"/>
      <c r="MT174" s="33"/>
      <c r="MU174" s="33"/>
      <c r="MV174" s="33"/>
      <c r="MW174" s="33"/>
      <c r="MX174" s="33"/>
      <c r="MY174" s="33"/>
      <c r="MZ174" s="33"/>
      <c r="NA174" s="33"/>
      <c r="NB174" s="33"/>
      <c r="NC174" s="33"/>
      <c r="ND174" s="33"/>
      <c r="NE174" s="33"/>
      <c r="NF174" s="33"/>
      <c r="NG174" s="33"/>
      <c r="NH174" s="33"/>
      <c r="NI174" s="33"/>
      <c r="NJ174" s="33"/>
      <c r="NK174" s="33"/>
      <c r="NL174" s="33"/>
      <c r="NM174" s="33"/>
      <c r="NN174" s="33"/>
      <c r="NO174" s="33"/>
      <c r="NP174" s="33"/>
      <c r="NQ174" s="33"/>
      <c r="NR174" s="33"/>
      <c r="NS174" s="33"/>
      <c r="NT174" s="33"/>
      <c r="NU174" s="33"/>
      <c r="NV174" s="33"/>
      <c r="NW174" s="33"/>
      <c r="NX174" s="33"/>
      <c r="NY174" s="33"/>
      <c r="NZ174" s="33"/>
      <c r="OA174" s="33"/>
      <c r="OB174" s="33"/>
      <c r="OC174" s="33"/>
      <c r="OD174" s="33"/>
      <c r="OE174" s="33"/>
      <c r="OF174" s="33"/>
      <c r="OG174" s="33"/>
      <c r="OH174" s="33"/>
      <c r="OI174" s="33"/>
      <c r="OJ174" s="33"/>
      <c r="OK174" s="33"/>
      <c r="OL174" s="33"/>
      <c r="OM174" s="33"/>
      <c r="ON174" s="33"/>
      <c r="OO174" s="33"/>
      <c r="OP174" s="33"/>
      <c r="OQ174" s="33"/>
      <c r="OR174" s="33"/>
      <c r="OS174" s="33"/>
      <c r="OT174" s="33"/>
      <c r="OU174" s="33"/>
      <c r="OV174" s="33"/>
      <c r="OW174" s="33"/>
      <c r="OX174" s="33"/>
      <c r="OY174" s="33"/>
      <c r="OZ174" s="33"/>
      <c r="PA174" s="33"/>
      <c r="PB174" s="33"/>
      <c r="PC174" s="33"/>
      <c r="PD174" s="33"/>
      <c r="PE174" s="33"/>
      <c r="PF174" s="33"/>
      <c r="PG174" s="33"/>
      <c r="PH174" s="33"/>
      <c r="PI174" s="33"/>
      <c r="PJ174" s="33"/>
      <c r="PK174" s="33"/>
      <c r="PL174" s="33"/>
      <c r="PM174" s="33"/>
      <c r="PN174" s="33"/>
      <c r="PO174" s="33"/>
      <c r="PP174" s="33"/>
      <c r="PQ174" s="33"/>
      <c r="PR174" s="33"/>
      <c r="PS174" s="33"/>
      <c r="PT174" s="33"/>
      <c r="PU174" s="33"/>
      <c r="PV174" s="33"/>
      <c r="PW174" s="33"/>
      <c r="PX174" s="33"/>
      <c r="PY174" s="33"/>
      <c r="PZ174" s="33"/>
      <c r="QA174" s="33"/>
      <c r="QB174" s="33"/>
      <c r="QC174" s="33"/>
      <c r="QD174" s="33"/>
      <c r="QE174" s="33"/>
      <c r="QF174" s="33"/>
      <c r="QG174" s="33"/>
      <c r="QH174" s="33"/>
      <c r="QI174" s="33"/>
      <c r="QJ174" s="33"/>
      <c r="QK174" s="33"/>
      <c r="QL174" s="33"/>
      <c r="QM174" s="33"/>
      <c r="QN174" s="33"/>
      <c r="QO174" s="33"/>
      <c r="QP174" s="33"/>
      <c r="QQ174" s="33"/>
      <c r="QR174" s="33"/>
      <c r="QS174" s="33"/>
      <c r="QT174" s="33"/>
      <c r="QU174" s="33"/>
      <c r="QV174" s="33"/>
      <c r="QW174" s="33"/>
      <c r="QX174" s="33"/>
      <c r="QY174" s="33"/>
      <c r="QZ174" s="33"/>
      <c r="RA174" s="33"/>
      <c r="RB174" s="33"/>
      <c r="RC174" s="33"/>
      <c r="RD174" s="33"/>
      <c r="RE174" s="33"/>
      <c r="RF174" s="33"/>
      <c r="RG174" s="33"/>
      <c r="RH174" s="33"/>
      <c r="RI174" s="33"/>
      <c r="RJ174" s="33"/>
      <c r="RK174" s="33"/>
      <c r="RL174" s="33"/>
      <c r="RM174" s="33"/>
      <c r="RN174" s="33"/>
      <c r="RO174" s="33"/>
      <c r="RP174" s="33"/>
      <c r="RQ174" s="33"/>
      <c r="RR174" s="33"/>
      <c r="RS174" s="33"/>
      <c r="RT174" s="33"/>
      <c r="RU174" s="33"/>
      <c r="RV174" s="33"/>
      <c r="RW174" s="33"/>
      <c r="RX174" s="33"/>
      <c r="RY174" s="33"/>
      <c r="RZ174" s="33"/>
      <c r="SA174" s="33"/>
      <c r="SB174" s="33"/>
      <c r="SC174" s="33"/>
      <c r="SD174" s="33"/>
      <c r="SE174" s="33"/>
      <c r="SF174" s="33"/>
      <c r="SG174" s="33"/>
      <c r="SH174" s="33"/>
      <c r="SI174" s="33"/>
      <c r="SJ174" s="33"/>
      <c r="SK174" s="33"/>
      <c r="SL174" s="33"/>
      <c r="SM174" s="33"/>
      <c r="SN174" s="33"/>
      <c r="SO174" s="33"/>
      <c r="SP174" s="33"/>
      <c r="SQ174" s="33"/>
      <c r="SR174" s="33"/>
      <c r="SS174" s="33"/>
      <c r="ST174" s="33"/>
      <c r="SU174" s="33"/>
      <c r="SV174" s="33"/>
      <c r="SW174" s="33"/>
      <c r="SX174" s="33"/>
      <c r="SY174" s="33"/>
      <c r="SZ174" s="33"/>
      <c r="TA174" s="33"/>
      <c r="TB174" s="33"/>
      <c r="TC174" s="33"/>
      <c r="TD174" s="33"/>
      <c r="TE174" s="33"/>
    </row>
    <row r="175" spans="1:525" s="34" customFormat="1" ht="369.75" hidden="1" customHeight="1" x14ac:dyDescent="0.25">
      <c r="A175" s="86"/>
      <c r="B175" s="95"/>
      <c r="C175" s="95"/>
      <c r="D175" s="70" t="s">
        <v>566</v>
      </c>
      <c r="E175" s="138">
        <f>E203</f>
        <v>0</v>
      </c>
      <c r="F175" s="138">
        <f t="shared" ref="F175:P175" si="69">F203</f>
        <v>0</v>
      </c>
      <c r="G175" s="138">
        <f t="shared" si="69"/>
        <v>0</v>
      </c>
      <c r="H175" s="138">
        <f t="shared" si="69"/>
        <v>0</v>
      </c>
      <c r="I175" s="138">
        <f t="shared" si="69"/>
        <v>0</v>
      </c>
      <c r="J175" s="138">
        <f t="shared" si="69"/>
        <v>0</v>
      </c>
      <c r="K175" s="138">
        <f t="shared" si="69"/>
        <v>0</v>
      </c>
      <c r="L175" s="138">
        <f t="shared" si="69"/>
        <v>0</v>
      </c>
      <c r="M175" s="138">
        <f t="shared" si="69"/>
        <v>0</v>
      </c>
      <c r="N175" s="138">
        <f t="shared" si="69"/>
        <v>0</v>
      </c>
      <c r="O175" s="138">
        <f t="shared" si="69"/>
        <v>0</v>
      </c>
      <c r="P175" s="138">
        <f t="shared" si="69"/>
        <v>0</v>
      </c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  <c r="IU175" s="33"/>
      <c r="IV175" s="33"/>
      <c r="IW175" s="33"/>
      <c r="IX175" s="33"/>
      <c r="IY175" s="33"/>
      <c r="IZ175" s="33"/>
      <c r="JA175" s="33"/>
      <c r="JB175" s="33"/>
      <c r="JC175" s="33"/>
      <c r="JD175" s="33"/>
      <c r="JE175" s="33"/>
      <c r="JF175" s="33"/>
      <c r="JG175" s="33"/>
      <c r="JH175" s="33"/>
      <c r="JI175" s="33"/>
      <c r="JJ175" s="33"/>
      <c r="JK175" s="33"/>
      <c r="JL175" s="33"/>
      <c r="JM175" s="33"/>
      <c r="JN175" s="33"/>
      <c r="JO175" s="33"/>
      <c r="JP175" s="33"/>
      <c r="JQ175" s="33"/>
      <c r="JR175" s="33"/>
      <c r="JS175" s="33"/>
      <c r="JT175" s="33"/>
      <c r="JU175" s="33"/>
      <c r="JV175" s="33"/>
      <c r="JW175" s="33"/>
      <c r="JX175" s="33"/>
      <c r="JY175" s="33"/>
      <c r="JZ175" s="33"/>
      <c r="KA175" s="33"/>
      <c r="KB175" s="33"/>
      <c r="KC175" s="33"/>
      <c r="KD175" s="33"/>
      <c r="KE175" s="33"/>
      <c r="KF175" s="33"/>
      <c r="KG175" s="33"/>
      <c r="KH175" s="33"/>
      <c r="KI175" s="33"/>
      <c r="KJ175" s="33"/>
      <c r="KK175" s="33"/>
      <c r="KL175" s="33"/>
      <c r="KM175" s="33"/>
      <c r="KN175" s="33"/>
      <c r="KO175" s="33"/>
      <c r="KP175" s="33"/>
      <c r="KQ175" s="33"/>
      <c r="KR175" s="33"/>
      <c r="KS175" s="33"/>
      <c r="KT175" s="33"/>
      <c r="KU175" s="33"/>
      <c r="KV175" s="33"/>
      <c r="KW175" s="33"/>
      <c r="KX175" s="33"/>
      <c r="KY175" s="33"/>
      <c r="KZ175" s="33"/>
      <c r="LA175" s="33"/>
      <c r="LB175" s="33"/>
      <c r="LC175" s="33"/>
      <c r="LD175" s="33"/>
      <c r="LE175" s="33"/>
      <c r="LF175" s="33"/>
      <c r="LG175" s="33"/>
      <c r="LH175" s="33"/>
      <c r="LI175" s="33"/>
      <c r="LJ175" s="33"/>
      <c r="LK175" s="33"/>
      <c r="LL175" s="33"/>
      <c r="LM175" s="33"/>
      <c r="LN175" s="33"/>
      <c r="LO175" s="33"/>
      <c r="LP175" s="33"/>
      <c r="LQ175" s="33"/>
      <c r="LR175" s="33"/>
      <c r="LS175" s="33"/>
      <c r="LT175" s="33"/>
      <c r="LU175" s="33"/>
      <c r="LV175" s="33"/>
      <c r="LW175" s="33"/>
      <c r="LX175" s="33"/>
      <c r="LY175" s="33"/>
      <c r="LZ175" s="33"/>
      <c r="MA175" s="33"/>
      <c r="MB175" s="33"/>
      <c r="MC175" s="33"/>
      <c r="MD175" s="33"/>
      <c r="ME175" s="33"/>
      <c r="MF175" s="33"/>
      <c r="MG175" s="33"/>
      <c r="MH175" s="33"/>
      <c r="MI175" s="33"/>
      <c r="MJ175" s="33"/>
      <c r="MK175" s="33"/>
      <c r="ML175" s="33"/>
      <c r="MM175" s="33"/>
      <c r="MN175" s="33"/>
      <c r="MO175" s="33"/>
      <c r="MP175" s="33"/>
      <c r="MQ175" s="33"/>
      <c r="MR175" s="33"/>
      <c r="MS175" s="33"/>
      <c r="MT175" s="33"/>
      <c r="MU175" s="33"/>
      <c r="MV175" s="33"/>
      <c r="MW175" s="33"/>
      <c r="MX175" s="33"/>
      <c r="MY175" s="33"/>
      <c r="MZ175" s="33"/>
      <c r="NA175" s="33"/>
      <c r="NB175" s="33"/>
      <c r="NC175" s="33"/>
      <c r="ND175" s="33"/>
      <c r="NE175" s="33"/>
      <c r="NF175" s="33"/>
      <c r="NG175" s="33"/>
      <c r="NH175" s="33"/>
      <c r="NI175" s="33"/>
      <c r="NJ175" s="33"/>
      <c r="NK175" s="33"/>
      <c r="NL175" s="33"/>
      <c r="NM175" s="33"/>
      <c r="NN175" s="33"/>
      <c r="NO175" s="33"/>
      <c r="NP175" s="33"/>
      <c r="NQ175" s="33"/>
      <c r="NR175" s="33"/>
      <c r="NS175" s="33"/>
      <c r="NT175" s="33"/>
      <c r="NU175" s="33"/>
      <c r="NV175" s="33"/>
      <c r="NW175" s="33"/>
      <c r="NX175" s="33"/>
      <c r="NY175" s="33"/>
      <c r="NZ175" s="33"/>
      <c r="OA175" s="33"/>
      <c r="OB175" s="33"/>
      <c r="OC175" s="33"/>
      <c r="OD175" s="33"/>
      <c r="OE175" s="33"/>
      <c r="OF175" s="33"/>
      <c r="OG175" s="33"/>
      <c r="OH175" s="33"/>
      <c r="OI175" s="33"/>
      <c r="OJ175" s="33"/>
      <c r="OK175" s="33"/>
      <c r="OL175" s="33"/>
      <c r="OM175" s="33"/>
      <c r="ON175" s="33"/>
      <c r="OO175" s="33"/>
      <c r="OP175" s="33"/>
      <c r="OQ175" s="33"/>
      <c r="OR175" s="33"/>
      <c r="OS175" s="33"/>
      <c r="OT175" s="33"/>
      <c r="OU175" s="33"/>
      <c r="OV175" s="33"/>
      <c r="OW175" s="33"/>
      <c r="OX175" s="33"/>
      <c r="OY175" s="33"/>
      <c r="OZ175" s="33"/>
      <c r="PA175" s="33"/>
      <c r="PB175" s="33"/>
      <c r="PC175" s="33"/>
      <c r="PD175" s="33"/>
      <c r="PE175" s="33"/>
      <c r="PF175" s="33"/>
      <c r="PG175" s="33"/>
      <c r="PH175" s="33"/>
      <c r="PI175" s="33"/>
      <c r="PJ175" s="33"/>
      <c r="PK175" s="33"/>
      <c r="PL175" s="33"/>
      <c r="PM175" s="33"/>
      <c r="PN175" s="33"/>
      <c r="PO175" s="33"/>
      <c r="PP175" s="33"/>
      <c r="PQ175" s="33"/>
      <c r="PR175" s="33"/>
      <c r="PS175" s="33"/>
      <c r="PT175" s="33"/>
      <c r="PU175" s="33"/>
      <c r="PV175" s="33"/>
      <c r="PW175" s="33"/>
      <c r="PX175" s="33"/>
      <c r="PY175" s="33"/>
      <c r="PZ175" s="33"/>
      <c r="QA175" s="33"/>
      <c r="QB175" s="33"/>
      <c r="QC175" s="33"/>
      <c r="QD175" s="33"/>
      <c r="QE175" s="33"/>
      <c r="QF175" s="33"/>
      <c r="QG175" s="33"/>
      <c r="QH175" s="33"/>
      <c r="QI175" s="33"/>
      <c r="QJ175" s="33"/>
      <c r="QK175" s="33"/>
      <c r="QL175" s="33"/>
      <c r="QM175" s="33"/>
      <c r="QN175" s="33"/>
      <c r="QO175" s="33"/>
      <c r="QP175" s="33"/>
      <c r="QQ175" s="33"/>
      <c r="QR175" s="33"/>
      <c r="QS175" s="33"/>
      <c r="QT175" s="33"/>
      <c r="QU175" s="33"/>
      <c r="QV175" s="33"/>
      <c r="QW175" s="33"/>
      <c r="QX175" s="33"/>
      <c r="QY175" s="33"/>
      <c r="QZ175" s="33"/>
      <c r="RA175" s="33"/>
      <c r="RB175" s="33"/>
      <c r="RC175" s="33"/>
      <c r="RD175" s="33"/>
      <c r="RE175" s="33"/>
      <c r="RF175" s="33"/>
      <c r="RG175" s="33"/>
      <c r="RH175" s="33"/>
      <c r="RI175" s="33"/>
      <c r="RJ175" s="33"/>
      <c r="RK175" s="33"/>
      <c r="RL175" s="33"/>
      <c r="RM175" s="33"/>
      <c r="RN175" s="33"/>
      <c r="RO175" s="33"/>
      <c r="RP175" s="33"/>
      <c r="RQ175" s="33"/>
      <c r="RR175" s="33"/>
      <c r="RS175" s="33"/>
      <c r="RT175" s="33"/>
      <c r="RU175" s="33"/>
      <c r="RV175" s="33"/>
      <c r="RW175" s="33"/>
      <c r="RX175" s="33"/>
      <c r="RY175" s="33"/>
      <c r="RZ175" s="33"/>
      <c r="SA175" s="33"/>
      <c r="SB175" s="33"/>
      <c r="SC175" s="33"/>
      <c r="SD175" s="33"/>
      <c r="SE175" s="33"/>
      <c r="SF175" s="33"/>
      <c r="SG175" s="33"/>
      <c r="SH175" s="33"/>
      <c r="SI175" s="33"/>
      <c r="SJ175" s="33"/>
      <c r="SK175" s="33"/>
      <c r="SL175" s="33"/>
      <c r="SM175" s="33"/>
      <c r="SN175" s="33"/>
      <c r="SO175" s="33"/>
      <c r="SP175" s="33"/>
      <c r="SQ175" s="33"/>
      <c r="SR175" s="33"/>
      <c r="SS175" s="33"/>
      <c r="ST175" s="33"/>
      <c r="SU175" s="33"/>
      <c r="SV175" s="33"/>
      <c r="SW175" s="33"/>
      <c r="SX175" s="33"/>
      <c r="SY175" s="33"/>
      <c r="SZ175" s="33"/>
      <c r="TA175" s="33"/>
      <c r="TB175" s="33"/>
      <c r="TC175" s="33"/>
      <c r="TD175" s="33"/>
      <c r="TE175" s="33"/>
    </row>
    <row r="176" spans="1:525" s="22" customFormat="1" ht="50.25" customHeight="1" x14ac:dyDescent="0.25">
      <c r="A176" s="56" t="s">
        <v>177</v>
      </c>
      <c r="B176" s="84" t="str">
        <f>'дод 3'!A19</f>
        <v>0160</v>
      </c>
      <c r="C176" s="84" t="str">
        <f>'дод 3'!B19</f>
        <v>0111</v>
      </c>
      <c r="D176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176" s="139">
        <f t="shared" ref="E176:E212" si="70">F176+I176</f>
        <v>53685900</v>
      </c>
      <c r="F176" s="139">
        <f>58159000-4473100</f>
        <v>53685900</v>
      </c>
      <c r="G176" s="139">
        <f>44913600-3666500</f>
        <v>41247100</v>
      </c>
      <c r="H176" s="139">
        <v>1347600</v>
      </c>
      <c r="I176" s="139"/>
      <c r="J176" s="139">
        <f>L176+O176</f>
        <v>0</v>
      </c>
      <c r="K176" s="139">
        <f>68000-68000</f>
        <v>0</v>
      </c>
      <c r="L176" s="139"/>
      <c r="M176" s="139"/>
      <c r="N176" s="139"/>
      <c r="O176" s="139">
        <f>68000-68000</f>
        <v>0</v>
      </c>
      <c r="P176" s="139">
        <f t="shared" ref="P176:P212" si="71">E176+J176</f>
        <v>53685900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  <c r="IW176" s="23"/>
      <c r="IX176" s="23"/>
      <c r="IY176" s="23"/>
      <c r="IZ176" s="23"/>
      <c r="JA176" s="23"/>
      <c r="JB176" s="23"/>
      <c r="JC176" s="23"/>
      <c r="JD176" s="23"/>
      <c r="JE176" s="23"/>
      <c r="JF176" s="23"/>
      <c r="JG176" s="23"/>
      <c r="JH176" s="23"/>
      <c r="JI176" s="23"/>
      <c r="JJ176" s="23"/>
      <c r="JK176" s="23"/>
      <c r="JL176" s="23"/>
      <c r="JM176" s="23"/>
      <c r="JN176" s="23"/>
      <c r="JO176" s="23"/>
      <c r="JP176" s="23"/>
      <c r="JQ176" s="23"/>
      <c r="JR176" s="23"/>
      <c r="JS176" s="23"/>
      <c r="JT176" s="23"/>
      <c r="JU176" s="23"/>
      <c r="JV176" s="23"/>
      <c r="JW176" s="23"/>
      <c r="JX176" s="23"/>
      <c r="JY176" s="23"/>
      <c r="JZ176" s="23"/>
      <c r="KA176" s="23"/>
      <c r="KB176" s="23"/>
      <c r="KC176" s="23"/>
      <c r="KD176" s="23"/>
      <c r="KE176" s="23"/>
      <c r="KF176" s="23"/>
      <c r="KG176" s="23"/>
      <c r="KH176" s="23"/>
      <c r="KI176" s="23"/>
      <c r="KJ176" s="23"/>
      <c r="KK176" s="23"/>
      <c r="KL176" s="23"/>
      <c r="KM176" s="23"/>
      <c r="KN176" s="23"/>
      <c r="KO176" s="23"/>
      <c r="KP176" s="23"/>
      <c r="KQ176" s="23"/>
      <c r="KR176" s="23"/>
      <c r="KS176" s="23"/>
      <c r="KT176" s="23"/>
      <c r="KU176" s="23"/>
      <c r="KV176" s="23"/>
      <c r="KW176" s="23"/>
      <c r="KX176" s="23"/>
      <c r="KY176" s="23"/>
      <c r="KZ176" s="23"/>
      <c r="LA176" s="23"/>
      <c r="LB176" s="23"/>
      <c r="LC176" s="23"/>
      <c r="LD176" s="23"/>
      <c r="LE176" s="23"/>
      <c r="LF176" s="23"/>
      <c r="LG176" s="23"/>
      <c r="LH176" s="23"/>
      <c r="LI176" s="23"/>
      <c r="LJ176" s="23"/>
      <c r="LK176" s="23"/>
      <c r="LL176" s="23"/>
      <c r="LM176" s="23"/>
      <c r="LN176" s="23"/>
      <c r="LO176" s="23"/>
      <c r="LP176" s="23"/>
      <c r="LQ176" s="23"/>
      <c r="LR176" s="23"/>
      <c r="LS176" s="23"/>
      <c r="LT176" s="23"/>
      <c r="LU176" s="23"/>
      <c r="LV176" s="23"/>
      <c r="LW176" s="23"/>
      <c r="LX176" s="23"/>
      <c r="LY176" s="23"/>
      <c r="LZ176" s="23"/>
      <c r="MA176" s="23"/>
      <c r="MB176" s="23"/>
      <c r="MC176" s="23"/>
      <c r="MD176" s="23"/>
      <c r="ME176" s="23"/>
      <c r="MF176" s="23"/>
      <c r="MG176" s="23"/>
      <c r="MH176" s="23"/>
      <c r="MI176" s="23"/>
      <c r="MJ176" s="23"/>
      <c r="MK176" s="23"/>
      <c r="ML176" s="23"/>
      <c r="MM176" s="23"/>
      <c r="MN176" s="23"/>
      <c r="MO176" s="23"/>
      <c r="MP176" s="23"/>
      <c r="MQ176" s="23"/>
      <c r="MR176" s="23"/>
      <c r="MS176" s="23"/>
      <c r="MT176" s="23"/>
      <c r="MU176" s="23"/>
      <c r="MV176" s="23"/>
      <c r="MW176" s="23"/>
      <c r="MX176" s="23"/>
      <c r="MY176" s="23"/>
      <c r="MZ176" s="23"/>
      <c r="NA176" s="23"/>
      <c r="NB176" s="23"/>
      <c r="NC176" s="23"/>
      <c r="ND176" s="23"/>
      <c r="NE176" s="23"/>
      <c r="NF176" s="23"/>
      <c r="NG176" s="23"/>
      <c r="NH176" s="23"/>
      <c r="NI176" s="23"/>
      <c r="NJ176" s="23"/>
      <c r="NK176" s="23"/>
      <c r="NL176" s="23"/>
      <c r="NM176" s="23"/>
      <c r="NN176" s="23"/>
      <c r="NO176" s="23"/>
      <c r="NP176" s="23"/>
      <c r="NQ176" s="23"/>
      <c r="NR176" s="23"/>
      <c r="NS176" s="23"/>
      <c r="NT176" s="23"/>
      <c r="NU176" s="23"/>
      <c r="NV176" s="23"/>
      <c r="NW176" s="23"/>
      <c r="NX176" s="23"/>
      <c r="NY176" s="23"/>
      <c r="NZ176" s="23"/>
      <c r="OA176" s="23"/>
      <c r="OB176" s="23"/>
      <c r="OC176" s="23"/>
      <c r="OD176" s="23"/>
      <c r="OE176" s="23"/>
      <c r="OF176" s="23"/>
      <c r="OG176" s="23"/>
      <c r="OH176" s="23"/>
      <c r="OI176" s="23"/>
      <c r="OJ176" s="23"/>
      <c r="OK176" s="23"/>
      <c r="OL176" s="23"/>
      <c r="OM176" s="23"/>
      <c r="ON176" s="23"/>
      <c r="OO176" s="23"/>
      <c r="OP176" s="23"/>
      <c r="OQ176" s="23"/>
      <c r="OR176" s="23"/>
      <c r="OS176" s="23"/>
      <c r="OT176" s="23"/>
      <c r="OU176" s="23"/>
      <c r="OV176" s="23"/>
      <c r="OW176" s="23"/>
      <c r="OX176" s="23"/>
      <c r="OY176" s="23"/>
      <c r="OZ176" s="23"/>
      <c r="PA176" s="23"/>
      <c r="PB176" s="23"/>
      <c r="PC176" s="23"/>
      <c r="PD176" s="23"/>
      <c r="PE176" s="23"/>
      <c r="PF176" s="23"/>
      <c r="PG176" s="23"/>
      <c r="PH176" s="23"/>
      <c r="PI176" s="23"/>
      <c r="PJ176" s="23"/>
      <c r="PK176" s="23"/>
      <c r="PL176" s="23"/>
      <c r="PM176" s="23"/>
      <c r="PN176" s="23"/>
      <c r="PO176" s="23"/>
      <c r="PP176" s="23"/>
      <c r="PQ176" s="23"/>
      <c r="PR176" s="23"/>
      <c r="PS176" s="23"/>
      <c r="PT176" s="23"/>
      <c r="PU176" s="23"/>
      <c r="PV176" s="23"/>
      <c r="PW176" s="23"/>
      <c r="PX176" s="23"/>
      <c r="PY176" s="23"/>
      <c r="PZ176" s="23"/>
      <c r="QA176" s="23"/>
      <c r="QB176" s="23"/>
      <c r="QC176" s="23"/>
      <c r="QD176" s="23"/>
      <c r="QE176" s="23"/>
      <c r="QF176" s="23"/>
      <c r="QG176" s="23"/>
      <c r="QH176" s="23"/>
      <c r="QI176" s="23"/>
      <c r="QJ176" s="23"/>
      <c r="QK176" s="23"/>
      <c r="QL176" s="23"/>
      <c r="QM176" s="23"/>
      <c r="QN176" s="23"/>
      <c r="QO176" s="23"/>
      <c r="QP176" s="23"/>
      <c r="QQ176" s="23"/>
      <c r="QR176" s="23"/>
      <c r="QS176" s="23"/>
      <c r="QT176" s="23"/>
      <c r="QU176" s="23"/>
      <c r="QV176" s="23"/>
      <c r="QW176" s="23"/>
      <c r="QX176" s="23"/>
      <c r="QY176" s="23"/>
      <c r="QZ176" s="23"/>
      <c r="RA176" s="23"/>
      <c r="RB176" s="23"/>
      <c r="RC176" s="23"/>
      <c r="RD176" s="23"/>
      <c r="RE176" s="23"/>
      <c r="RF176" s="23"/>
      <c r="RG176" s="23"/>
      <c r="RH176" s="23"/>
      <c r="RI176" s="23"/>
      <c r="RJ176" s="23"/>
      <c r="RK176" s="23"/>
      <c r="RL176" s="23"/>
      <c r="RM176" s="23"/>
      <c r="RN176" s="23"/>
      <c r="RO176" s="23"/>
      <c r="RP176" s="23"/>
      <c r="RQ176" s="23"/>
      <c r="RR176" s="23"/>
      <c r="RS176" s="23"/>
      <c r="RT176" s="23"/>
      <c r="RU176" s="23"/>
      <c r="RV176" s="23"/>
      <c r="RW176" s="23"/>
      <c r="RX176" s="23"/>
      <c r="RY176" s="23"/>
      <c r="RZ176" s="23"/>
      <c r="SA176" s="23"/>
      <c r="SB176" s="23"/>
      <c r="SC176" s="23"/>
      <c r="SD176" s="23"/>
      <c r="SE176" s="23"/>
      <c r="SF176" s="23"/>
      <c r="SG176" s="23"/>
      <c r="SH176" s="23"/>
      <c r="SI176" s="23"/>
      <c r="SJ176" s="23"/>
      <c r="SK176" s="23"/>
      <c r="SL176" s="23"/>
      <c r="SM176" s="23"/>
      <c r="SN176" s="23"/>
      <c r="SO176" s="23"/>
      <c r="SP176" s="23"/>
      <c r="SQ176" s="23"/>
      <c r="SR176" s="23"/>
      <c r="SS176" s="23"/>
      <c r="ST176" s="23"/>
      <c r="SU176" s="23"/>
      <c r="SV176" s="23"/>
      <c r="SW176" s="23"/>
      <c r="SX176" s="23"/>
      <c r="SY176" s="23"/>
      <c r="SZ176" s="23"/>
      <c r="TA176" s="23"/>
      <c r="TB176" s="23"/>
      <c r="TC176" s="23"/>
      <c r="TD176" s="23"/>
      <c r="TE176" s="23"/>
    </row>
    <row r="177" spans="1:525" s="22" customFormat="1" ht="23.25" customHeight="1" x14ac:dyDescent="0.25">
      <c r="A177" s="56" t="s">
        <v>512</v>
      </c>
      <c r="B177" s="56" t="s">
        <v>44</v>
      </c>
      <c r="C177" s="56" t="s">
        <v>92</v>
      </c>
      <c r="D177" s="36" t="str">
        <f>'дод 3'!C21</f>
        <v>Інша діяльність у сфері державного управління</v>
      </c>
      <c r="E177" s="139">
        <f t="shared" si="70"/>
        <v>41949</v>
      </c>
      <c r="F177" s="139">
        <v>41949</v>
      </c>
      <c r="G177" s="139"/>
      <c r="H177" s="139"/>
      <c r="I177" s="139"/>
      <c r="J177" s="139">
        <f>L177+O177</f>
        <v>0</v>
      </c>
      <c r="K177" s="139"/>
      <c r="L177" s="139"/>
      <c r="M177" s="139"/>
      <c r="N177" s="139"/>
      <c r="O177" s="139"/>
      <c r="P177" s="139">
        <f t="shared" si="71"/>
        <v>41949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</row>
    <row r="178" spans="1:525" s="23" customFormat="1" ht="36" customHeight="1" x14ac:dyDescent="0.25">
      <c r="A178" s="56" t="s">
        <v>178</v>
      </c>
      <c r="B178" s="84" t="str">
        <f>'дод 3'!A110</f>
        <v>3031</v>
      </c>
      <c r="C178" s="84" t="str">
        <f>'дод 3'!B110</f>
        <v>1030</v>
      </c>
      <c r="D178" s="57" t="str">
        <f>'дод 3'!C110</f>
        <v>Надання інших пільг окремим категоріям громадян відповідно до законодавства</v>
      </c>
      <c r="E178" s="139">
        <f t="shared" si="70"/>
        <v>675400</v>
      </c>
      <c r="F178" s="139">
        <v>675400</v>
      </c>
      <c r="G178" s="139"/>
      <c r="H178" s="139"/>
      <c r="I178" s="139"/>
      <c r="J178" s="139">
        <f t="shared" ref="J178:J205" si="72">L178+O178</f>
        <v>0</v>
      </c>
      <c r="K178" s="139"/>
      <c r="L178" s="139"/>
      <c r="M178" s="139"/>
      <c r="N178" s="139"/>
      <c r="O178" s="139"/>
      <c r="P178" s="139">
        <f t="shared" si="71"/>
        <v>675400</v>
      </c>
    </row>
    <row r="179" spans="1:525" s="23" customFormat="1" ht="33" customHeight="1" x14ac:dyDescent="0.25">
      <c r="A179" s="56" t="s">
        <v>179</v>
      </c>
      <c r="B179" s="84" t="str">
        <f>'дод 3'!A111</f>
        <v>3032</v>
      </c>
      <c r="C179" s="84" t="str">
        <f>'дод 3'!B111</f>
        <v>1070</v>
      </c>
      <c r="D179" s="57" t="str">
        <f>'дод 3'!C111</f>
        <v>Надання пільг окремим категоріям громадян з оплати послуг зв'язку</v>
      </c>
      <c r="E179" s="139">
        <f t="shared" si="70"/>
        <v>1023300</v>
      </c>
      <c r="F179" s="139">
        <v>1023300</v>
      </c>
      <c r="G179" s="139"/>
      <c r="H179" s="139"/>
      <c r="I179" s="139"/>
      <c r="J179" s="139">
        <f t="shared" si="72"/>
        <v>0</v>
      </c>
      <c r="K179" s="139"/>
      <c r="L179" s="139"/>
      <c r="M179" s="139"/>
      <c r="N179" s="139"/>
      <c r="O179" s="139"/>
      <c r="P179" s="139">
        <f t="shared" si="71"/>
        <v>1023300</v>
      </c>
    </row>
    <row r="180" spans="1:525" s="23" customFormat="1" ht="48.75" customHeight="1" x14ac:dyDescent="0.25">
      <c r="A180" s="56" t="s">
        <v>347</v>
      </c>
      <c r="B180" s="84" t="str">
        <f>'дод 3'!A112</f>
        <v>3033</v>
      </c>
      <c r="C180" s="84" t="str">
        <f>'дод 3'!B112</f>
        <v>1070</v>
      </c>
      <c r="D180" s="57" t="str">
        <f>'дод 3'!C112</f>
        <v>Компенсаційні виплати на пільговий проїзд автомобільним транспортом окремим категоріям громадян</v>
      </c>
      <c r="E180" s="139">
        <f t="shared" si="70"/>
        <v>29771700</v>
      </c>
      <c r="F180" s="139">
        <f>33694000-3922300</f>
        <v>29771700</v>
      </c>
      <c r="G180" s="139"/>
      <c r="H180" s="139"/>
      <c r="I180" s="139"/>
      <c r="J180" s="139">
        <f t="shared" si="72"/>
        <v>0</v>
      </c>
      <c r="K180" s="139"/>
      <c r="L180" s="139"/>
      <c r="M180" s="139"/>
      <c r="N180" s="139"/>
      <c r="O180" s="139"/>
      <c r="P180" s="139">
        <f t="shared" si="71"/>
        <v>29771700</v>
      </c>
    </row>
    <row r="181" spans="1:525" s="30" customFormat="1" ht="20.25" hidden="1" customHeight="1" x14ac:dyDescent="0.25">
      <c r="A181" s="76"/>
      <c r="B181" s="97"/>
      <c r="C181" s="97"/>
      <c r="D181" s="77" t="s">
        <v>388</v>
      </c>
      <c r="E181" s="140">
        <f t="shared" si="70"/>
        <v>0</v>
      </c>
      <c r="F181" s="140"/>
      <c r="G181" s="140"/>
      <c r="H181" s="140"/>
      <c r="I181" s="140"/>
      <c r="J181" s="140">
        <f t="shared" si="72"/>
        <v>0</v>
      </c>
      <c r="K181" s="140"/>
      <c r="L181" s="140"/>
      <c r="M181" s="140"/>
      <c r="N181" s="140"/>
      <c r="O181" s="140"/>
      <c r="P181" s="140">
        <f t="shared" si="71"/>
        <v>0</v>
      </c>
    </row>
    <row r="182" spans="1:525" s="23" customFormat="1" ht="47.25" x14ac:dyDescent="0.25">
      <c r="A182" s="56" t="s">
        <v>319</v>
      </c>
      <c r="B182" s="84" t="str">
        <f>'дод 3'!A114</f>
        <v>3035</v>
      </c>
      <c r="C182" s="84" t="str">
        <f>'дод 3'!B114</f>
        <v>1070</v>
      </c>
      <c r="D182" s="57" t="str">
        <f>'дод 3'!C114</f>
        <v>Компенсаційні виплати за пільговий проїзд окремих категорій громадян на залізничному транспорті</v>
      </c>
      <c r="E182" s="139">
        <f t="shared" si="70"/>
        <v>2000000</v>
      </c>
      <c r="F182" s="139">
        <v>2000000</v>
      </c>
      <c r="G182" s="139"/>
      <c r="H182" s="139"/>
      <c r="I182" s="139"/>
      <c r="J182" s="139">
        <f t="shared" si="72"/>
        <v>0</v>
      </c>
      <c r="K182" s="139"/>
      <c r="L182" s="139"/>
      <c r="M182" s="139"/>
      <c r="N182" s="139"/>
      <c r="O182" s="139"/>
      <c r="P182" s="139">
        <f t="shared" si="71"/>
        <v>2000000</v>
      </c>
    </row>
    <row r="183" spans="1:525" s="23" customFormat="1" ht="36" customHeight="1" x14ac:dyDescent="0.25">
      <c r="A183" s="56" t="s">
        <v>180</v>
      </c>
      <c r="B183" s="84" t="str">
        <f>'дод 3'!A115</f>
        <v>3036</v>
      </c>
      <c r="C183" s="84" t="str">
        <f>'дод 3'!B115</f>
        <v>1070</v>
      </c>
      <c r="D183" s="57" t="str">
        <f>'дод 3'!C115</f>
        <v>Компенсаційні виплати на пільговий проїзд електротранспортом окремим категоріям громадян</v>
      </c>
      <c r="E183" s="139">
        <f t="shared" si="70"/>
        <v>58992100</v>
      </c>
      <c r="F183" s="139">
        <f>55069800+3922300</f>
        <v>58992100</v>
      </c>
      <c r="G183" s="139"/>
      <c r="H183" s="139"/>
      <c r="I183" s="139"/>
      <c r="J183" s="139">
        <f t="shared" si="72"/>
        <v>0</v>
      </c>
      <c r="K183" s="139"/>
      <c r="L183" s="139"/>
      <c r="M183" s="139"/>
      <c r="N183" s="139"/>
      <c r="O183" s="139"/>
      <c r="P183" s="139">
        <f t="shared" si="71"/>
        <v>58992100</v>
      </c>
    </row>
    <row r="184" spans="1:525" s="22" customFormat="1" ht="47.25" x14ac:dyDescent="0.25">
      <c r="A184" s="56" t="s">
        <v>345</v>
      </c>
      <c r="B184" s="84" t="str">
        <f>'дод 3'!A116</f>
        <v>3050</v>
      </c>
      <c r="C184" s="84" t="str">
        <f>'дод 3'!B116</f>
        <v>1070</v>
      </c>
      <c r="D184" s="57" t="str">
        <f>'дод 3'!C116</f>
        <v>Пільгове медичне обслуговування осіб, які постраждали внаслідок Чорнобильської катастрофи, у т.ч. за рахунок:</v>
      </c>
      <c r="E184" s="139">
        <f t="shared" si="70"/>
        <v>713800</v>
      </c>
      <c r="F184" s="139">
        <v>713800</v>
      </c>
      <c r="G184" s="139"/>
      <c r="H184" s="139"/>
      <c r="I184" s="139"/>
      <c r="J184" s="139">
        <f t="shared" si="72"/>
        <v>0</v>
      </c>
      <c r="K184" s="139"/>
      <c r="L184" s="139"/>
      <c r="M184" s="139"/>
      <c r="N184" s="139"/>
      <c r="O184" s="139"/>
      <c r="P184" s="139">
        <f t="shared" si="71"/>
        <v>713800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</row>
    <row r="185" spans="1:525" s="24" customFormat="1" ht="15.75" x14ac:dyDescent="0.25">
      <c r="A185" s="76"/>
      <c r="B185" s="97"/>
      <c r="C185" s="97"/>
      <c r="D185" s="77" t="s">
        <v>388</v>
      </c>
      <c r="E185" s="140">
        <f t="shared" si="70"/>
        <v>713800</v>
      </c>
      <c r="F185" s="140">
        <v>713800</v>
      </c>
      <c r="G185" s="140"/>
      <c r="H185" s="140"/>
      <c r="I185" s="140"/>
      <c r="J185" s="140">
        <f t="shared" si="72"/>
        <v>0</v>
      </c>
      <c r="K185" s="140"/>
      <c r="L185" s="140"/>
      <c r="M185" s="140"/>
      <c r="N185" s="140"/>
      <c r="O185" s="140"/>
      <c r="P185" s="140">
        <f t="shared" si="71"/>
        <v>713800</v>
      </c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  <c r="IX185" s="30"/>
      <c r="IY185" s="30"/>
      <c r="IZ185" s="30"/>
      <c r="JA185" s="30"/>
      <c r="JB185" s="30"/>
      <c r="JC185" s="30"/>
      <c r="JD185" s="30"/>
      <c r="JE185" s="30"/>
      <c r="JF185" s="30"/>
      <c r="JG185" s="30"/>
      <c r="JH185" s="30"/>
      <c r="JI185" s="30"/>
      <c r="JJ185" s="30"/>
      <c r="JK185" s="30"/>
      <c r="JL185" s="30"/>
      <c r="JM185" s="30"/>
      <c r="JN185" s="30"/>
      <c r="JO185" s="30"/>
      <c r="JP185" s="30"/>
      <c r="JQ185" s="30"/>
      <c r="JR185" s="30"/>
      <c r="JS185" s="30"/>
      <c r="JT185" s="30"/>
      <c r="JU185" s="30"/>
      <c r="JV185" s="30"/>
      <c r="JW185" s="30"/>
      <c r="JX185" s="30"/>
      <c r="JY185" s="30"/>
      <c r="JZ185" s="30"/>
      <c r="KA185" s="30"/>
      <c r="KB185" s="30"/>
      <c r="KC185" s="30"/>
      <c r="KD185" s="30"/>
      <c r="KE185" s="30"/>
      <c r="KF185" s="30"/>
      <c r="KG185" s="30"/>
      <c r="KH185" s="30"/>
      <c r="KI185" s="30"/>
      <c r="KJ185" s="30"/>
      <c r="KK185" s="30"/>
      <c r="KL185" s="30"/>
      <c r="KM185" s="30"/>
      <c r="KN185" s="30"/>
      <c r="KO185" s="30"/>
      <c r="KP185" s="30"/>
      <c r="KQ185" s="30"/>
      <c r="KR185" s="30"/>
      <c r="KS185" s="30"/>
      <c r="KT185" s="30"/>
      <c r="KU185" s="30"/>
      <c r="KV185" s="30"/>
      <c r="KW185" s="30"/>
      <c r="KX185" s="30"/>
      <c r="KY185" s="30"/>
      <c r="KZ185" s="30"/>
      <c r="LA185" s="30"/>
      <c r="LB185" s="30"/>
      <c r="LC185" s="30"/>
      <c r="LD185" s="30"/>
      <c r="LE185" s="30"/>
      <c r="LF185" s="30"/>
      <c r="LG185" s="30"/>
      <c r="LH185" s="30"/>
      <c r="LI185" s="30"/>
      <c r="LJ185" s="30"/>
      <c r="LK185" s="30"/>
      <c r="LL185" s="30"/>
      <c r="LM185" s="30"/>
      <c r="LN185" s="30"/>
      <c r="LO185" s="30"/>
      <c r="LP185" s="30"/>
      <c r="LQ185" s="30"/>
      <c r="LR185" s="30"/>
      <c r="LS185" s="30"/>
      <c r="LT185" s="30"/>
      <c r="LU185" s="30"/>
      <c r="LV185" s="30"/>
      <c r="LW185" s="30"/>
      <c r="LX185" s="30"/>
      <c r="LY185" s="30"/>
      <c r="LZ185" s="30"/>
      <c r="MA185" s="30"/>
      <c r="MB185" s="30"/>
      <c r="MC185" s="30"/>
      <c r="MD185" s="30"/>
      <c r="ME185" s="30"/>
      <c r="MF185" s="30"/>
      <c r="MG185" s="30"/>
      <c r="MH185" s="30"/>
      <c r="MI185" s="30"/>
      <c r="MJ185" s="30"/>
      <c r="MK185" s="30"/>
      <c r="ML185" s="30"/>
      <c r="MM185" s="30"/>
      <c r="MN185" s="30"/>
      <c r="MO185" s="30"/>
      <c r="MP185" s="30"/>
      <c r="MQ185" s="30"/>
      <c r="MR185" s="30"/>
      <c r="MS185" s="30"/>
      <c r="MT185" s="30"/>
      <c r="MU185" s="30"/>
      <c r="MV185" s="30"/>
      <c r="MW185" s="30"/>
      <c r="MX185" s="30"/>
      <c r="MY185" s="30"/>
      <c r="MZ185" s="30"/>
      <c r="NA185" s="30"/>
      <c r="NB185" s="30"/>
      <c r="NC185" s="30"/>
      <c r="ND185" s="30"/>
      <c r="NE185" s="30"/>
      <c r="NF185" s="30"/>
      <c r="NG185" s="30"/>
      <c r="NH185" s="30"/>
      <c r="NI185" s="30"/>
      <c r="NJ185" s="30"/>
      <c r="NK185" s="30"/>
      <c r="NL185" s="30"/>
      <c r="NM185" s="30"/>
      <c r="NN185" s="30"/>
      <c r="NO185" s="30"/>
      <c r="NP185" s="30"/>
      <c r="NQ185" s="30"/>
      <c r="NR185" s="30"/>
      <c r="NS185" s="30"/>
      <c r="NT185" s="30"/>
      <c r="NU185" s="30"/>
      <c r="NV185" s="30"/>
      <c r="NW185" s="30"/>
      <c r="NX185" s="30"/>
      <c r="NY185" s="30"/>
      <c r="NZ185" s="30"/>
      <c r="OA185" s="30"/>
      <c r="OB185" s="30"/>
      <c r="OC185" s="30"/>
      <c r="OD185" s="30"/>
      <c r="OE185" s="30"/>
      <c r="OF185" s="30"/>
      <c r="OG185" s="30"/>
      <c r="OH185" s="30"/>
      <c r="OI185" s="30"/>
      <c r="OJ185" s="30"/>
      <c r="OK185" s="30"/>
      <c r="OL185" s="30"/>
      <c r="OM185" s="30"/>
      <c r="ON185" s="30"/>
      <c r="OO185" s="30"/>
      <c r="OP185" s="30"/>
      <c r="OQ185" s="30"/>
      <c r="OR185" s="30"/>
      <c r="OS185" s="30"/>
      <c r="OT185" s="30"/>
      <c r="OU185" s="30"/>
      <c r="OV185" s="30"/>
      <c r="OW185" s="30"/>
      <c r="OX185" s="30"/>
      <c r="OY185" s="30"/>
      <c r="OZ185" s="30"/>
      <c r="PA185" s="30"/>
      <c r="PB185" s="30"/>
      <c r="PC185" s="30"/>
      <c r="PD185" s="30"/>
      <c r="PE185" s="30"/>
      <c r="PF185" s="30"/>
      <c r="PG185" s="30"/>
      <c r="PH185" s="30"/>
      <c r="PI185" s="30"/>
      <c r="PJ185" s="30"/>
      <c r="PK185" s="30"/>
      <c r="PL185" s="30"/>
      <c r="PM185" s="30"/>
      <c r="PN185" s="30"/>
      <c r="PO185" s="30"/>
      <c r="PP185" s="30"/>
      <c r="PQ185" s="30"/>
      <c r="PR185" s="30"/>
      <c r="PS185" s="30"/>
      <c r="PT185" s="30"/>
      <c r="PU185" s="30"/>
      <c r="PV185" s="30"/>
      <c r="PW185" s="30"/>
      <c r="PX185" s="30"/>
      <c r="PY185" s="30"/>
      <c r="PZ185" s="30"/>
      <c r="QA185" s="30"/>
      <c r="QB185" s="30"/>
      <c r="QC185" s="30"/>
      <c r="QD185" s="30"/>
      <c r="QE185" s="30"/>
      <c r="QF185" s="30"/>
      <c r="QG185" s="30"/>
      <c r="QH185" s="30"/>
      <c r="QI185" s="30"/>
      <c r="QJ185" s="30"/>
      <c r="QK185" s="30"/>
      <c r="QL185" s="30"/>
      <c r="QM185" s="30"/>
      <c r="QN185" s="30"/>
      <c r="QO185" s="30"/>
      <c r="QP185" s="30"/>
      <c r="QQ185" s="30"/>
      <c r="QR185" s="30"/>
      <c r="QS185" s="30"/>
      <c r="QT185" s="30"/>
      <c r="QU185" s="30"/>
      <c r="QV185" s="30"/>
      <c r="QW185" s="30"/>
      <c r="QX185" s="30"/>
      <c r="QY185" s="30"/>
      <c r="QZ185" s="30"/>
      <c r="RA185" s="30"/>
      <c r="RB185" s="30"/>
      <c r="RC185" s="30"/>
      <c r="RD185" s="30"/>
      <c r="RE185" s="30"/>
      <c r="RF185" s="30"/>
      <c r="RG185" s="30"/>
      <c r="RH185" s="30"/>
      <c r="RI185" s="30"/>
      <c r="RJ185" s="30"/>
      <c r="RK185" s="30"/>
      <c r="RL185" s="30"/>
      <c r="RM185" s="30"/>
      <c r="RN185" s="30"/>
      <c r="RO185" s="30"/>
      <c r="RP185" s="30"/>
      <c r="RQ185" s="30"/>
      <c r="RR185" s="30"/>
      <c r="RS185" s="30"/>
      <c r="RT185" s="30"/>
      <c r="RU185" s="30"/>
      <c r="RV185" s="30"/>
      <c r="RW185" s="30"/>
      <c r="RX185" s="30"/>
      <c r="RY185" s="30"/>
      <c r="RZ185" s="30"/>
      <c r="SA185" s="30"/>
      <c r="SB185" s="30"/>
      <c r="SC185" s="30"/>
      <c r="SD185" s="30"/>
      <c r="SE185" s="30"/>
      <c r="SF185" s="30"/>
      <c r="SG185" s="30"/>
      <c r="SH185" s="30"/>
      <c r="SI185" s="30"/>
      <c r="SJ185" s="30"/>
      <c r="SK185" s="30"/>
      <c r="SL185" s="30"/>
      <c r="SM185" s="30"/>
      <c r="SN185" s="30"/>
      <c r="SO185" s="30"/>
      <c r="SP185" s="30"/>
      <c r="SQ185" s="30"/>
      <c r="SR185" s="30"/>
      <c r="SS185" s="30"/>
      <c r="ST185" s="30"/>
      <c r="SU185" s="30"/>
      <c r="SV185" s="30"/>
      <c r="SW185" s="30"/>
      <c r="SX185" s="30"/>
      <c r="SY185" s="30"/>
      <c r="SZ185" s="30"/>
      <c r="TA185" s="30"/>
      <c r="TB185" s="30"/>
      <c r="TC185" s="30"/>
      <c r="TD185" s="30"/>
      <c r="TE185" s="30"/>
    </row>
    <row r="186" spans="1:525" s="22" customFormat="1" ht="47.25" x14ac:dyDescent="0.25">
      <c r="A186" s="56" t="s">
        <v>346</v>
      </c>
      <c r="B186" s="84" t="str">
        <f>'дод 3'!A118</f>
        <v>3090</v>
      </c>
      <c r="C186" s="84" t="str">
        <f>'дод 3'!B118</f>
        <v>1030</v>
      </c>
      <c r="D186" s="57" t="str">
        <f>'дод 3'!C118</f>
        <v>Видатки на поховання учасників бойових дій та осіб з інвалідністю внаслідок війни, у т.ч. за рахунок:</v>
      </c>
      <c r="E186" s="139">
        <f t="shared" si="70"/>
        <v>260200</v>
      </c>
      <c r="F186" s="139">
        <v>260200</v>
      </c>
      <c r="G186" s="139"/>
      <c r="H186" s="139"/>
      <c r="I186" s="139"/>
      <c r="J186" s="139">
        <f t="shared" si="72"/>
        <v>0</v>
      </c>
      <c r="K186" s="139"/>
      <c r="L186" s="139"/>
      <c r="M186" s="139"/>
      <c r="N186" s="139"/>
      <c r="O186" s="139"/>
      <c r="P186" s="139">
        <f t="shared" si="71"/>
        <v>260200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  <c r="SQ186" s="23"/>
      <c r="SR186" s="23"/>
      <c r="SS186" s="23"/>
      <c r="ST186" s="23"/>
      <c r="SU186" s="23"/>
      <c r="SV186" s="23"/>
      <c r="SW186" s="23"/>
      <c r="SX186" s="23"/>
      <c r="SY186" s="23"/>
      <c r="SZ186" s="23"/>
      <c r="TA186" s="23"/>
      <c r="TB186" s="23"/>
      <c r="TC186" s="23"/>
      <c r="TD186" s="23"/>
      <c r="TE186" s="23"/>
    </row>
    <row r="187" spans="1:525" s="24" customFormat="1" ht="15.75" x14ac:dyDescent="0.25">
      <c r="A187" s="76"/>
      <c r="B187" s="97"/>
      <c r="C187" s="97"/>
      <c r="D187" s="77" t="s">
        <v>388</v>
      </c>
      <c r="E187" s="140">
        <f t="shared" si="70"/>
        <v>260200</v>
      </c>
      <c r="F187" s="140">
        <v>260200</v>
      </c>
      <c r="G187" s="140"/>
      <c r="H187" s="140"/>
      <c r="I187" s="140"/>
      <c r="J187" s="140">
        <f t="shared" si="72"/>
        <v>0</v>
      </c>
      <c r="K187" s="140"/>
      <c r="L187" s="140"/>
      <c r="M187" s="140"/>
      <c r="N187" s="140"/>
      <c r="O187" s="140"/>
      <c r="P187" s="140">
        <f t="shared" si="71"/>
        <v>260200</v>
      </c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30"/>
      <c r="JA187" s="30"/>
      <c r="JB187" s="30"/>
      <c r="JC187" s="30"/>
      <c r="JD187" s="30"/>
      <c r="JE187" s="30"/>
      <c r="JF187" s="30"/>
      <c r="JG187" s="30"/>
      <c r="JH187" s="30"/>
      <c r="JI187" s="30"/>
      <c r="JJ187" s="30"/>
      <c r="JK187" s="30"/>
      <c r="JL187" s="30"/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30"/>
      <c r="KG187" s="30"/>
      <c r="KH187" s="30"/>
      <c r="KI187" s="30"/>
      <c r="KJ187" s="30"/>
      <c r="KK187" s="30"/>
      <c r="KL187" s="30"/>
      <c r="KM187" s="30"/>
      <c r="KN187" s="30"/>
      <c r="KO187" s="30"/>
      <c r="KP187" s="30"/>
      <c r="KQ187" s="30"/>
      <c r="KR187" s="30"/>
      <c r="KS187" s="30"/>
      <c r="KT187" s="30"/>
      <c r="KU187" s="30"/>
      <c r="KV187" s="30"/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  <c r="LU187" s="30"/>
      <c r="LV187" s="30"/>
      <c r="LW187" s="30"/>
      <c r="LX187" s="30"/>
      <c r="LY187" s="30"/>
      <c r="LZ187" s="30"/>
      <c r="MA187" s="30"/>
      <c r="MB187" s="30"/>
      <c r="MC187" s="30"/>
      <c r="MD187" s="30"/>
      <c r="ME187" s="30"/>
      <c r="MF187" s="30"/>
      <c r="MG187" s="30"/>
      <c r="MH187" s="30"/>
      <c r="MI187" s="30"/>
      <c r="MJ187" s="30"/>
      <c r="MK187" s="30"/>
      <c r="ML187" s="30"/>
      <c r="MM187" s="30"/>
      <c r="MN187" s="30"/>
      <c r="MO187" s="30"/>
      <c r="MP187" s="30"/>
      <c r="MQ187" s="30"/>
      <c r="MR187" s="30"/>
      <c r="MS187" s="30"/>
      <c r="MT187" s="30"/>
      <c r="MU187" s="30"/>
      <c r="MV187" s="30"/>
      <c r="MW187" s="30"/>
      <c r="MX187" s="30"/>
      <c r="MY187" s="30"/>
      <c r="MZ187" s="30"/>
      <c r="NA187" s="30"/>
      <c r="NB187" s="30"/>
      <c r="NC187" s="30"/>
      <c r="ND187" s="30"/>
      <c r="NE187" s="30"/>
      <c r="NF187" s="30"/>
      <c r="NG187" s="30"/>
      <c r="NH187" s="30"/>
      <c r="NI187" s="30"/>
      <c r="NJ187" s="30"/>
      <c r="NK187" s="30"/>
      <c r="NL187" s="30"/>
      <c r="NM187" s="30"/>
      <c r="NN187" s="30"/>
      <c r="NO187" s="30"/>
      <c r="NP187" s="30"/>
      <c r="NQ187" s="30"/>
      <c r="NR187" s="30"/>
      <c r="NS187" s="30"/>
      <c r="NT187" s="30"/>
      <c r="NU187" s="30"/>
      <c r="NV187" s="30"/>
      <c r="NW187" s="30"/>
      <c r="NX187" s="30"/>
      <c r="NY187" s="30"/>
      <c r="NZ187" s="30"/>
      <c r="OA187" s="30"/>
      <c r="OB187" s="30"/>
      <c r="OC187" s="30"/>
      <c r="OD187" s="30"/>
      <c r="OE187" s="30"/>
      <c r="OF187" s="30"/>
      <c r="OG187" s="30"/>
      <c r="OH187" s="30"/>
      <c r="OI187" s="30"/>
      <c r="OJ187" s="30"/>
      <c r="OK187" s="30"/>
      <c r="OL187" s="30"/>
      <c r="OM187" s="30"/>
      <c r="ON187" s="30"/>
      <c r="OO187" s="30"/>
      <c r="OP187" s="30"/>
      <c r="OQ187" s="30"/>
      <c r="OR187" s="30"/>
      <c r="OS187" s="30"/>
      <c r="OT187" s="30"/>
      <c r="OU187" s="30"/>
      <c r="OV187" s="30"/>
      <c r="OW187" s="30"/>
      <c r="OX187" s="30"/>
      <c r="OY187" s="30"/>
      <c r="OZ187" s="30"/>
      <c r="PA187" s="30"/>
      <c r="PB187" s="30"/>
      <c r="PC187" s="30"/>
      <c r="PD187" s="30"/>
      <c r="PE187" s="30"/>
      <c r="PF187" s="30"/>
      <c r="PG187" s="30"/>
      <c r="PH187" s="30"/>
      <c r="PI187" s="30"/>
      <c r="PJ187" s="30"/>
      <c r="PK187" s="30"/>
      <c r="PL187" s="30"/>
      <c r="PM187" s="30"/>
      <c r="PN187" s="30"/>
      <c r="PO187" s="30"/>
      <c r="PP187" s="30"/>
      <c r="PQ187" s="30"/>
      <c r="PR187" s="30"/>
      <c r="PS187" s="30"/>
      <c r="PT187" s="30"/>
      <c r="PU187" s="30"/>
      <c r="PV187" s="30"/>
      <c r="PW187" s="30"/>
      <c r="PX187" s="30"/>
      <c r="PY187" s="30"/>
      <c r="PZ187" s="30"/>
      <c r="QA187" s="30"/>
      <c r="QB187" s="30"/>
      <c r="QC187" s="30"/>
      <c r="QD187" s="30"/>
      <c r="QE187" s="30"/>
      <c r="QF187" s="30"/>
      <c r="QG187" s="30"/>
      <c r="QH187" s="30"/>
      <c r="QI187" s="30"/>
      <c r="QJ187" s="30"/>
      <c r="QK187" s="30"/>
      <c r="QL187" s="30"/>
      <c r="QM187" s="30"/>
      <c r="QN187" s="30"/>
      <c r="QO187" s="30"/>
      <c r="QP187" s="30"/>
      <c r="QQ187" s="30"/>
      <c r="QR187" s="30"/>
      <c r="QS187" s="30"/>
      <c r="QT187" s="30"/>
      <c r="QU187" s="30"/>
      <c r="QV187" s="30"/>
      <c r="QW187" s="30"/>
      <c r="QX187" s="30"/>
      <c r="QY187" s="30"/>
      <c r="QZ187" s="30"/>
      <c r="RA187" s="30"/>
      <c r="RB187" s="30"/>
      <c r="RC187" s="30"/>
      <c r="RD187" s="30"/>
      <c r="RE187" s="30"/>
      <c r="RF187" s="30"/>
      <c r="RG187" s="30"/>
      <c r="RH187" s="30"/>
      <c r="RI187" s="30"/>
      <c r="RJ187" s="30"/>
      <c r="RK187" s="30"/>
      <c r="RL187" s="30"/>
      <c r="RM187" s="30"/>
      <c r="RN187" s="30"/>
      <c r="RO187" s="30"/>
      <c r="RP187" s="30"/>
      <c r="RQ187" s="30"/>
      <c r="RR187" s="30"/>
      <c r="RS187" s="30"/>
      <c r="RT187" s="30"/>
      <c r="RU187" s="30"/>
      <c r="RV187" s="30"/>
      <c r="RW187" s="30"/>
      <c r="RX187" s="30"/>
      <c r="RY187" s="30"/>
      <c r="RZ187" s="30"/>
      <c r="SA187" s="30"/>
      <c r="SB187" s="30"/>
      <c r="SC187" s="30"/>
      <c r="SD187" s="30"/>
      <c r="SE187" s="30"/>
      <c r="SF187" s="30"/>
      <c r="SG187" s="30"/>
      <c r="SH187" s="30"/>
      <c r="SI187" s="30"/>
      <c r="SJ187" s="30"/>
      <c r="SK187" s="30"/>
      <c r="SL187" s="30"/>
      <c r="SM187" s="30"/>
      <c r="SN187" s="30"/>
      <c r="SO187" s="30"/>
      <c r="SP187" s="30"/>
      <c r="SQ187" s="30"/>
      <c r="SR187" s="30"/>
      <c r="SS187" s="30"/>
      <c r="ST187" s="30"/>
      <c r="SU187" s="30"/>
      <c r="SV187" s="30"/>
      <c r="SW187" s="30"/>
      <c r="SX187" s="30"/>
      <c r="SY187" s="30"/>
      <c r="SZ187" s="30"/>
      <c r="TA187" s="30"/>
      <c r="TB187" s="30"/>
      <c r="TC187" s="30"/>
      <c r="TD187" s="30"/>
      <c r="TE187" s="30"/>
    </row>
    <row r="188" spans="1:525" s="22" customFormat="1" ht="64.5" customHeight="1" x14ac:dyDescent="0.25">
      <c r="A188" s="56" t="s">
        <v>181</v>
      </c>
      <c r="B188" s="84" t="str">
        <f>'дод 3'!A120</f>
        <v>3104</v>
      </c>
      <c r="C188" s="84" t="str">
        <f>'дод 3'!B120</f>
        <v>1020</v>
      </c>
      <c r="D188" s="57" t="str">
        <f>'дод 3'!C120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8" s="139">
        <f t="shared" si="70"/>
        <v>20984700</v>
      </c>
      <c r="F188" s="139">
        <f>21044700-60000</f>
        <v>20984700</v>
      </c>
      <c r="G188" s="139">
        <v>15797400</v>
      </c>
      <c r="H188" s="139">
        <v>658300</v>
      </c>
      <c r="I188" s="139"/>
      <c r="J188" s="139">
        <f t="shared" si="72"/>
        <v>596200</v>
      </c>
      <c r="K188" s="139">
        <f>240000+500000-240000</f>
        <v>500000</v>
      </c>
      <c r="L188" s="139">
        <v>96200</v>
      </c>
      <c r="M188" s="139">
        <v>78600</v>
      </c>
      <c r="N188" s="139"/>
      <c r="O188" s="139">
        <f>240000+500000-240000</f>
        <v>500000</v>
      </c>
      <c r="P188" s="139">
        <f t="shared" si="71"/>
        <v>21580900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  <c r="SQ188" s="23"/>
      <c r="SR188" s="23"/>
      <c r="SS188" s="23"/>
      <c r="ST188" s="23"/>
      <c r="SU188" s="23"/>
      <c r="SV188" s="23"/>
      <c r="SW188" s="23"/>
      <c r="SX188" s="23"/>
      <c r="SY188" s="23"/>
      <c r="SZ188" s="23"/>
      <c r="TA188" s="23"/>
      <c r="TB188" s="23"/>
      <c r="TC188" s="23"/>
      <c r="TD188" s="23"/>
      <c r="TE188" s="23"/>
    </row>
    <row r="189" spans="1:525" s="22" customFormat="1" ht="64.5" customHeight="1" x14ac:dyDescent="0.25">
      <c r="A189" s="56" t="s">
        <v>581</v>
      </c>
      <c r="B189" s="84">
        <v>3140</v>
      </c>
      <c r="C189" s="37" t="s">
        <v>99</v>
      </c>
      <c r="D189" s="6" t="str">
        <f>'дод 3'!C126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89" s="139">
        <f t="shared" si="70"/>
        <v>6667500</v>
      </c>
      <c r="F189" s="139">
        <v>6667500</v>
      </c>
      <c r="G189" s="139"/>
      <c r="H189" s="139"/>
      <c r="I189" s="139"/>
      <c r="J189" s="139">
        <f t="shared" si="72"/>
        <v>0</v>
      </c>
      <c r="K189" s="139"/>
      <c r="L189" s="139"/>
      <c r="M189" s="139"/>
      <c r="N189" s="139"/>
      <c r="O189" s="139"/>
      <c r="P189" s="139">
        <f t="shared" si="71"/>
        <v>6667500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</row>
    <row r="190" spans="1:525" s="22" customFormat="1" ht="81.75" customHeight="1" x14ac:dyDescent="0.25">
      <c r="A190" s="56" t="s">
        <v>182</v>
      </c>
      <c r="B190" s="84" t="str">
        <f>'дод 3'!A127</f>
        <v>3160</v>
      </c>
      <c r="C190" s="84">
        <f>'дод 3'!B127</f>
        <v>1010</v>
      </c>
      <c r="D190" s="57" t="str">
        <f>'дод 3'!C127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90" s="139">
        <f t="shared" si="70"/>
        <v>5461975</v>
      </c>
      <c r="F190" s="139">
        <v>5461975</v>
      </c>
      <c r="G190" s="139"/>
      <c r="H190" s="139"/>
      <c r="I190" s="139"/>
      <c r="J190" s="139">
        <f t="shared" si="72"/>
        <v>0</v>
      </c>
      <c r="K190" s="139"/>
      <c r="L190" s="139"/>
      <c r="M190" s="139"/>
      <c r="N190" s="139"/>
      <c r="O190" s="139"/>
      <c r="P190" s="139">
        <f t="shared" si="71"/>
        <v>5461975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</row>
    <row r="191" spans="1:525" s="22" customFormat="1" ht="63" hidden="1" customHeight="1" x14ac:dyDescent="0.25">
      <c r="A191" s="56" t="s">
        <v>348</v>
      </c>
      <c r="B191" s="84" t="str">
        <f>'дод 3'!A128</f>
        <v>3171</v>
      </c>
      <c r="C191" s="84">
        <f>'дод 3'!B128</f>
        <v>1010</v>
      </c>
      <c r="D191" s="57" t="str">
        <f>'дод 3'!C128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91" s="139">
        <f t="shared" si="70"/>
        <v>0</v>
      </c>
      <c r="F191" s="139"/>
      <c r="G191" s="139"/>
      <c r="H191" s="139"/>
      <c r="I191" s="139"/>
      <c r="J191" s="139">
        <f t="shared" si="72"/>
        <v>0</v>
      </c>
      <c r="K191" s="139"/>
      <c r="L191" s="139"/>
      <c r="M191" s="139"/>
      <c r="N191" s="139"/>
      <c r="O191" s="139"/>
      <c r="P191" s="139">
        <f t="shared" si="71"/>
        <v>0</v>
      </c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</row>
    <row r="192" spans="1:525" s="24" customFormat="1" ht="18" hidden="1" customHeight="1" x14ac:dyDescent="0.25">
      <c r="A192" s="76"/>
      <c r="B192" s="97"/>
      <c r="C192" s="97"/>
      <c r="D192" s="77" t="s">
        <v>388</v>
      </c>
      <c r="E192" s="140">
        <f t="shared" si="70"/>
        <v>0</v>
      </c>
      <c r="F192" s="140"/>
      <c r="G192" s="140"/>
      <c r="H192" s="140"/>
      <c r="I192" s="140"/>
      <c r="J192" s="140">
        <f t="shared" si="72"/>
        <v>0</v>
      </c>
      <c r="K192" s="140"/>
      <c r="L192" s="140"/>
      <c r="M192" s="140"/>
      <c r="N192" s="140"/>
      <c r="O192" s="140"/>
      <c r="P192" s="140">
        <f t="shared" si="71"/>
        <v>0</v>
      </c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  <c r="IW192" s="30"/>
      <c r="IX192" s="30"/>
      <c r="IY192" s="30"/>
      <c r="IZ192" s="30"/>
      <c r="JA192" s="30"/>
      <c r="JB192" s="30"/>
      <c r="JC192" s="30"/>
      <c r="JD192" s="30"/>
      <c r="JE192" s="30"/>
      <c r="JF192" s="30"/>
      <c r="JG192" s="30"/>
      <c r="JH192" s="30"/>
      <c r="JI192" s="30"/>
      <c r="JJ192" s="30"/>
      <c r="JK192" s="30"/>
      <c r="JL192" s="30"/>
      <c r="JM192" s="30"/>
      <c r="JN192" s="30"/>
      <c r="JO192" s="30"/>
      <c r="JP192" s="30"/>
      <c r="JQ192" s="30"/>
      <c r="JR192" s="30"/>
      <c r="JS192" s="30"/>
      <c r="JT192" s="30"/>
      <c r="JU192" s="30"/>
      <c r="JV192" s="30"/>
      <c r="JW192" s="30"/>
      <c r="JX192" s="30"/>
      <c r="JY192" s="30"/>
      <c r="JZ192" s="30"/>
      <c r="KA192" s="30"/>
      <c r="KB192" s="30"/>
      <c r="KC192" s="30"/>
      <c r="KD192" s="30"/>
      <c r="KE192" s="30"/>
      <c r="KF192" s="30"/>
      <c r="KG192" s="30"/>
      <c r="KH192" s="30"/>
      <c r="KI192" s="30"/>
      <c r="KJ192" s="30"/>
      <c r="KK192" s="30"/>
      <c r="KL192" s="30"/>
      <c r="KM192" s="30"/>
      <c r="KN192" s="30"/>
      <c r="KO192" s="30"/>
      <c r="KP192" s="30"/>
      <c r="KQ192" s="30"/>
      <c r="KR192" s="30"/>
      <c r="KS192" s="30"/>
      <c r="KT192" s="30"/>
      <c r="KU192" s="30"/>
      <c r="KV192" s="30"/>
      <c r="KW192" s="30"/>
      <c r="KX192" s="30"/>
      <c r="KY192" s="30"/>
      <c r="KZ192" s="30"/>
      <c r="LA192" s="30"/>
      <c r="LB192" s="30"/>
      <c r="LC192" s="30"/>
      <c r="LD192" s="30"/>
      <c r="LE192" s="30"/>
      <c r="LF192" s="30"/>
      <c r="LG192" s="30"/>
      <c r="LH192" s="30"/>
      <c r="LI192" s="30"/>
      <c r="LJ192" s="30"/>
      <c r="LK192" s="30"/>
      <c r="LL192" s="30"/>
      <c r="LM192" s="30"/>
      <c r="LN192" s="30"/>
      <c r="LO192" s="30"/>
      <c r="LP192" s="30"/>
      <c r="LQ192" s="30"/>
      <c r="LR192" s="30"/>
      <c r="LS192" s="30"/>
      <c r="LT192" s="30"/>
      <c r="LU192" s="30"/>
      <c r="LV192" s="30"/>
      <c r="LW192" s="30"/>
      <c r="LX192" s="30"/>
      <c r="LY192" s="30"/>
      <c r="LZ192" s="30"/>
      <c r="MA192" s="30"/>
      <c r="MB192" s="30"/>
      <c r="MC192" s="30"/>
      <c r="MD192" s="30"/>
      <c r="ME192" s="30"/>
      <c r="MF192" s="30"/>
      <c r="MG192" s="30"/>
      <c r="MH192" s="30"/>
      <c r="MI192" s="30"/>
      <c r="MJ192" s="30"/>
      <c r="MK192" s="30"/>
      <c r="ML192" s="30"/>
      <c r="MM192" s="30"/>
      <c r="MN192" s="30"/>
      <c r="MO192" s="30"/>
      <c r="MP192" s="30"/>
      <c r="MQ192" s="30"/>
      <c r="MR192" s="30"/>
      <c r="MS192" s="30"/>
      <c r="MT192" s="30"/>
      <c r="MU192" s="30"/>
      <c r="MV192" s="30"/>
      <c r="MW192" s="30"/>
      <c r="MX192" s="30"/>
      <c r="MY192" s="30"/>
      <c r="MZ192" s="30"/>
      <c r="NA192" s="30"/>
      <c r="NB192" s="30"/>
      <c r="NC192" s="30"/>
      <c r="ND192" s="30"/>
      <c r="NE192" s="30"/>
      <c r="NF192" s="30"/>
      <c r="NG192" s="30"/>
      <c r="NH192" s="30"/>
      <c r="NI192" s="30"/>
      <c r="NJ192" s="30"/>
      <c r="NK192" s="30"/>
      <c r="NL192" s="30"/>
      <c r="NM192" s="30"/>
      <c r="NN192" s="30"/>
      <c r="NO192" s="30"/>
      <c r="NP192" s="30"/>
      <c r="NQ192" s="30"/>
      <c r="NR192" s="30"/>
      <c r="NS192" s="30"/>
      <c r="NT192" s="30"/>
      <c r="NU192" s="30"/>
      <c r="NV192" s="30"/>
      <c r="NW192" s="30"/>
      <c r="NX192" s="30"/>
      <c r="NY192" s="30"/>
      <c r="NZ192" s="30"/>
      <c r="OA192" s="30"/>
      <c r="OB192" s="30"/>
      <c r="OC192" s="30"/>
      <c r="OD192" s="30"/>
      <c r="OE192" s="30"/>
      <c r="OF192" s="30"/>
      <c r="OG192" s="30"/>
      <c r="OH192" s="30"/>
      <c r="OI192" s="30"/>
      <c r="OJ192" s="30"/>
      <c r="OK192" s="30"/>
      <c r="OL192" s="30"/>
      <c r="OM192" s="30"/>
      <c r="ON192" s="30"/>
      <c r="OO192" s="30"/>
      <c r="OP192" s="30"/>
      <c r="OQ192" s="30"/>
      <c r="OR192" s="30"/>
      <c r="OS192" s="30"/>
      <c r="OT192" s="30"/>
      <c r="OU192" s="30"/>
      <c r="OV192" s="30"/>
      <c r="OW192" s="30"/>
      <c r="OX192" s="30"/>
      <c r="OY192" s="30"/>
      <c r="OZ192" s="30"/>
      <c r="PA192" s="30"/>
      <c r="PB192" s="30"/>
      <c r="PC192" s="30"/>
      <c r="PD192" s="30"/>
      <c r="PE192" s="30"/>
      <c r="PF192" s="30"/>
      <c r="PG192" s="30"/>
      <c r="PH192" s="30"/>
      <c r="PI192" s="30"/>
      <c r="PJ192" s="30"/>
      <c r="PK192" s="30"/>
      <c r="PL192" s="30"/>
      <c r="PM192" s="30"/>
      <c r="PN192" s="30"/>
      <c r="PO192" s="30"/>
      <c r="PP192" s="30"/>
      <c r="PQ192" s="30"/>
      <c r="PR192" s="30"/>
      <c r="PS192" s="30"/>
      <c r="PT192" s="30"/>
      <c r="PU192" s="30"/>
      <c r="PV192" s="30"/>
      <c r="PW192" s="30"/>
      <c r="PX192" s="30"/>
      <c r="PY192" s="30"/>
      <c r="PZ192" s="30"/>
      <c r="QA192" s="30"/>
      <c r="QB192" s="30"/>
      <c r="QC192" s="30"/>
      <c r="QD192" s="30"/>
      <c r="QE192" s="30"/>
      <c r="QF192" s="30"/>
      <c r="QG192" s="30"/>
      <c r="QH192" s="30"/>
      <c r="QI192" s="30"/>
      <c r="QJ192" s="30"/>
      <c r="QK192" s="30"/>
      <c r="QL192" s="30"/>
      <c r="QM192" s="30"/>
      <c r="QN192" s="30"/>
      <c r="QO192" s="30"/>
      <c r="QP192" s="30"/>
      <c r="QQ192" s="30"/>
      <c r="QR192" s="30"/>
      <c r="QS192" s="30"/>
      <c r="QT192" s="30"/>
      <c r="QU192" s="30"/>
      <c r="QV192" s="30"/>
      <c r="QW192" s="30"/>
      <c r="QX192" s="30"/>
      <c r="QY192" s="30"/>
      <c r="QZ192" s="30"/>
      <c r="RA192" s="30"/>
      <c r="RB192" s="30"/>
      <c r="RC192" s="30"/>
      <c r="RD192" s="30"/>
      <c r="RE192" s="30"/>
      <c r="RF192" s="30"/>
      <c r="RG192" s="30"/>
      <c r="RH192" s="30"/>
      <c r="RI192" s="30"/>
      <c r="RJ192" s="30"/>
      <c r="RK192" s="30"/>
      <c r="RL192" s="30"/>
      <c r="RM192" s="30"/>
      <c r="RN192" s="30"/>
      <c r="RO192" s="30"/>
      <c r="RP192" s="30"/>
      <c r="RQ192" s="30"/>
      <c r="RR192" s="30"/>
      <c r="RS192" s="30"/>
      <c r="RT192" s="30"/>
      <c r="RU192" s="30"/>
      <c r="RV192" s="30"/>
      <c r="RW192" s="30"/>
      <c r="RX192" s="30"/>
      <c r="RY192" s="30"/>
      <c r="RZ192" s="30"/>
      <c r="SA192" s="30"/>
      <c r="SB192" s="30"/>
      <c r="SC192" s="30"/>
      <c r="SD192" s="30"/>
      <c r="SE192" s="30"/>
      <c r="SF192" s="30"/>
      <c r="SG192" s="30"/>
      <c r="SH192" s="30"/>
      <c r="SI192" s="30"/>
      <c r="SJ192" s="30"/>
      <c r="SK192" s="30"/>
      <c r="SL192" s="30"/>
      <c r="SM192" s="30"/>
      <c r="SN192" s="30"/>
      <c r="SO192" s="30"/>
      <c r="SP192" s="30"/>
      <c r="SQ192" s="30"/>
      <c r="SR192" s="30"/>
      <c r="SS192" s="30"/>
      <c r="ST192" s="30"/>
      <c r="SU192" s="30"/>
      <c r="SV192" s="30"/>
      <c r="SW192" s="30"/>
      <c r="SX192" s="30"/>
      <c r="SY192" s="30"/>
      <c r="SZ192" s="30"/>
      <c r="TA192" s="30"/>
      <c r="TB192" s="30"/>
      <c r="TC192" s="30"/>
      <c r="TD192" s="30"/>
      <c r="TE192" s="30"/>
    </row>
    <row r="193" spans="1:525" s="22" customFormat="1" ht="31.5" hidden="1" customHeight="1" x14ac:dyDescent="0.25">
      <c r="A193" s="56" t="s">
        <v>349</v>
      </c>
      <c r="B193" s="84" t="str">
        <f>'дод 3'!A130</f>
        <v>3172</v>
      </c>
      <c r="C193" s="84">
        <f>'дод 3'!B130</f>
        <v>1010</v>
      </c>
      <c r="D193" s="57" t="str">
        <f>'дод 3'!C130</f>
        <v>Встановлення телефонів особам з інвалідністю I і II груп, у т.ч. за рахунок:</v>
      </c>
      <c r="E193" s="139">
        <f t="shared" si="70"/>
        <v>0</v>
      </c>
      <c r="F193" s="139"/>
      <c r="G193" s="139"/>
      <c r="H193" s="139"/>
      <c r="I193" s="139"/>
      <c r="J193" s="139">
        <f t="shared" si="72"/>
        <v>0</v>
      </c>
      <c r="K193" s="139"/>
      <c r="L193" s="139"/>
      <c r="M193" s="139"/>
      <c r="N193" s="139"/>
      <c r="O193" s="139"/>
      <c r="P193" s="139">
        <f t="shared" si="71"/>
        <v>0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</row>
    <row r="194" spans="1:525" s="24" customFormat="1" ht="15.75" hidden="1" customHeight="1" x14ac:dyDescent="0.25">
      <c r="A194" s="76"/>
      <c r="B194" s="97"/>
      <c r="C194" s="97"/>
      <c r="D194" s="77" t="s">
        <v>388</v>
      </c>
      <c r="E194" s="140">
        <f t="shared" si="70"/>
        <v>0</v>
      </c>
      <c r="F194" s="140"/>
      <c r="G194" s="140"/>
      <c r="H194" s="140"/>
      <c r="I194" s="140"/>
      <c r="J194" s="140">
        <f t="shared" si="72"/>
        <v>0</v>
      </c>
      <c r="K194" s="140"/>
      <c r="L194" s="140"/>
      <c r="M194" s="140"/>
      <c r="N194" s="140"/>
      <c r="O194" s="140"/>
      <c r="P194" s="140">
        <f t="shared" si="71"/>
        <v>0</v>
      </c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  <c r="IW194" s="30"/>
      <c r="IX194" s="30"/>
      <c r="IY194" s="30"/>
      <c r="IZ194" s="30"/>
      <c r="JA194" s="30"/>
      <c r="JB194" s="30"/>
      <c r="JC194" s="30"/>
      <c r="JD194" s="30"/>
      <c r="JE194" s="30"/>
      <c r="JF194" s="30"/>
      <c r="JG194" s="30"/>
      <c r="JH194" s="30"/>
      <c r="JI194" s="30"/>
      <c r="JJ194" s="30"/>
      <c r="JK194" s="30"/>
      <c r="JL194" s="30"/>
      <c r="JM194" s="30"/>
      <c r="JN194" s="30"/>
      <c r="JO194" s="30"/>
      <c r="JP194" s="30"/>
      <c r="JQ194" s="30"/>
      <c r="JR194" s="30"/>
      <c r="JS194" s="30"/>
      <c r="JT194" s="30"/>
      <c r="JU194" s="30"/>
      <c r="JV194" s="30"/>
      <c r="JW194" s="30"/>
      <c r="JX194" s="30"/>
      <c r="JY194" s="30"/>
      <c r="JZ194" s="30"/>
      <c r="KA194" s="30"/>
      <c r="KB194" s="30"/>
      <c r="KC194" s="30"/>
      <c r="KD194" s="30"/>
      <c r="KE194" s="30"/>
      <c r="KF194" s="30"/>
      <c r="KG194" s="30"/>
      <c r="KH194" s="30"/>
      <c r="KI194" s="30"/>
      <c r="KJ194" s="30"/>
      <c r="KK194" s="30"/>
      <c r="KL194" s="30"/>
      <c r="KM194" s="30"/>
      <c r="KN194" s="30"/>
      <c r="KO194" s="30"/>
      <c r="KP194" s="30"/>
      <c r="KQ194" s="30"/>
      <c r="KR194" s="30"/>
      <c r="KS194" s="30"/>
      <c r="KT194" s="30"/>
      <c r="KU194" s="30"/>
      <c r="KV194" s="30"/>
      <c r="KW194" s="30"/>
      <c r="KX194" s="30"/>
      <c r="KY194" s="30"/>
      <c r="KZ194" s="30"/>
      <c r="LA194" s="30"/>
      <c r="LB194" s="30"/>
      <c r="LC194" s="30"/>
      <c r="LD194" s="30"/>
      <c r="LE194" s="30"/>
      <c r="LF194" s="30"/>
      <c r="LG194" s="30"/>
      <c r="LH194" s="30"/>
      <c r="LI194" s="30"/>
      <c r="LJ194" s="30"/>
      <c r="LK194" s="30"/>
      <c r="LL194" s="30"/>
      <c r="LM194" s="30"/>
      <c r="LN194" s="30"/>
      <c r="LO194" s="30"/>
      <c r="LP194" s="30"/>
      <c r="LQ194" s="30"/>
      <c r="LR194" s="30"/>
      <c r="LS194" s="30"/>
      <c r="LT194" s="30"/>
      <c r="LU194" s="30"/>
      <c r="LV194" s="30"/>
      <c r="LW194" s="30"/>
      <c r="LX194" s="30"/>
      <c r="LY194" s="30"/>
      <c r="LZ194" s="30"/>
      <c r="MA194" s="30"/>
      <c r="MB194" s="30"/>
      <c r="MC194" s="30"/>
      <c r="MD194" s="30"/>
      <c r="ME194" s="30"/>
      <c r="MF194" s="30"/>
      <c r="MG194" s="30"/>
      <c r="MH194" s="30"/>
      <c r="MI194" s="30"/>
      <c r="MJ194" s="30"/>
      <c r="MK194" s="30"/>
      <c r="ML194" s="30"/>
      <c r="MM194" s="30"/>
      <c r="MN194" s="30"/>
      <c r="MO194" s="30"/>
      <c r="MP194" s="30"/>
      <c r="MQ194" s="30"/>
      <c r="MR194" s="30"/>
      <c r="MS194" s="30"/>
      <c r="MT194" s="30"/>
      <c r="MU194" s="30"/>
      <c r="MV194" s="30"/>
      <c r="MW194" s="30"/>
      <c r="MX194" s="30"/>
      <c r="MY194" s="30"/>
      <c r="MZ194" s="30"/>
      <c r="NA194" s="30"/>
      <c r="NB194" s="30"/>
      <c r="NC194" s="30"/>
      <c r="ND194" s="30"/>
      <c r="NE194" s="30"/>
      <c r="NF194" s="30"/>
      <c r="NG194" s="30"/>
      <c r="NH194" s="30"/>
      <c r="NI194" s="30"/>
      <c r="NJ194" s="30"/>
      <c r="NK194" s="30"/>
      <c r="NL194" s="30"/>
      <c r="NM194" s="30"/>
      <c r="NN194" s="30"/>
      <c r="NO194" s="30"/>
      <c r="NP194" s="30"/>
      <c r="NQ194" s="30"/>
      <c r="NR194" s="30"/>
      <c r="NS194" s="30"/>
      <c r="NT194" s="30"/>
      <c r="NU194" s="30"/>
      <c r="NV194" s="30"/>
      <c r="NW194" s="30"/>
      <c r="NX194" s="30"/>
      <c r="NY194" s="30"/>
      <c r="NZ194" s="30"/>
      <c r="OA194" s="30"/>
      <c r="OB194" s="30"/>
      <c r="OC194" s="30"/>
      <c r="OD194" s="30"/>
      <c r="OE194" s="30"/>
      <c r="OF194" s="30"/>
      <c r="OG194" s="30"/>
      <c r="OH194" s="30"/>
      <c r="OI194" s="30"/>
      <c r="OJ194" s="30"/>
      <c r="OK194" s="30"/>
      <c r="OL194" s="30"/>
      <c r="OM194" s="30"/>
      <c r="ON194" s="30"/>
      <c r="OO194" s="30"/>
      <c r="OP194" s="30"/>
      <c r="OQ194" s="30"/>
      <c r="OR194" s="30"/>
      <c r="OS194" s="30"/>
      <c r="OT194" s="30"/>
      <c r="OU194" s="30"/>
      <c r="OV194" s="30"/>
      <c r="OW194" s="30"/>
      <c r="OX194" s="30"/>
      <c r="OY194" s="30"/>
      <c r="OZ194" s="30"/>
      <c r="PA194" s="30"/>
      <c r="PB194" s="30"/>
      <c r="PC194" s="30"/>
      <c r="PD194" s="30"/>
      <c r="PE194" s="30"/>
      <c r="PF194" s="30"/>
      <c r="PG194" s="30"/>
      <c r="PH194" s="30"/>
      <c r="PI194" s="30"/>
      <c r="PJ194" s="30"/>
      <c r="PK194" s="30"/>
      <c r="PL194" s="30"/>
      <c r="PM194" s="30"/>
      <c r="PN194" s="30"/>
      <c r="PO194" s="30"/>
      <c r="PP194" s="30"/>
      <c r="PQ194" s="30"/>
      <c r="PR194" s="30"/>
      <c r="PS194" s="30"/>
      <c r="PT194" s="30"/>
      <c r="PU194" s="30"/>
      <c r="PV194" s="30"/>
      <c r="PW194" s="30"/>
      <c r="PX194" s="30"/>
      <c r="PY194" s="30"/>
      <c r="PZ194" s="30"/>
      <c r="QA194" s="30"/>
      <c r="QB194" s="30"/>
      <c r="QC194" s="30"/>
      <c r="QD194" s="30"/>
      <c r="QE194" s="30"/>
      <c r="QF194" s="30"/>
      <c r="QG194" s="30"/>
      <c r="QH194" s="30"/>
      <c r="QI194" s="30"/>
      <c r="QJ194" s="30"/>
      <c r="QK194" s="30"/>
      <c r="QL194" s="30"/>
      <c r="QM194" s="30"/>
      <c r="QN194" s="30"/>
      <c r="QO194" s="30"/>
      <c r="QP194" s="30"/>
      <c r="QQ194" s="30"/>
      <c r="QR194" s="30"/>
      <c r="QS194" s="30"/>
      <c r="QT194" s="30"/>
      <c r="QU194" s="30"/>
      <c r="QV194" s="30"/>
      <c r="QW194" s="30"/>
      <c r="QX194" s="30"/>
      <c r="QY194" s="30"/>
      <c r="QZ194" s="30"/>
      <c r="RA194" s="30"/>
      <c r="RB194" s="30"/>
      <c r="RC194" s="30"/>
      <c r="RD194" s="30"/>
      <c r="RE194" s="30"/>
      <c r="RF194" s="30"/>
      <c r="RG194" s="30"/>
      <c r="RH194" s="30"/>
      <c r="RI194" s="30"/>
      <c r="RJ194" s="30"/>
      <c r="RK194" s="30"/>
      <c r="RL194" s="30"/>
      <c r="RM194" s="30"/>
      <c r="RN194" s="30"/>
      <c r="RO194" s="30"/>
      <c r="RP194" s="30"/>
      <c r="RQ194" s="30"/>
      <c r="RR194" s="30"/>
      <c r="RS194" s="30"/>
      <c r="RT194" s="30"/>
      <c r="RU194" s="30"/>
      <c r="RV194" s="30"/>
      <c r="RW194" s="30"/>
      <c r="RX194" s="30"/>
      <c r="RY194" s="30"/>
      <c r="RZ194" s="30"/>
      <c r="SA194" s="30"/>
      <c r="SB194" s="30"/>
      <c r="SC194" s="30"/>
      <c r="SD194" s="30"/>
      <c r="SE194" s="30"/>
      <c r="SF194" s="30"/>
      <c r="SG194" s="30"/>
      <c r="SH194" s="30"/>
      <c r="SI194" s="30"/>
      <c r="SJ194" s="30"/>
      <c r="SK194" s="30"/>
      <c r="SL194" s="30"/>
      <c r="SM194" s="30"/>
      <c r="SN194" s="30"/>
      <c r="SO194" s="30"/>
      <c r="SP194" s="30"/>
      <c r="SQ194" s="30"/>
      <c r="SR194" s="30"/>
      <c r="SS194" s="30"/>
      <c r="ST194" s="30"/>
      <c r="SU194" s="30"/>
      <c r="SV194" s="30"/>
      <c r="SW194" s="30"/>
      <c r="SX194" s="30"/>
      <c r="SY194" s="30"/>
      <c r="SZ194" s="30"/>
      <c r="TA194" s="30"/>
      <c r="TB194" s="30"/>
      <c r="TC194" s="30"/>
      <c r="TD194" s="30"/>
      <c r="TE194" s="30"/>
    </row>
    <row r="195" spans="1:525" s="22" customFormat="1" ht="78.75" x14ac:dyDescent="0.25">
      <c r="A195" s="56" t="s">
        <v>183</v>
      </c>
      <c r="B195" s="84" t="str">
        <f>'дод 3'!A132</f>
        <v>3180</v>
      </c>
      <c r="C195" s="84" t="str">
        <f>'дод 3'!B132</f>
        <v>1060</v>
      </c>
      <c r="D195" s="57" t="str">
        <f>'дод 3'!C132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95" s="139">
        <f t="shared" si="70"/>
        <v>318346</v>
      </c>
      <c r="F195" s="139">
        <v>318346</v>
      </c>
      <c r="G195" s="139"/>
      <c r="H195" s="139"/>
      <c r="I195" s="139"/>
      <c r="J195" s="139">
        <f t="shared" si="72"/>
        <v>0</v>
      </c>
      <c r="K195" s="139"/>
      <c r="L195" s="139"/>
      <c r="M195" s="139"/>
      <c r="N195" s="139"/>
      <c r="O195" s="139"/>
      <c r="P195" s="139">
        <f t="shared" si="71"/>
        <v>318346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</row>
    <row r="196" spans="1:525" s="22" customFormat="1" ht="31.5" customHeight="1" x14ac:dyDescent="0.25">
      <c r="A196" s="56" t="s">
        <v>303</v>
      </c>
      <c r="B196" s="84" t="str">
        <f>'дод 3'!A133</f>
        <v>3191</v>
      </c>
      <c r="C196" s="84" t="str">
        <f>'дод 3'!B133</f>
        <v>1030</v>
      </c>
      <c r="D196" s="57" t="str">
        <f>'дод 3'!C133</f>
        <v>Інші видатки на соціальний захист ветеранів війни та праці</v>
      </c>
      <c r="E196" s="139">
        <f t="shared" si="70"/>
        <v>2522957</v>
      </c>
      <c r="F196" s="139">
        <v>2522957</v>
      </c>
      <c r="G196" s="139"/>
      <c r="H196" s="139"/>
      <c r="I196" s="139"/>
      <c r="J196" s="139">
        <f t="shared" si="72"/>
        <v>0</v>
      </c>
      <c r="K196" s="139"/>
      <c r="L196" s="139"/>
      <c r="M196" s="139"/>
      <c r="N196" s="139"/>
      <c r="O196" s="139"/>
      <c r="P196" s="139">
        <f t="shared" si="71"/>
        <v>2522957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</row>
    <row r="197" spans="1:525" s="22" customFormat="1" ht="47.25" x14ac:dyDescent="0.25">
      <c r="A197" s="56" t="s">
        <v>304</v>
      </c>
      <c r="B197" s="84" t="str">
        <f>'дод 3'!A134</f>
        <v>3192</v>
      </c>
      <c r="C197" s="84" t="str">
        <f>'дод 3'!B134</f>
        <v>1030</v>
      </c>
      <c r="D197" s="57" t="str">
        <f>'дод 3'!C134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197" s="139">
        <f t="shared" si="70"/>
        <v>2390210</v>
      </c>
      <c r="F197" s="139">
        <v>2390210</v>
      </c>
      <c r="G197" s="139"/>
      <c r="H197" s="139"/>
      <c r="I197" s="139"/>
      <c r="J197" s="139">
        <f t="shared" si="72"/>
        <v>0</v>
      </c>
      <c r="K197" s="139"/>
      <c r="L197" s="139"/>
      <c r="M197" s="139"/>
      <c r="N197" s="139"/>
      <c r="O197" s="139"/>
      <c r="P197" s="139">
        <f t="shared" si="71"/>
        <v>2390210</v>
      </c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</row>
    <row r="198" spans="1:525" s="22" customFormat="1" ht="34.5" customHeight="1" x14ac:dyDescent="0.25">
      <c r="A198" s="56" t="s">
        <v>184</v>
      </c>
      <c r="B198" s="84" t="str">
        <f>'дод 3'!A135</f>
        <v>3200</v>
      </c>
      <c r="C198" s="84" t="str">
        <f>'дод 3'!B135</f>
        <v>1090</v>
      </c>
      <c r="D198" s="57" t="str">
        <f>'дод 3'!C135</f>
        <v>Забезпечення обробки інформації з нарахування та виплати допомог і компенсацій</v>
      </c>
      <c r="E198" s="139">
        <f t="shared" si="70"/>
        <v>96800</v>
      </c>
      <c r="F198" s="139">
        <v>96800</v>
      </c>
      <c r="G198" s="139"/>
      <c r="H198" s="139"/>
      <c r="I198" s="139"/>
      <c r="J198" s="139">
        <f t="shared" si="72"/>
        <v>0</v>
      </c>
      <c r="K198" s="139"/>
      <c r="L198" s="139"/>
      <c r="M198" s="139"/>
      <c r="N198" s="139"/>
      <c r="O198" s="139"/>
      <c r="P198" s="139">
        <f t="shared" si="71"/>
        <v>96800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</row>
    <row r="199" spans="1:525" s="22" customFormat="1" ht="19.5" customHeight="1" x14ac:dyDescent="0.25">
      <c r="A199" s="89" t="s">
        <v>305</v>
      </c>
      <c r="B199" s="42" t="str">
        <f>'дод 3'!A136</f>
        <v>3210</v>
      </c>
      <c r="C199" s="42" t="str">
        <f>'дод 3'!B136</f>
        <v>1050</v>
      </c>
      <c r="D199" s="36" t="str">
        <f>'дод 3'!C136</f>
        <v>Організація та проведення громадських робіт</v>
      </c>
      <c r="E199" s="139">
        <f t="shared" si="70"/>
        <v>50000</v>
      </c>
      <c r="F199" s="139">
        <v>50000</v>
      </c>
      <c r="G199" s="139">
        <v>40900</v>
      </c>
      <c r="H199" s="139"/>
      <c r="I199" s="139"/>
      <c r="J199" s="139">
        <f t="shared" si="72"/>
        <v>0</v>
      </c>
      <c r="K199" s="139"/>
      <c r="L199" s="139"/>
      <c r="M199" s="139"/>
      <c r="N199" s="139"/>
      <c r="O199" s="139"/>
      <c r="P199" s="139">
        <f t="shared" si="71"/>
        <v>50000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</row>
    <row r="200" spans="1:525" s="22" customFormat="1" ht="261" hidden="1" customHeight="1" x14ac:dyDescent="0.25">
      <c r="A200" s="89" t="s">
        <v>431</v>
      </c>
      <c r="B200" s="42">
        <v>3221</v>
      </c>
      <c r="C200" s="89" t="s">
        <v>52</v>
      </c>
      <c r="D200" s="36" t="s">
        <v>550</v>
      </c>
      <c r="E200" s="139">
        <f t="shared" si="70"/>
        <v>0</v>
      </c>
      <c r="F200" s="145"/>
      <c r="G200" s="139"/>
      <c r="H200" s="139"/>
      <c r="I200" s="139"/>
      <c r="J200" s="139">
        <f t="shared" si="72"/>
        <v>0</v>
      </c>
      <c r="K200" s="139"/>
      <c r="L200" s="139"/>
      <c r="M200" s="139"/>
      <c r="N200" s="139"/>
      <c r="O200" s="139"/>
      <c r="P200" s="139">
        <f t="shared" si="71"/>
        <v>0</v>
      </c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</row>
    <row r="201" spans="1:525" s="24" customFormat="1" ht="306.75" hidden="1" customHeight="1" x14ac:dyDescent="0.25">
      <c r="A201" s="91"/>
      <c r="B201" s="80"/>
      <c r="C201" s="91"/>
      <c r="D201" s="79" t="s">
        <v>549</v>
      </c>
      <c r="E201" s="139">
        <f t="shared" si="70"/>
        <v>0</v>
      </c>
      <c r="F201" s="146"/>
      <c r="G201" s="140"/>
      <c r="H201" s="140"/>
      <c r="I201" s="140"/>
      <c r="J201" s="139">
        <f t="shared" si="72"/>
        <v>0</v>
      </c>
      <c r="K201" s="140"/>
      <c r="L201" s="140"/>
      <c r="M201" s="140"/>
      <c r="N201" s="140"/>
      <c r="O201" s="140"/>
      <c r="P201" s="140">
        <f t="shared" si="71"/>
        <v>0</v>
      </c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  <c r="IW201" s="30"/>
      <c r="IX201" s="30"/>
      <c r="IY201" s="30"/>
      <c r="IZ201" s="30"/>
      <c r="JA201" s="30"/>
      <c r="JB201" s="30"/>
      <c r="JC201" s="30"/>
      <c r="JD201" s="30"/>
      <c r="JE201" s="30"/>
      <c r="JF201" s="30"/>
      <c r="JG201" s="30"/>
      <c r="JH201" s="30"/>
      <c r="JI201" s="30"/>
      <c r="JJ201" s="30"/>
      <c r="JK201" s="30"/>
      <c r="JL201" s="30"/>
      <c r="JM201" s="30"/>
      <c r="JN201" s="30"/>
      <c r="JO201" s="30"/>
      <c r="JP201" s="30"/>
      <c r="JQ201" s="30"/>
      <c r="JR201" s="30"/>
      <c r="JS201" s="30"/>
      <c r="JT201" s="30"/>
      <c r="JU201" s="30"/>
      <c r="JV201" s="30"/>
      <c r="JW201" s="30"/>
      <c r="JX201" s="30"/>
      <c r="JY201" s="30"/>
      <c r="JZ201" s="30"/>
      <c r="KA201" s="30"/>
      <c r="KB201" s="30"/>
      <c r="KC201" s="30"/>
      <c r="KD201" s="30"/>
      <c r="KE201" s="30"/>
      <c r="KF201" s="30"/>
      <c r="KG201" s="30"/>
      <c r="KH201" s="30"/>
      <c r="KI201" s="30"/>
      <c r="KJ201" s="30"/>
      <c r="KK201" s="30"/>
      <c r="KL201" s="30"/>
      <c r="KM201" s="30"/>
      <c r="KN201" s="30"/>
      <c r="KO201" s="30"/>
      <c r="KP201" s="30"/>
      <c r="KQ201" s="30"/>
      <c r="KR201" s="30"/>
      <c r="KS201" s="30"/>
      <c r="KT201" s="30"/>
      <c r="KU201" s="30"/>
      <c r="KV201" s="30"/>
      <c r="KW201" s="30"/>
      <c r="KX201" s="30"/>
      <c r="KY201" s="30"/>
      <c r="KZ201" s="30"/>
      <c r="LA201" s="30"/>
      <c r="LB201" s="30"/>
      <c r="LC201" s="30"/>
      <c r="LD201" s="30"/>
      <c r="LE201" s="30"/>
      <c r="LF201" s="30"/>
      <c r="LG201" s="30"/>
      <c r="LH201" s="30"/>
      <c r="LI201" s="30"/>
      <c r="LJ201" s="30"/>
      <c r="LK201" s="30"/>
      <c r="LL201" s="30"/>
      <c r="LM201" s="30"/>
      <c r="LN201" s="30"/>
      <c r="LO201" s="30"/>
      <c r="LP201" s="30"/>
      <c r="LQ201" s="30"/>
      <c r="LR201" s="30"/>
      <c r="LS201" s="30"/>
      <c r="LT201" s="30"/>
      <c r="LU201" s="30"/>
      <c r="LV201" s="30"/>
      <c r="LW201" s="30"/>
      <c r="LX201" s="30"/>
      <c r="LY201" s="30"/>
      <c r="LZ201" s="30"/>
      <c r="MA201" s="30"/>
      <c r="MB201" s="30"/>
      <c r="MC201" s="30"/>
      <c r="MD201" s="30"/>
      <c r="ME201" s="30"/>
      <c r="MF201" s="30"/>
      <c r="MG201" s="30"/>
      <c r="MH201" s="30"/>
      <c r="MI201" s="30"/>
      <c r="MJ201" s="30"/>
      <c r="MK201" s="30"/>
      <c r="ML201" s="30"/>
      <c r="MM201" s="30"/>
      <c r="MN201" s="30"/>
      <c r="MO201" s="30"/>
      <c r="MP201" s="30"/>
      <c r="MQ201" s="30"/>
      <c r="MR201" s="30"/>
      <c r="MS201" s="30"/>
      <c r="MT201" s="30"/>
      <c r="MU201" s="30"/>
      <c r="MV201" s="30"/>
      <c r="MW201" s="30"/>
      <c r="MX201" s="30"/>
      <c r="MY201" s="30"/>
      <c r="MZ201" s="30"/>
      <c r="NA201" s="30"/>
      <c r="NB201" s="30"/>
      <c r="NC201" s="30"/>
      <c r="ND201" s="30"/>
      <c r="NE201" s="30"/>
      <c r="NF201" s="30"/>
      <c r="NG201" s="30"/>
      <c r="NH201" s="30"/>
      <c r="NI201" s="30"/>
      <c r="NJ201" s="30"/>
      <c r="NK201" s="30"/>
      <c r="NL201" s="30"/>
      <c r="NM201" s="30"/>
      <c r="NN201" s="30"/>
      <c r="NO201" s="30"/>
      <c r="NP201" s="30"/>
      <c r="NQ201" s="30"/>
      <c r="NR201" s="30"/>
      <c r="NS201" s="30"/>
      <c r="NT201" s="30"/>
      <c r="NU201" s="30"/>
      <c r="NV201" s="30"/>
      <c r="NW201" s="30"/>
      <c r="NX201" s="30"/>
      <c r="NY201" s="30"/>
      <c r="NZ201" s="30"/>
      <c r="OA201" s="30"/>
      <c r="OB201" s="30"/>
      <c r="OC201" s="30"/>
      <c r="OD201" s="30"/>
      <c r="OE201" s="30"/>
      <c r="OF201" s="30"/>
      <c r="OG201" s="30"/>
      <c r="OH201" s="30"/>
      <c r="OI201" s="30"/>
      <c r="OJ201" s="30"/>
      <c r="OK201" s="30"/>
      <c r="OL201" s="30"/>
      <c r="OM201" s="30"/>
      <c r="ON201" s="30"/>
      <c r="OO201" s="30"/>
      <c r="OP201" s="30"/>
      <c r="OQ201" s="30"/>
      <c r="OR201" s="30"/>
      <c r="OS201" s="30"/>
      <c r="OT201" s="30"/>
      <c r="OU201" s="30"/>
      <c r="OV201" s="30"/>
      <c r="OW201" s="30"/>
      <c r="OX201" s="30"/>
      <c r="OY201" s="30"/>
      <c r="OZ201" s="30"/>
      <c r="PA201" s="30"/>
      <c r="PB201" s="30"/>
      <c r="PC201" s="30"/>
      <c r="PD201" s="30"/>
      <c r="PE201" s="30"/>
      <c r="PF201" s="30"/>
      <c r="PG201" s="30"/>
      <c r="PH201" s="30"/>
      <c r="PI201" s="30"/>
      <c r="PJ201" s="30"/>
      <c r="PK201" s="30"/>
      <c r="PL201" s="30"/>
      <c r="PM201" s="30"/>
      <c r="PN201" s="30"/>
      <c r="PO201" s="30"/>
      <c r="PP201" s="30"/>
      <c r="PQ201" s="30"/>
      <c r="PR201" s="30"/>
      <c r="PS201" s="30"/>
      <c r="PT201" s="30"/>
      <c r="PU201" s="30"/>
      <c r="PV201" s="30"/>
      <c r="PW201" s="30"/>
      <c r="PX201" s="30"/>
      <c r="PY201" s="30"/>
      <c r="PZ201" s="30"/>
      <c r="QA201" s="30"/>
      <c r="QB201" s="30"/>
      <c r="QC201" s="30"/>
      <c r="QD201" s="30"/>
      <c r="QE201" s="30"/>
      <c r="QF201" s="30"/>
      <c r="QG201" s="30"/>
      <c r="QH201" s="30"/>
      <c r="QI201" s="30"/>
      <c r="QJ201" s="30"/>
      <c r="QK201" s="30"/>
      <c r="QL201" s="30"/>
      <c r="QM201" s="30"/>
      <c r="QN201" s="30"/>
      <c r="QO201" s="30"/>
      <c r="QP201" s="30"/>
      <c r="QQ201" s="30"/>
      <c r="QR201" s="30"/>
      <c r="QS201" s="30"/>
      <c r="QT201" s="30"/>
      <c r="QU201" s="30"/>
      <c r="QV201" s="30"/>
      <c r="QW201" s="30"/>
      <c r="QX201" s="30"/>
      <c r="QY201" s="30"/>
      <c r="QZ201" s="30"/>
      <c r="RA201" s="30"/>
      <c r="RB201" s="30"/>
      <c r="RC201" s="30"/>
      <c r="RD201" s="30"/>
      <c r="RE201" s="30"/>
      <c r="RF201" s="30"/>
      <c r="RG201" s="30"/>
      <c r="RH201" s="30"/>
      <c r="RI201" s="30"/>
      <c r="RJ201" s="30"/>
      <c r="RK201" s="30"/>
      <c r="RL201" s="30"/>
      <c r="RM201" s="30"/>
      <c r="RN201" s="30"/>
      <c r="RO201" s="30"/>
      <c r="RP201" s="30"/>
      <c r="RQ201" s="30"/>
      <c r="RR201" s="30"/>
      <c r="RS201" s="30"/>
      <c r="RT201" s="30"/>
      <c r="RU201" s="30"/>
      <c r="RV201" s="30"/>
      <c r="RW201" s="30"/>
      <c r="RX201" s="30"/>
      <c r="RY201" s="30"/>
      <c r="RZ201" s="30"/>
      <c r="SA201" s="30"/>
      <c r="SB201" s="30"/>
      <c r="SC201" s="30"/>
      <c r="SD201" s="30"/>
      <c r="SE201" s="30"/>
      <c r="SF201" s="30"/>
      <c r="SG201" s="30"/>
      <c r="SH201" s="30"/>
      <c r="SI201" s="30"/>
      <c r="SJ201" s="30"/>
      <c r="SK201" s="30"/>
      <c r="SL201" s="30"/>
      <c r="SM201" s="30"/>
      <c r="SN201" s="30"/>
      <c r="SO201" s="30"/>
      <c r="SP201" s="30"/>
      <c r="SQ201" s="30"/>
      <c r="SR201" s="30"/>
      <c r="SS201" s="30"/>
      <c r="ST201" s="30"/>
      <c r="SU201" s="30"/>
      <c r="SV201" s="30"/>
      <c r="SW201" s="30"/>
      <c r="SX201" s="30"/>
      <c r="SY201" s="30"/>
      <c r="SZ201" s="30"/>
      <c r="TA201" s="30"/>
      <c r="TB201" s="30"/>
      <c r="TC201" s="30"/>
      <c r="TD201" s="30"/>
      <c r="TE201" s="30"/>
    </row>
    <row r="202" spans="1:525" s="22" customFormat="1" ht="324.75" hidden="1" customHeight="1" x14ac:dyDescent="0.25">
      <c r="A202" s="89" t="s">
        <v>538</v>
      </c>
      <c r="B202" s="42">
        <v>3222</v>
      </c>
      <c r="C202" s="89" t="s">
        <v>52</v>
      </c>
      <c r="D202" s="36" t="s">
        <v>573</v>
      </c>
      <c r="E202" s="139">
        <f t="shared" ref="E202:E203" si="73">F202+I202</f>
        <v>0</v>
      </c>
      <c r="F202" s="147"/>
      <c r="G202" s="139"/>
      <c r="H202" s="139"/>
      <c r="I202" s="139"/>
      <c r="J202" s="139">
        <f t="shared" ref="J202:J203" si="74">L202+O202</f>
        <v>0</v>
      </c>
      <c r="K202" s="139"/>
      <c r="L202" s="139"/>
      <c r="M202" s="139"/>
      <c r="N202" s="139"/>
      <c r="O202" s="139"/>
      <c r="P202" s="139">
        <f t="shared" si="71"/>
        <v>0</v>
      </c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</row>
    <row r="203" spans="1:525" s="24" customFormat="1" ht="350.25" hidden="1" customHeight="1" x14ac:dyDescent="0.25">
      <c r="A203" s="91"/>
      <c r="B203" s="80"/>
      <c r="C203" s="91"/>
      <c r="D203" s="79" t="s">
        <v>566</v>
      </c>
      <c r="E203" s="140">
        <f t="shared" si="73"/>
        <v>0</v>
      </c>
      <c r="F203" s="146"/>
      <c r="G203" s="140"/>
      <c r="H203" s="140"/>
      <c r="I203" s="140"/>
      <c r="J203" s="140">
        <f t="shared" si="74"/>
        <v>0</v>
      </c>
      <c r="K203" s="140"/>
      <c r="L203" s="140"/>
      <c r="M203" s="140"/>
      <c r="N203" s="140"/>
      <c r="O203" s="140"/>
      <c r="P203" s="140">
        <f t="shared" si="71"/>
        <v>0</v>
      </c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/>
      <c r="MG203" s="30"/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30"/>
      <c r="MW203" s="30"/>
      <c r="MX203" s="30"/>
      <c r="MY203" s="30"/>
      <c r="MZ203" s="30"/>
      <c r="NA203" s="30"/>
      <c r="NB203" s="30"/>
      <c r="NC203" s="30"/>
      <c r="ND203" s="30"/>
      <c r="NE203" s="30"/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30"/>
      <c r="NY203" s="30"/>
      <c r="NZ203" s="30"/>
      <c r="OA203" s="30"/>
      <c r="OB203" s="30"/>
      <c r="OC203" s="30"/>
      <c r="OD203" s="30"/>
      <c r="OE203" s="30"/>
      <c r="OF203" s="30"/>
      <c r="OG203" s="30"/>
      <c r="OH203" s="30"/>
      <c r="OI203" s="30"/>
      <c r="OJ203" s="30"/>
      <c r="OK203" s="30"/>
      <c r="OL203" s="30"/>
      <c r="OM203" s="30"/>
      <c r="ON203" s="30"/>
      <c r="OO203" s="30"/>
      <c r="OP203" s="30"/>
      <c r="OQ203" s="30"/>
      <c r="OR203" s="30"/>
      <c r="OS203" s="30"/>
      <c r="OT203" s="30"/>
      <c r="OU203" s="30"/>
      <c r="OV203" s="30"/>
      <c r="OW203" s="30"/>
      <c r="OX203" s="30"/>
      <c r="OY203" s="30"/>
      <c r="OZ203" s="30"/>
      <c r="PA203" s="30"/>
      <c r="PB203" s="30"/>
      <c r="PC203" s="30"/>
      <c r="PD203" s="30"/>
      <c r="PE203" s="30"/>
      <c r="PF203" s="30"/>
      <c r="PG203" s="30"/>
      <c r="PH203" s="30"/>
      <c r="PI203" s="30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0"/>
      <c r="SM203" s="30"/>
      <c r="SN203" s="30"/>
      <c r="SO203" s="30"/>
      <c r="SP203" s="30"/>
      <c r="SQ203" s="30"/>
      <c r="SR203" s="30"/>
      <c r="SS203" s="30"/>
      <c r="ST203" s="30"/>
      <c r="SU203" s="30"/>
      <c r="SV203" s="30"/>
      <c r="SW203" s="30"/>
      <c r="SX203" s="30"/>
      <c r="SY203" s="30"/>
      <c r="SZ203" s="30"/>
      <c r="TA203" s="30"/>
      <c r="TB203" s="30"/>
      <c r="TC203" s="30"/>
      <c r="TD203" s="30"/>
      <c r="TE203" s="30"/>
    </row>
    <row r="204" spans="1:525" s="22" customFormat="1" ht="220.5" hidden="1" customHeight="1" x14ac:dyDescent="0.25">
      <c r="A204" s="89" t="s">
        <v>430</v>
      </c>
      <c r="B204" s="42">
        <v>3223</v>
      </c>
      <c r="C204" s="89" t="s">
        <v>52</v>
      </c>
      <c r="D204" s="36" t="str">
        <f>'дод 3'!C141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204" s="139">
        <f t="shared" si="70"/>
        <v>0</v>
      </c>
      <c r="F204" s="139"/>
      <c r="G204" s="139"/>
      <c r="H204" s="139"/>
      <c r="I204" s="139"/>
      <c r="J204" s="139">
        <f t="shared" si="72"/>
        <v>0</v>
      </c>
      <c r="K204" s="139"/>
      <c r="L204" s="139"/>
      <c r="M204" s="139"/>
      <c r="N204" s="139"/>
      <c r="O204" s="139"/>
      <c r="P204" s="139">
        <f t="shared" si="71"/>
        <v>0</v>
      </c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</row>
    <row r="205" spans="1:525" s="24" customFormat="1" ht="267.75" hidden="1" customHeight="1" x14ac:dyDescent="0.25">
      <c r="A205" s="91"/>
      <c r="B205" s="80"/>
      <c r="C205" s="91"/>
      <c r="D205" s="79" t="str">
        <f>'дод 3'!C142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205" s="140">
        <f t="shared" si="70"/>
        <v>0</v>
      </c>
      <c r="F205" s="140"/>
      <c r="G205" s="140"/>
      <c r="H205" s="140"/>
      <c r="I205" s="140"/>
      <c r="J205" s="140">
        <f t="shared" si="72"/>
        <v>0</v>
      </c>
      <c r="K205" s="140"/>
      <c r="L205" s="140"/>
      <c r="M205" s="140"/>
      <c r="N205" s="140"/>
      <c r="O205" s="140"/>
      <c r="P205" s="140">
        <f t="shared" si="71"/>
        <v>0</v>
      </c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  <c r="IV205" s="30"/>
      <c r="IW205" s="30"/>
      <c r="IX205" s="30"/>
      <c r="IY205" s="30"/>
      <c r="IZ205" s="30"/>
      <c r="JA205" s="30"/>
      <c r="JB205" s="30"/>
      <c r="JC205" s="30"/>
      <c r="JD205" s="30"/>
      <c r="JE205" s="30"/>
      <c r="JF205" s="30"/>
      <c r="JG205" s="30"/>
      <c r="JH205" s="30"/>
      <c r="JI205" s="30"/>
      <c r="JJ205" s="30"/>
      <c r="JK205" s="30"/>
      <c r="JL205" s="30"/>
      <c r="JM205" s="30"/>
      <c r="JN205" s="30"/>
      <c r="JO205" s="30"/>
      <c r="JP205" s="30"/>
      <c r="JQ205" s="30"/>
      <c r="JR205" s="30"/>
      <c r="JS205" s="30"/>
      <c r="JT205" s="30"/>
      <c r="JU205" s="30"/>
      <c r="JV205" s="30"/>
      <c r="JW205" s="30"/>
      <c r="JX205" s="30"/>
      <c r="JY205" s="30"/>
      <c r="JZ205" s="30"/>
      <c r="KA205" s="30"/>
      <c r="KB205" s="30"/>
      <c r="KC205" s="30"/>
      <c r="KD205" s="30"/>
      <c r="KE205" s="30"/>
      <c r="KF205" s="30"/>
      <c r="KG205" s="30"/>
      <c r="KH205" s="30"/>
      <c r="KI205" s="30"/>
      <c r="KJ205" s="30"/>
      <c r="KK205" s="30"/>
      <c r="KL205" s="30"/>
      <c r="KM205" s="30"/>
      <c r="KN205" s="30"/>
      <c r="KO205" s="30"/>
      <c r="KP205" s="30"/>
      <c r="KQ205" s="30"/>
      <c r="KR205" s="30"/>
      <c r="KS205" s="30"/>
      <c r="KT205" s="30"/>
      <c r="KU205" s="30"/>
      <c r="KV205" s="30"/>
      <c r="KW205" s="30"/>
      <c r="KX205" s="30"/>
      <c r="KY205" s="30"/>
      <c r="KZ205" s="30"/>
      <c r="LA205" s="30"/>
      <c r="LB205" s="30"/>
      <c r="LC205" s="30"/>
      <c r="LD205" s="30"/>
      <c r="LE205" s="30"/>
      <c r="LF205" s="30"/>
      <c r="LG205" s="30"/>
      <c r="LH205" s="30"/>
      <c r="LI205" s="30"/>
      <c r="LJ205" s="30"/>
      <c r="LK205" s="30"/>
      <c r="LL205" s="30"/>
      <c r="LM205" s="30"/>
      <c r="LN205" s="30"/>
      <c r="LO205" s="30"/>
      <c r="LP205" s="30"/>
      <c r="LQ205" s="30"/>
      <c r="LR205" s="30"/>
      <c r="LS205" s="30"/>
      <c r="LT205" s="30"/>
      <c r="LU205" s="30"/>
      <c r="LV205" s="30"/>
      <c r="LW205" s="30"/>
      <c r="LX205" s="30"/>
      <c r="LY205" s="30"/>
      <c r="LZ205" s="30"/>
      <c r="MA205" s="30"/>
      <c r="MB205" s="30"/>
      <c r="MC205" s="30"/>
      <c r="MD205" s="30"/>
      <c r="ME205" s="30"/>
      <c r="MF205" s="30"/>
      <c r="MG205" s="30"/>
      <c r="MH205" s="30"/>
      <c r="MI205" s="30"/>
      <c r="MJ205" s="30"/>
      <c r="MK205" s="30"/>
      <c r="ML205" s="30"/>
      <c r="MM205" s="30"/>
      <c r="MN205" s="30"/>
      <c r="MO205" s="30"/>
      <c r="MP205" s="30"/>
      <c r="MQ205" s="30"/>
      <c r="MR205" s="30"/>
      <c r="MS205" s="30"/>
      <c r="MT205" s="30"/>
      <c r="MU205" s="30"/>
      <c r="MV205" s="30"/>
      <c r="MW205" s="30"/>
      <c r="MX205" s="30"/>
      <c r="MY205" s="30"/>
      <c r="MZ205" s="30"/>
      <c r="NA205" s="30"/>
      <c r="NB205" s="30"/>
      <c r="NC205" s="30"/>
      <c r="ND205" s="30"/>
      <c r="NE205" s="30"/>
      <c r="NF205" s="30"/>
      <c r="NG205" s="30"/>
      <c r="NH205" s="30"/>
      <c r="NI205" s="30"/>
      <c r="NJ205" s="30"/>
      <c r="NK205" s="30"/>
      <c r="NL205" s="30"/>
      <c r="NM205" s="30"/>
      <c r="NN205" s="30"/>
      <c r="NO205" s="30"/>
      <c r="NP205" s="30"/>
      <c r="NQ205" s="30"/>
      <c r="NR205" s="30"/>
      <c r="NS205" s="30"/>
      <c r="NT205" s="30"/>
      <c r="NU205" s="30"/>
      <c r="NV205" s="30"/>
      <c r="NW205" s="30"/>
      <c r="NX205" s="30"/>
      <c r="NY205" s="30"/>
      <c r="NZ205" s="30"/>
      <c r="OA205" s="30"/>
      <c r="OB205" s="30"/>
      <c r="OC205" s="30"/>
      <c r="OD205" s="30"/>
      <c r="OE205" s="30"/>
      <c r="OF205" s="30"/>
      <c r="OG205" s="30"/>
      <c r="OH205" s="30"/>
      <c r="OI205" s="30"/>
      <c r="OJ205" s="30"/>
      <c r="OK205" s="30"/>
      <c r="OL205" s="30"/>
      <c r="OM205" s="30"/>
      <c r="ON205" s="30"/>
      <c r="OO205" s="30"/>
      <c r="OP205" s="30"/>
      <c r="OQ205" s="30"/>
      <c r="OR205" s="30"/>
      <c r="OS205" s="30"/>
      <c r="OT205" s="30"/>
      <c r="OU205" s="30"/>
      <c r="OV205" s="30"/>
      <c r="OW205" s="30"/>
      <c r="OX205" s="30"/>
      <c r="OY205" s="30"/>
      <c r="OZ205" s="30"/>
      <c r="PA205" s="30"/>
      <c r="PB205" s="30"/>
      <c r="PC205" s="30"/>
      <c r="PD205" s="30"/>
      <c r="PE205" s="30"/>
      <c r="PF205" s="30"/>
      <c r="PG205" s="30"/>
      <c r="PH205" s="30"/>
      <c r="PI205" s="30"/>
      <c r="PJ205" s="30"/>
      <c r="PK205" s="30"/>
      <c r="PL205" s="30"/>
      <c r="PM205" s="30"/>
      <c r="PN205" s="30"/>
      <c r="PO205" s="30"/>
      <c r="PP205" s="30"/>
      <c r="PQ205" s="30"/>
      <c r="PR205" s="30"/>
      <c r="PS205" s="30"/>
      <c r="PT205" s="30"/>
      <c r="PU205" s="30"/>
      <c r="PV205" s="30"/>
      <c r="PW205" s="30"/>
      <c r="PX205" s="30"/>
      <c r="PY205" s="30"/>
      <c r="PZ205" s="30"/>
      <c r="QA205" s="30"/>
      <c r="QB205" s="30"/>
      <c r="QC205" s="30"/>
      <c r="QD205" s="30"/>
      <c r="QE205" s="30"/>
      <c r="QF205" s="30"/>
      <c r="QG205" s="30"/>
      <c r="QH205" s="30"/>
      <c r="QI205" s="30"/>
      <c r="QJ205" s="30"/>
      <c r="QK205" s="30"/>
      <c r="QL205" s="30"/>
      <c r="QM205" s="30"/>
      <c r="QN205" s="30"/>
      <c r="QO205" s="30"/>
      <c r="QP205" s="30"/>
      <c r="QQ205" s="30"/>
      <c r="QR205" s="30"/>
      <c r="QS205" s="30"/>
      <c r="QT205" s="30"/>
      <c r="QU205" s="30"/>
      <c r="QV205" s="30"/>
      <c r="QW205" s="30"/>
      <c r="QX205" s="30"/>
      <c r="QY205" s="30"/>
      <c r="QZ205" s="30"/>
      <c r="RA205" s="30"/>
      <c r="RB205" s="30"/>
      <c r="RC205" s="30"/>
      <c r="RD205" s="30"/>
      <c r="RE205" s="30"/>
      <c r="RF205" s="30"/>
      <c r="RG205" s="30"/>
      <c r="RH205" s="30"/>
      <c r="RI205" s="30"/>
      <c r="RJ205" s="30"/>
      <c r="RK205" s="30"/>
      <c r="RL205" s="30"/>
      <c r="RM205" s="30"/>
      <c r="RN205" s="30"/>
      <c r="RO205" s="30"/>
      <c r="RP205" s="30"/>
      <c r="RQ205" s="30"/>
      <c r="RR205" s="30"/>
      <c r="RS205" s="30"/>
      <c r="RT205" s="30"/>
      <c r="RU205" s="30"/>
      <c r="RV205" s="30"/>
      <c r="RW205" s="30"/>
      <c r="RX205" s="30"/>
      <c r="RY205" s="30"/>
      <c r="RZ205" s="30"/>
      <c r="SA205" s="30"/>
      <c r="SB205" s="30"/>
      <c r="SC205" s="30"/>
      <c r="SD205" s="30"/>
      <c r="SE205" s="30"/>
      <c r="SF205" s="30"/>
      <c r="SG205" s="30"/>
      <c r="SH205" s="30"/>
      <c r="SI205" s="30"/>
      <c r="SJ205" s="30"/>
      <c r="SK205" s="30"/>
      <c r="SL205" s="30"/>
      <c r="SM205" s="30"/>
      <c r="SN205" s="30"/>
      <c r="SO205" s="30"/>
      <c r="SP205" s="30"/>
      <c r="SQ205" s="30"/>
      <c r="SR205" s="30"/>
      <c r="SS205" s="30"/>
      <c r="ST205" s="30"/>
      <c r="SU205" s="30"/>
      <c r="SV205" s="30"/>
      <c r="SW205" s="30"/>
      <c r="SX205" s="30"/>
      <c r="SY205" s="30"/>
      <c r="SZ205" s="30"/>
      <c r="TA205" s="30"/>
      <c r="TB205" s="30"/>
      <c r="TC205" s="30"/>
      <c r="TD205" s="30"/>
      <c r="TE205" s="30"/>
    </row>
    <row r="206" spans="1:525" s="22" customFormat="1" ht="31.5" customHeight="1" x14ac:dyDescent="0.25">
      <c r="A206" s="56" t="s">
        <v>302</v>
      </c>
      <c r="B206" s="84" t="str">
        <f>'дод 3'!A143</f>
        <v>3241</v>
      </c>
      <c r="C206" s="84" t="str">
        <f>'дод 3'!B143</f>
        <v>1090</v>
      </c>
      <c r="D206" s="57" t="str">
        <f>'дод 3'!C143</f>
        <v>Забезпечення діяльності інших закладів у сфері соціального захисту і соціального забезпечення</v>
      </c>
      <c r="E206" s="139">
        <f t="shared" si="70"/>
        <v>4568600</v>
      </c>
      <c r="F206" s="139">
        <v>4568600</v>
      </c>
      <c r="G206" s="139">
        <v>2503500</v>
      </c>
      <c r="H206" s="139">
        <v>410200</v>
      </c>
      <c r="I206" s="139"/>
      <c r="J206" s="139">
        <f t="shared" ref="J206:J212" si="75">L206+O206</f>
        <v>0</v>
      </c>
      <c r="K206" s="139"/>
      <c r="L206" s="139"/>
      <c r="M206" s="139"/>
      <c r="N206" s="139"/>
      <c r="O206" s="139"/>
      <c r="P206" s="139">
        <f t="shared" si="71"/>
        <v>4568600</v>
      </c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</row>
    <row r="207" spans="1:525" s="22" customFormat="1" ht="33" customHeight="1" x14ac:dyDescent="0.25">
      <c r="A207" s="56" t="s">
        <v>350</v>
      </c>
      <c r="B207" s="84" t="str">
        <f>'дод 3'!A144</f>
        <v>3242</v>
      </c>
      <c r="C207" s="84" t="str">
        <f>'дод 3'!B144</f>
        <v>1090</v>
      </c>
      <c r="D207" s="57" t="s">
        <v>406</v>
      </c>
      <c r="E207" s="139">
        <f t="shared" si="70"/>
        <v>40937645</v>
      </c>
      <c r="F207" s="139">
        <f>36737645+50000-50000+4200000</f>
        <v>40937645</v>
      </c>
      <c r="G207" s="139"/>
      <c r="H207" s="139"/>
      <c r="I207" s="139"/>
      <c r="J207" s="139">
        <f t="shared" si="75"/>
        <v>72000</v>
      </c>
      <c r="K207" s="139">
        <v>72000</v>
      </c>
      <c r="L207" s="139"/>
      <c r="M207" s="139"/>
      <c r="N207" s="139"/>
      <c r="O207" s="139">
        <v>72000</v>
      </c>
      <c r="P207" s="139">
        <f t="shared" si="71"/>
        <v>41009645</v>
      </c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</row>
    <row r="208" spans="1:525" s="24" customFormat="1" ht="15" customHeight="1" x14ac:dyDescent="0.25">
      <c r="A208" s="76"/>
      <c r="B208" s="97"/>
      <c r="C208" s="97"/>
      <c r="D208" s="77" t="s">
        <v>388</v>
      </c>
      <c r="E208" s="140">
        <f t="shared" si="70"/>
        <v>319200</v>
      </c>
      <c r="F208" s="140">
        <v>319200</v>
      </c>
      <c r="G208" s="140"/>
      <c r="H208" s="140"/>
      <c r="I208" s="140"/>
      <c r="J208" s="140">
        <f t="shared" si="75"/>
        <v>0</v>
      </c>
      <c r="K208" s="140"/>
      <c r="L208" s="140"/>
      <c r="M208" s="140"/>
      <c r="N208" s="140"/>
      <c r="O208" s="140"/>
      <c r="P208" s="140">
        <f t="shared" si="71"/>
        <v>319200</v>
      </c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  <c r="IW208" s="30"/>
      <c r="IX208" s="30"/>
      <c r="IY208" s="30"/>
      <c r="IZ208" s="30"/>
      <c r="JA208" s="30"/>
      <c r="JB208" s="30"/>
      <c r="JC208" s="30"/>
      <c r="JD208" s="30"/>
      <c r="JE208" s="30"/>
      <c r="JF208" s="30"/>
      <c r="JG208" s="30"/>
      <c r="JH208" s="30"/>
      <c r="JI208" s="30"/>
      <c r="JJ208" s="30"/>
      <c r="JK208" s="30"/>
      <c r="JL208" s="30"/>
      <c r="JM208" s="30"/>
      <c r="JN208" s="30"/>
      <c r="JO208" s="30"/>
      <c r="JP208" s="30"/>
      <c r="JQ208" s="30"/>
      <c r="JR208" s="30"/>
      <c r="JS208" s="30"/>
      <c r="JT208" s="30"/>
      <c r="JU208" s="30"/>
      <c r="JV208" s="30"/>
      <c r="JW208" s="30"/>
      <c r="JX208" s="30"/>
      <c r="JY208" s="30"/>
      <c r="JZ208" s="30"/>
      <c r="KA208" s="30"/>
      <c r="KB208" s="30"/>
      <c r="KC208" s="30"/>
      <c r="KD208" s="30"/>
      <c r="KE208" s="30"/>
      <c r="KF208" s="30"/>
      <c r="KG208" s="30"/>
      <c r="KH208" s="30"/>
      <c r="KI208" s="30"/>
      <c r="KJ208" s="30"/>
      <c r="KK208" s="30"/>
      <c r="KL208" s="30"/>
      <c r="KM208" s="30"/>
      <c r="KN208" s="30"/>
      <c r="KO208" s="30"/>
      <c r="KP208" s="30"/>
      <c r="KQ208" s="30"/>
      <c r="KR208" s="30"/>
      <c r="KS208" s="30"/>
      <c r="KT208" s="30"/>
      <c r="KU208" s="30"/>
      <c r="KV208" s="30"/>
      <c r="KW208" s="30"/>
      <c r="KX208" s="30"/>
      <c r="KY208" s="30"/>
      <c r="KZ208" s="30"/>
      <c r="LA208" s="30"/>
      <c r="LB208" s="30"/>
      <c r="LC208" s="30"/>
      <c r="LD208" s="30"/>
      <c r="LE208" s="30"/>
      <c r="LF208" s="30"/>
      <c r="LG208" s="30"/>
      <c r="LH208" s="30"/>
      <c r="LI208" s="30"/>
      <c r="LJ208" s="30"/>
      <c r="LK208" s="30"/>
      <c r="LL208" s="30"/>
      <c r="LM208" s="30"/>
      <c r="LN208" s="30"/>
      <c r="LO208" s="30"/>
      <c r="LP208" s="30"/>
      <c r="LQ208" s="30"/>
      <c r="LR208" s="30"/>
      <c r="LS208" s="30"/>
      <c r="LT208" s="30"/>
      <c r="LU208" s="30"/>
      <c r="LV208" s="30"/>
      <c r="LW208" s="30"/>
      <c r="LX208" s="30"/>
      <c r="LY208" s="30"/>
      <c r="LZ208" s="30"/>
      <c r="MA208" s="30"/>
      <c r="MB208" s="30"/>
      <c r="MC208" s="30"/>
      <c r="MD208" s="30"/>
      <c r="ME208" s="30"/>
      <c r="MF208" s="30"/>
      <c r="MG208" s="30"/>
      <c r="MH208" s="30"/>
      <c r="MI208" s="30"/>
      <c r="MJ208" s="30"/>
      <c r="MK208" s="30"/>
      <c r="ML208" s="30"/>
      <c r="MM208" s="30"/>
      <c r="MN208" s="30"/>
      <c r="MO208" s="30"/>
      <c r="MP208" s="30"/>
      <c r="MQ208" s="30"/>
      <c r="MR208" s="30"/>
      <c r="MS208" s="30"/>
      <c r="MT208" s="30"/>
      <c r="MU208" s="30"/>
      <c r="MV208" s="30"/>
      <c r="MW208" s="30"/>
      <c r="MX208" s="30"/>
      <c r="MY208" s="30"/>
      <c r="MZ208" s="30"/>
      <c r="NA208" s="30"/>
      <c r="NB208" s="30"/>
      <c r="NC208" s="30"/>
      <c r="ND208" s="30"/>
      <c r="NE208" s="30"/>
      <c r="NF208" s="30"/>
      <c r="NG208" s="30"/>
      <c r="NH208" s="30"/>
      <c r="NI208" s="30"/>
      <c r="NJ208" s="30"/>
      <c r="NK208" s="30"/>
      <c r="NL208" s="30"/>
      <c r="NM208" s="30"/>
      <c r="NN208" s="30"/>
      <c r="NO208" s="30"/>
      <c r="NP208" s="30"/>
      <c r="NQ208" s="30"/>
      <c r="NR208" s="30"/>
      <c r="NS208" s="30"/>
      <c r="NT208" s="30"/>
      <c r="NU208" s="30"/>
      <c r="NV208" s="30"/>
      <c r="NW208" s="30"/>
      <c r="NX208" s="30"/>
      <c r="NY208" s="30"/>
      <c r="NZ208" s="30"/>
      <c r="OA208" s="30"/>
      <c r="OB208" s="30"/>
      <c r="OC208" s="30"/>
      <c r="OD208" s="30"/>
      <c r="OE208" s="30"/>
      <c r="OF208" s="30"/>
      <c r="OG208" s="30"/>
      <c r="OH208" s="30"/>
      <c r="OI208" s="30"/>
      <c r="OJ208" s="30"/>
      <c r="OK208" s="30"/>
      <c r="OL208" s="30"/>
      <c r="OM208" s="30"/>
      <c r="ON208" s="30"/>
      <c r="OO208" s="30"/>
      <c r="OP208" s="30"/>
      <c r="OQ208" s="30"/>
      <c r="OR208" s="30"/>
      <c r="OS208" s="30"/>
      <c r="OT208" s="30"/>
      <c r="OU208" s="30"/>
      <c r="OV208" s="30"/>
      <c r="OW208" s="30"/>
      <c r="OX208" s="30"/>
      <c r="OY208" s="30"/>
      <c r="OZ208" s="30"/>
      <c r="PA208" s="30"/>
      <c r="PB208" s="30"/>
      <c r="PC208" s="30"/>
      <c r="PD208" s="30"/>
      <c r="PE208" s="30"/>
      <c r="PF208" s="30"/>
      <c r="PG208" s="30"/>
      <c r="PH208" s="30"/>
      <c r="PI208" s="30"/>
      <c r="PJ208" s="30"/>
      <c r="PK208" s="30"/>
      <c r="PL208" s="30"/>
      <c r="PM208" s="30"/>
      <c r="PN208" s="30"/>
      <c r="PO208" s="30"/>
      <c r="PP208" s="30"/>
      <c r="PQ208" s="30"/>
      <c r="PR208" s="30"/>
      <c r="PS208" s="30"/>
      <c r="PT208" s="30"/>
      <c r="PU208" s="30"/>
      <c r="PV208" s="30"/>
      <c r="PW208" s="30"/>
      <c r="PX208" s="30"/>
      <c r="PY208" s="30"/>
      <c r="PZ208" s="30"/>
      <c r="QA208" s="30"/>
      <c r="QB208" s="30"/>
      <c r="QC208" s="30"/>
      <c r="QD208" s="30"/>
      <c r="QE208" s="30"/>
      <c r="QF208" s="30"/>
      <c r="QG208" s="30"/>
      <c r="QH208" s="30"/>
      <c r="QI208" s="30"/>
      <c r="QJ208" s="30"/>
      <c r="QK208" s="30"/>
      <c r="QL208" s="30"/>
      <c r="QM208" s="30"/>
      <c r="QN208" s="30"/>
      <c r="QO208" s="30"/>
      <c r="QP208" s="30"/>
      <c r="QQ208" s="30"/>
      <c r="QR208" s="30"/>
      <c r="QS208" s="30"/>
      <c r="QT208" s="30"/>
      <c r="QU208" s="30"/>
      <c r="QV208" s="30"/>
      <c r="QW208" s="30"/>
      <c r="QX208" s="30"/>
      <c r="QY208" s="30"/>
      <c r="QZ208" s="30"/>
      <c r="RA208" s="30"/>
      <c r="RB208" s="30"/>
      <c r="RC208" s="30"/>
      <c r="RD208" s="30"/>
      <c r="RE208" s="30"/>
      <c r="RF208" s="30"/>
      <c r="RG208" s="30"/>
      <c r="RH208" s="30"/>
      <c r="RI208" s="30"/>
      <c r="RJ208" s="30"/>
      <c r="RK208" s="30"/>
      <c r="RL208" s="30"/>
      <c r="RM208" s="30"/>
      <c r="RN208" s="30"/>
      <c r="RO208" s="30"/>
      <c r="RP208" s="30"/>
      <c r="RQ208" s="30"/>
      <c r="RR208" s="30"/>
      <c r="RS208" s="30"/>
      <c r="RT208" s="30"/>
      <c r="RU208" s="30"/>
      <c r="RV208" s="30"/>
      <c r="RW208" s="30"/>
      <c r="RX208" s="30"/>
      <c r="RY208" s="30"/>
      <c r="RZ208" s="30"/>
      <c r="SA208" s="30"/>
      <c r="SB208" s="30"/>
      <c r="SC208" s="30"/>
      <c r="SD208" s="30"/>
      <c r="SE208" s="30"/>
      <c r="SF208" s="30"/>
      <c r="SG208" s="30"/>
      <c r="SH208" s="30"/>
      <c r="SI208" s="30"/>
      <c r="SJ208" s="30"/>
      <c r="SK208" s="30"/>
      <c r="SL208" s="30"/>
      <c r="SM208" s="30"/>
      <c r="SN208" s="30"/>
      <c r="SO208" s="30"/>
      <c r="SP208" s="30"/>
      <c r="SQ208" s="30"/>
      <c r="SR208" s="30"/>
      <c r="SS208" s="30"/>
      <c r="ST208" s="30"/>
      <c r="SU208" s="30"/>
      <c r="SV208" s="30"/>
      <c r="SW208" s="30"/>
      <c r="SX208" s="30"/>
      <c r="SY208" s="30"/>
      <c r="SZ208" s="30"/>
      <c r="TA208" s="30"/>
      <c r="TB208" s="30"/>
      <c r="TC208" s="30"/>
      <c r="TD208" s="30"/>
      <c r="TE208" s="30"/>
    </row>
    <row r="209" spans="1:525" s="22" customFormat="1" ht="31.5" hidden="1" customHeight="1" x14ac:dyDescent="0.25">
      <c r="A209" s="56" t="s">
        <v>411</v>
      </c>
      <c r="B209" s="84">
        <v>7323</v>
      </c>
      <c r="C209" s="56" t="s">
        <v>110</v>
      </c>
      <c r="D209" s="6" t="str">
        <f>'дод 3'!C187</f>
        <v>Будівництво1 установ та закладів соціальної сфери</v>
      </c>
      <c r="E209" s="139">
        <f t="shared" si="70"/>
        <v>0</v>
      </c>
      <c r="F209" s="139"/>
      <c r="G209" s="139"/>
      <c r="H209" s="139"/>
      <c r="I209" s="139"/>
      <c r="J209" s="139">
        <f t="shared" si="75"/>
        <v>0</v>
      </c>
      <c r="K209" s="139"/>
      <c r="L209" s="139"/>
      <c r="M209" s="139"/>
      <c r="N209" s="139"/>
      <c r="O209" s="139"/>
      <c r="P209" s="139">
        <f t="shared" si="71"/>
        <v>0</v>
      </c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</row>
    <row r="210" spans="1:525" s="22" customFormat="1" ht="15.75" x14ac:dyDescent="0.25">
      <c r="A210" s="56" t="s">
        <v>582</v>
      </c>
      <c r="B210" s="84">
        <v>7640</v>
      </c>
      <c r="C210" s="37" t="s">
        <v>85</v>
      </c>
      <c r="D210" s="3" t="s">
        <v>416</v>
      </c>
      <c r="E210" s="139">
        <f t="shared" si="70"/>
        <v>69000</v>
      </c>
      <c r="F210" s="139">
        <v>69000</v>
      </c>
      <c r="G210" s="139"/>
      <c r="H210" s="139"/>
      <c r="I210" s="139"/>
      <c r="J210" s="139">
        <f t="shared" si="75"/>
        <v>0</v>
      </c>
      <c r="K210" s="139"/>
      <c r="L210" s="139"/>
      <c r="M210" s="139"/>
      <c r="N210" s="139"/>
      <c r="O210" s="139"/>
      <c r="P210" s="139">
        <f t="shared" si="71"/>
        <v>69000</v>
      </c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</row>
    <row r="211" spans="1:525" s="173" customFormat="1" ht="38.25" customHeight="1" x14ac:dyDescent="0.25">
      <c r="A211" s="89" t="s">
        <v>631</v>
      </c>
      <c r="B211" s="42">
        <v>8775</v>
      </c>
      <c r="C211" s="89" t="s">
        <v>92</v>
      </c>
      <c r="D211" s="36" t="s">
        <v>628</v>
      </c>
      <c r="E211" s="139">
        <f>F211</f>
        <v>200000</v>
      </c>
      <c r="F211" s="139">
        <v>200000</v>
      </c>
      <c r="G211" s="139"/>
      <c r="H211" s="139"/>
      <c r="I211" s="139"/>
      <c r="J211" s="139">
        <f t="shared" si="75"/>
        <v>0</v>
      </c>
      <c r="K211" s="139"/>
      <c r="L211" s="139"/>
      <c r="M211" s="139"/>
      <c r="N211" s="139"/>
      <c r="O211" s="139"/>
      <c r="P211" s="139">
        <f t="shared" si="71"/>
        <v>200000</v>
      </c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2"/>
      <c r="BE211" s="172"/>
      <c r="BF211" s="172"/>
      <c r="BG211" s="172"/>
      <c r="BH211" s="172"/>
      <c r="BI211" s="172"/>
      <c r="BJ211" s="172"/>
      <c r="BK211" s="172"/>
      <c r="BL211" s="172"/>
      <c r="BM211" s="172"/>
      <c r="BN211" s="172"/>
      <c r="BO211" s="172"/>
      <c r="BP211" s="172"/>
      <c r="BQ211" s="172"/>
      <c r="BR211" s="172"/>
      <c r="BS211" s="172"/>
      <c r="BT211" s="172"/>
      <c r="BU211" s="172"/>
      <c r="BV211" s="172"/>
      <c r="BW211" s="172"/>
      <c r="BX211" s="172"/>
      <c r="BY211" s="172"/>
      <c r="BZ211" s="172"/>
      <c r="CA211" s="172"/>
      <c r="CB211" s="172"/>
      <c r="CC211" s="172"/>
      <c r="CD211" s="172"/>
      <c r="CE211" s="172"/>
      <c r="CF211" s="172"/>
      <c r="CG211" s="172"/>
      <c r="CH211" s="172"/>
      <c r="CI211" s="172"/>
      <c r="CJ211" s="172"/>
      <c r="CK211" s="172"/>
      <c r="CL211" s="172"/>
      <c r="CM211" s="172"/>
      <c r="CN211" s="172"/>
      <c r="CO211" s="172"/>
      <c r="CP211" s="172"/>
      <c r="CQ211" s="172"/>
      <c r="CR211" s="172"/>
      <c r="CS211" s="172"/>
      <c r="CT211" s="172"/>
      <c r="CU211" s="172"/>
      <c r="CV211" s="172"/>
      <c r="CW211" s="172"/>
      <c r="CX211" s="172"/>
      <c r="CY211" s="172"/>
      <c r="CZ211" s="172"/>
      <c r="DA211" s="172"/>
      <c r="DB211" s="172"/>
      <c r="DC211" s="172"/>
      <c r="DD211" s="172"/>
      <c r="DE211" s="172"/>
      <c r="DF211" s="172"/>
      <c r="DG211" s="172"/>
      <c r="DH211" s="172"/>
      <c r="DI211" s="172"/>
      <c r="DJ211" s="172"/>
      <c r="DK211" s="172"/>
      <c r="DL211" s="172"/>
      <c r="DM211" s="172"/>
      <c r="DN211" s="172"/>
      <c r="DO211" s="172"/>
      <c r="DP211" s="172"/>
      <c r="DQ211" s="172"/>
      <c r="DR211" s="172"/>
      <c r="DS211" s="172"/>
      <c r="DT211" s="172"/>
      <c r="DU211" s="172"/>
      <c r="DV211" s="172"/>
      <c r="DW211" s="172"/>
      <c r="DX211" s="172"/>
      <c r="DY211" s="172"/>
      <c r="DZ211" s="172"/>
      <c r="EA211" s="172"/>
      <c r="EB211" s="172"/>
      <c r="EC211" s="172"/>
      <c r="ED211" s="172"/>
      <c r="EE211" s="172"/>
      <c r="EF211" s="172"/>
      <c r="EG211" s="172"/>
      <c r="EH211" s="172"/>
      <c r="EI211" s="172"/>
      <c r="EJ211" s="172"/>
      <c r="EK211" s="172"/>
      <c r="EL211" s="172"/>
      <c r="EM211" s="172"/>
      <c r="EN211" s="172"/>
      <c r="EO211" s="172"/>
      <c r="EP211" s="172"/>
      <c r="EQ211" s="172"/>
      <c r="ER211" s="172"/>
      <c r="ES211" s="172"/>
      <c r="ET211" s="172"/>
      <c r="EU211" s="172"/>
      <c r="EV211" s="172"/>
      <c r="EW211" s="172"/>
      <c r="EX211" s="172"/>
      <c r="EY211" s="172"/>
      <c r="EZ211" s="172"/>
      <c r="FA211" s="172"/>
      <c r="FB211" s="172"/>
      <c r="FC211" s="172"/>
      <c r="FD211" s="172"/>
      <c r="FE211" s="172"/>
      <c r="FF211" s="172"/>
      <c r="FG211" s="172"/>
      <c r="FH211" s="172"/>
      <c r="FI211" s="172"/>
      <c r="FJ211" s="172"/>
      <c r="FK211" s="172"/>
      <c r="FL211" s="172"/>
      <c r="FM211" s="172"/>
      <c r="FN211" s="172"/>
      <c r="FO211" s="172"/>
      <c r="FP211" s="172"/>
      <c r="FQ211" s="172"/>
      <c r="FR211" s="172"/>
      <c r="FS211" s="172"/>
      <c r="FT211" s="172"/>
      <c r="FU211" s="172"/>
      <c r="FV211" s="172"/>
      <c r="FW211" s="172"/>
      <c r="FX211" s="172"/>
      <c r="FY211" s="172"/>
      <c r="FZ211" s="172"/>
      <c r="GA211" s="172"/>
      <c r="GB211" s="172"/>
      <c r="GC211" s="172"/>
      <c r="GD211" s="172"/>
      <c r="GE211" s="172"/>
      <c r="GF211" s="172"/>
      <c r="GG211" s="172"/>
      <c r="GH211" s="172"/>
      <c r="GI211" s="172"/>
      <c r="GJ211" s="172"/>
      <c r="GK211" s="172"/>
      <c r="GL211" s="172"/>
      <c r="GM211" s="172"/>
      <c r="GN211" s="172"/>
      <c r="GO211" s="172"/>
      <c r="GP211" s="172"/>
      <c r="GQ211" s="172"/>
      <c r="GR211" s="172"/>
      <c r="GS211" s="172"/>
      <c r="GT211" s="172"/>
      <c r="GU211" s="172"/>
      <c r="GV211" s="172"/>
      <c r="GW211" s="172"/>
      <c r="GX211" s="172"/>
      <c r="GY211" s="172"/>
      <c r="GZ211" s="172"/>
      <c r="HA211" s="172"/>
      <c r="HB211" s="172"/>
      <c r="HC211" s="172"/>
      <c r="HD211" s="172"/>
      <c r="HE211" s="172"/>
      <c r="HF211" s="172"/>
      <c r="HG211" s="172"/>
      <c r="HH211" s="172"/>
      <c r="HI211" s="172"/>
      <c r="HJ211" s="172"/>
      <c r="HK211" s="172"/>
      <c r="HL211" s="172"/>
      <c r="HM211" s="172"/>
      <c r="HN211" s="172"/>
      <c r="HO211" s="172"/>
      <c r="HP211" s="172"/>
      <c r="HQ211" s="172"/>
      <c r="HR211" s="172"/>
      <c r="HS211" s="172"/>
      <c r="HT211" s="172"/>
      <c r="HU211" s="172"/>
      <c r="HV211" s="172"/>
      <c r="HW211" s="172"/>
      <c r="HX211" s="172"/>
      <c r="HY211" s="172"/>
      <c r="HZ211" s="172"/>
      <c r="IA211" s="172"/>
      <c r="IB211" s="172"/>
      <c r="IC211" s="172"/>
      <c r="ID211" s="172"/>
      <c r="IE211" s="172"/>
      <c r="IF211" s="172"/>
      <c r="IG211" s="172"/>
      <c r="IH211" s="172"/>
      <c r="II211" s="172"/>
      <c r="IJ211" s="172"/>
      <c r="IK211" s="172"/>
      <c r="IL211" s="172"/>
      <c r="IM211" s="172"/>
      <c r="IN211" s="172"/>
      <c r="IO211" s="172"/>
      <c r="IP211" s="172"/>
      <c r="IQ211" s="172"/>
      <c r="IR211" s="172"/>
      <c r="IS211" s="172"/>
      <c r="IT211" s="172"/>
      <c r="IU211" s="172"/>
      <c r="IV211" s="172"/>
      <c r="IW211" s="172"/>
      <c r="IX211" s="172"/>
      <c r="IY211" s="172"/>
      <c r="IZ211" s="172"/>
      <c r="JA211" s="172"/>
      <c r="JB211" s="172"/>
      <c r="JC211" s="172"/>
      <c r="JD211" s="172"/>
      <c r="JE211" s="172"/>
      <c r="JF211" s="172"/>
      <c r="JG211" s="172"/>
      <c r="JH211" s="172"/>
      <c r="JI211" s="172"/>
      <c r="JJ211" s="172"/>
      <c r="JK211" s="172"/>
      <c r="JL211" s="172"/>
      <c r="JM211" s="172"/>
      <c r="JN211" s="172"/>
      <c r="JO211" s="172"/>
      <c r="JP211" s="172"/>
      <c r="JQ211" s="172"/>
      <c r="JR211" s="172"/>
      <c r="JS211" s="172"/>
      <c r="JT211" s="172"/>
      <c r="JU211" s="172"/>
      <c r="JV211" s="172"/>
      <c r="JW211" s="172"/>
      <c r="JX211" s="172"/>
      <c r="JY211" s="172"/>
      <c r="JZ211" s="172"/>
      <c r="KA211" s="172"/>
      <c r="KB211" s="172"/>
      <c r="KC211" s="172"/>
      <c r="KD211" s="172"/>
      <c r="KE211" s="172"/>
      <c r="KF211" s="172"/>
      <c r="KG211" s="172"/>
      <c r="KH211" s="172"/>
      <c r="KI211" s="172"/>
      <c r="KJ211" s="172"/>
      <c r="KK211" s="172"/>
      <c r="KL211" s="172"/>
      <c r="KM211" s="172"/>
      <c r="KN211" s="172"/>
      <c r="KO211" s="172"/>
      <c r="KP211" s="172"/>
      <c r="KQ211" s="172"/>
      <c r="KR211" s="172"/>
      <c r="KS211" s="172"/>
      <c r="KT211" s="172"/>
      <c r="KU211" s="172"/>
      <c r="KV211" s="172"/>
      <c r="KW211" s="172"/>
      <c r="KX211" s="172"/>
      <c r="KY211" s="172"/>
      <c r="KZ211" s="172"/>
      <c r="LA211" s="172"/>
      <c r="LB211" s="172"/>
      <c r="LC211" s="172"/>
      <c r="LD211" s="172"/>
      <c r="LE211" s="172"/>
      <c r="LF211" s="172"/>
      <c r="LG211" s="172"/>
      <c r="LH211" s="172"/>
      <c r="LI211" s="172"/>
      <c r="LJ211" s="172"/>
      <c r="LK211" s="172"/>
      <c r="LL211" s="172"/>
      <c r="LM211" s="172"/>
      <c r="LN211" s="172"/>
      <c r="LO211" s="172"/>
      <c r="LP211" s="172"/>
      <c r="LQ211" s="172"/>
      <c r="LR211" s="172"/>
      <c r="LS211" s="172"/>
      <c r="LT211" s="172"/>
      <c r="LU211" s="172"/>
      <c r="LV211" s="172"/>
      <c r="LW211" s="172"/>
      <c r="LX211" s="172"/>
      <c r="LY211" s="172"/>
      <c r="LZ211" s="172"/>
      <c r="MA211" s="172"/>
      <c r="MB211" s="172"/>
      <c r="MC211" s="172"/>
      <c r="MD211" s="172"/>
      <c r="ME211" s="172"/>
      <c r="MF211" s="172"/>
      <c r="MG211" s="172"/>
      <c r="MH211" s="172"/>
      <c r="MI211" s="172"/>
      <c r="MJ211" s="172"/>
      <c r="MK211" s="172"/>
      <c r="ML211" s="172"/>
      <c r="MM211" s="172"/>
      <c r="MN211" s="172"/>
      <c r="MO211" s="172"/>
      <c r="MP211" s="172"/>
      <c r="MQ211" s="172"/>
      <c r="MR211" s="172"/>
      <c r="MS211" s="172"/>
      <c r="MT211" s="172"/>
      <c r="MU211" s="172"/>
      <c r="MV211" s="172"/>
      <c r="MW211" s="172"/>
      <c r="MX211" s="172"/>
      <c r="MY211" s="172"/>
      <c r="MZ211" s="172"/>
      <c r="NA211" s="172"/>
      <c r="NB211" s="172"/>
      <c r="NC211" s="172"/>
      <c r="ND211" s="172"/>
      <c r="NE211" s="172"/>
      <c r="NF211" s="172"/>
      <c r="NG211" s="172"/>
      <c r="NH211" s="172"/>
      <c r="NI211" s="172"/>
      <c r="NJ211" s="172"/>
      <c r="NK211" s="172"/>
      <c r="NL211" s="172"/>
      <c r="NM211" s="172"/>
      <c r="NN211" s="172"/>
      <c r="NO211" s="172"/>
      <c r="NP211" s="172"/>
      <c r="NQ211" s="172"/>
      <c r="NR211" s="172"/>
      <c r="NS211" s="172"/>
      <c r="NT211" s="172"/>
      <c r="NU211" s="172"/>
      <c r="NV211" s="172"/>
      <c r="NW211" s="172"/>
      <c r="NX211" s="172"/>
      <c r="NY211" s="172"/>
      <c r="NZ211" s="172"/>
      <c r="OA211" s="172"/>
      <c r="OB211" s="172"/>
      <c r="OC211" s="172"/>
      <c r="OD211" s="172"/>
      <c r="OE211" s="172"/>
      <c r="OF211" s="172"/>
      <c r="OG211" s="172"/>
      <c r="OH211" s="172"/>
      <c r="OI211" s="172"/>
      <c r="OJ211" s="172"/>
      <c r="OK211" s="172"/>
      <c r="OL211" s="172"/>
      <c r="OM211" s="172"/>
      <c r="ON211" s="172"/>
      <c r="OO211" s="172"/>
      <c r="OP211" s="172"/>
      <c r="OQ211" s="172"/>
      <c r="OR211" s="172"/>
      <c r="OS211" s="172"/>
      <c r="OT211" s="172"/>
      <c r="OU211" s="172"/>
      <c r="OV211" s="172"/>
      <c r="OW211" s="172"/>
      <c r="OX211" s="172"/>
      <c r="OY211" s="172"/>
      <c r="OZ211" s="172"/>
      <c r="PA211" s="172"/>
      <c r="PB211" s="172"/>
      <c r="PC211" s="172"/>
      <c r="PD211" s="172"/>
      <c r="PE211" s="172"/>
      <c r="PF211" s="172"/>
      <c r="PG211" s="172"/>
      <c r="PH211" s="172"/>
      <c r="PI211" s="172"/>
      <c r="PJ211" s="172"/>
      <c r="PK211" s="172"/>
      <c r="PL211" s="172"/>
      <c r="PM211" s="172"/>
      <c r="PN211" s="172"/>
      <c r="PO211" s="172"/>
      <c r="PP211" s="172"/>
      <c r="PQ211" s="172"/>
      <c r="PR211" s="172"/>
      <c r="PS211" s="172"/>
      <c r="PT211" s="172"/>
      <c r="PU211" s="172"/>
      <c r="PV211" s="172"/>
      <c r="PW211" s="172"/>
      <c r="PX211" s="172"/>
      <c r="PY211" s="172"/>
      <c r="PZ211" s="172"/>
      <c r="QA211" s="172"/>
      <c r="QB211" s="172"/>
      <c r="QC211" s="172"/>
      <c r="QD211" s="172"/>
      <c r="QE211" s="172"/>
      <c r="QF211" s="172"/>
      <c r="QG211" s="172"/>
      <c r="QH211" s="172"/>
      <c r="QI211" s="172"/>
      <c r="QJ211" s="172"/>
      <c r="QK211" s="172"/>
      <c r="QL211" s="172"/>
      <c r="QM211" s="172"/>
      <c r="QN211" s="172"/>
      <c r="QO211" s="172"/>
      <c r="QP211" s="172"/>
      <c r="QQ211" s="172"/>
      <c r="QR211" s="172"/>
      <c r="QS211" s="172"/>
      <c r="QT211" s="172"/>
      <c r="QU211" s="172"/>
      <c r="QV211" s="172"/>
      <c r="QW211" s="172"/>
      <c r="QX211" s="172"/>
      <c r="QY211" s="172"/>
      <c r="QZ211" s="172"/>
      <c r="RA211" s="172"/>
      <c r="RB211" s="172"/>
      <c r="RC211" s="172"/>
      <c r="RD211" s="172"/>
      <c r="RE211" s="172"/>
      <c r="RF211" s="172"/>
      <c r="RG211" s="172"/>
      <c r="RH211" s="172"/>
      <c r="RI211" s="172"/>
      <c r="RJ211" s="172"/>
      <c r="RK211" s="172"/>
      <c r="RL211" s="172"/>
      <c r="RM211" s="172"/>
      <c r="RN211" s="172"/>
      <c r="RO211" s="172"/>
      <c r="RP211" s="172"/>
      <c r="RQ211" s="172"/>
      <c r="RR211" s="172"/>
      <c r="RS211" s="172"/>
      <c r="RT211" s="172"/>
      <c r="RU211" s="172"/>
      <c r="RV211" s="172"/>
      <c r="RW211" s="172"/>
      <c r="RX211" s="172"/>
      <c r="RY211" s="172"/>
      <c r="RZ211" s="172"/>
      <c r="SA211" s="172"/>
      <c r="SB211" s="172"/>
      <c r="SC211" s="172"/>
      <c r="SD211" s="172"/>
      <c r="SE211" s="172"/>
      <c r="SF211" s="172"/>
      <c r="SG211" s="172"/>
      <c r="SH211" s="172"/>
      <c r="SI211" s="172"/>
      <c r="SJ211" s="172"/>
      <c r="SK211" s="172"/>
      <c r="SL211" s="172"/>
      <c r="SM211" s="172"/>
      <c r="SN211" s="172"/>
      <c r="SO211" s="172"/>
      <c r="SP211" s="172"/>
      <c r="SQ211" s="172"/>
      <c r="SR211" s="172"/>
      <c r="SS211" s="172"/>
      <c r="ST211" s="172"/>
      <c r="SU211" s="172"/>
      <c r="SV211" s="172"/>
      <c r="SW211" s="172"/>
      <c r="SX211" s="172"/>
      <c r="SY211" s="172"/>
      <c r="SZ211" s="172"/>
      <c r="TA211" s="172"/>
      <c r="TB211" s="172"/>
      <c r="TC211" s="172"/>
      <c r="TD211" s="172"/>
      <c r="TE211" s="172"/>
    </row>
    <row r="212" spans="1:525" s="22" customFormat="1" ht="22.5" customHeight="1" x14ac:dyDescent="0.25">
      <c r="A212" s="56" t="s">
        <v>262</v>
      </c>
      <c r="B212" s="84" t="str">
        <f>'дод 3'!A261</f>
        <v>9770</v>
      </c>
      <c r="C212" s="84" t="str">
        <f>'дод 3'!B261</f>
        <v>0180</v>
      </c>
      <c r="D212" s="57" t="str">
        <f>'дод 3'!C261</f>
        <v>Інші субвенції з місцевого бюджету</v>
      </c>
      <c r="E212" s="139">
        <f t="shared" si="70"/>
        <v>2500000</v>
      </c>
      <c r="F212" s="139">
        <v>2500000</v>
      </c>
      <c r="G212" s="139"/>
      <c r="H212" s="139"/>
      <c r="I212" s="139"/>
      <c r="J212" s="139">
        <f t="shared" si="75"/>
        <v>0</v>
      </c>
      <c r="K212" s="139"/>
      <c r="L212" s="139"/>
      <c r="M212" s="139"/>
      <c r="N212" s="139"/>
      <c r="O212" s="139"/>
      <c r="P212" s="139">
        <f t="shared" si="71"/>
        <v>2500000</v>
      </c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</row>
    <row r="213" spans="1:525" s="27" customFormat="1" ht="31.5" x14ac:dyDescent="0.25">
      <c r="A213" s="92" t="s">
        <v>185</v>
      </c>
      <c r="B213" s="39"/>
      <c r="C213" s="39"/>
      <c r="D213" s="93" t="s">
        <v>358</v>
      </c>
      <c r="E213" s="137">
        <f>E214</f>
        <v>6035940</v>
      </c>
      <c r="F213" s="137">
        <f t="shared" ref="F213:J213" si="76">F214</f>
        <v>6035940</v>
      </c>
      <c r="G213" s="137">
        <f t="shared" si="76"/>
        <v>4368900</v>
      </c>
      <c r="H213" s="137">
        <f t="shared" si="76"/>
        <v>93500</v>
      </c>
      <c r="I213" s="137">
        <f t="shared" si="76"/>
        <v>0</v>
      </c>
      <c r="J213" s="137">
        <f t="shared" si="76"/>
        <v>0</v>
      </c>
      <c r="K213" s="137">
        <f t="shared" ref="K213" si="77">K214</f>
        <v>0</v>
      </c>
      <c r="L213" s="137">
        <f t="shared" ref="L213" si="78">L214</f>
        <v>0</v>
      </c>
      <c r="M213" s="137">
        <f t="shared" ref="M213" si="79">M214</f>
        <v>0</v>
      </c>
      <c r="N213" s="137">
        <f t="shared" ref="N213" si="80">N214</f>
        <v>0</v>
      </c>
      <c r="O213" s="137">
        <f t="shared" ref="O213:P213" si="81">O214</f>
        <v>0</v>
      </c>
      <c r="P213" s="137">
        <f t="shared" si="81"/>
        <v>6035940</v>
      </c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  <c r="IT213" s="32"/>
      <c r="IU213" s="32"/>
      <c r="IV213" s="32"/>
      <c r="IW213" s="32"/>
      <c r="IX213" s="32"/>
      <c r="IY213" s="32"/>
      <c r="IZ213" s="32"/>
      <c r="JA213" s="32"/>
      <c r="JB213" s="32"/>
      <c r="JC213" s="32"/>
      <c r="JD213" s="32"/>
      <c r="JE213" s="32"/>
      <c r="JF213" s="32"/>
      <c r="JG213" s="32"/>
      <c r="JH213" s="32"/>
      <c r="JI213" s="32"/>
      <c r="JJ213" s="32"/>
      <c r="JK213" s="32"/>
      <c r="JL213" s="32"/>
      <c r="JM213" s="32"/>
      <c r="JN213" s="32"/>
      <c r="JO213" s="32"/>
      <c r="JP213" s="32"/>
      <c r="JQ213" s="32"/>
      <c r="JR213" s="32"/>
      <c r="JS213" s="32"/>
      <c r="JT213" s="32"/>
      <c r="JU213" s="32"/>
      <c r="JV213" s="32"/>
      <c r="JW213" s="32"/>
      <c r="JX213" s="32"/>
      <c r="JY213" s="32"/>
      <c r="JZ213" s="32"/>
      <c r="KA213" s="32"/>
      <c r="KB213" s="32"/>
      <c r="KC213" s="32"/>
      <c r="KD213" s="32"/>
      <c r="KE213" s="32"/>
      <c r="KF213" s="32"/>
      <c r="KG213" s="32"/>
      <c r="KH213" s="32"/>
      <c r="KI213" s="32"/>
      <c r="KJ213" s="32"/>
      <c r="KK213" s="32"/>
      <c r="KL213" s="32"/>
      <c r="KM213" s="32"/>
      <c r="KN213" s="32"/>
      <c r="KO213" s="32"/>
      <c r="KP213" s="32"/>
      <c r="KQ213" s="32"/>
      <c r="KR213" s="32"/>
      <c r="KS213" s="32"/>
      <c r="KT213" s="32"/>
      <c r="KU213" s="32"/>
      <c r="KV213" s="32"/>
      <c r="KW213" s="32"/>
      <c r="KX213" s="32"/>
      <c r="KY213" s="32"/>
      <c r="KZ213" s="32"/>
      <c r="LA213" s="32"/>
      <c r="LB213" s="32"/>
      <c r="LC213" s="32"/>
      <c r="LD213" s="32"/>
      <c r="LE213" s="32"/>
      <c r="LF213" s="32"/>
      <c r="LG213" s="32"/>
      <c r="LH213" s="32"/>
      <c r="LI213" s="32"/>
      <c r="LJ213" s="32"/>
      <c r="LK213" s="32"/>
      <c r="LL213" s="32"/>
      <c r="LM213" s="32"/>
      <c r="LN213" s="32"/>
      <c r="LO213" s="32"/>
      <c r="LP213" s="32"/>
      <c r="LQ213" s="32"/>
      <c r="LR213" s="32"/>
      <c r="LS213" s="32"/>
      <c r="LT213" s="32"/>
      <c r="LU213" s="32"/>
      <c r="LV213" s="32"/>
      <c r="LW213" s="32"/>
      <c r="LX213" s="32"/>
      <c r="LY213" s="32"/>
      <c r="LZ213" s="32"/>
      <c r="MA213" s="32"/>
      <c r="MB213" s="32"/>
      <c r="MC213" s="32"/>
      <c r="MD213" s="32"/>
      <c r="ME213" s="32"/>
      <c r="MF213" s="32"/>
      <c r="MG213" s="32"/>
      <c r="MH213" s="32"/>
      <c r="MI213" s="32"/>
      <c r="MJ213" s="32"/>
      <c r="MK213" s="32"/>
      <c r="ML213" s="32"/>
      <c r="MM213" s="32"/>
      <c r="MN213" s="32"/>
      <c r="MO213" s="32"/>
      <c r="MP213" s="32"/>
      <c r="MQ213" s="32"/>
      <c r="MR213" s="32"/>
      <c r="MS213" s="32"/>
      <c r="MT213" s="32"/>
      <c r="MU213" s="32"/>
      <c r="MV213" s="32"/>
      <c r="MW213" s="32"/>
      <c r="MX213" s="32"/>
      <c r="MY213" s="32"/>
      <c r="MZ213" s="32"/>
      <c r="NA213" s="32"/>
      <c r="NB213" s="32"/>
      <c r="NC213" s="32"/>
      <c r="ND213" s="32"/>
      <c r="NE213" s="32"/>
      <c r="NF213" s="32"/>
      <c r="NG213" s="32"/>
      <c r="NH213" s="32"/>
      <c r="NI213" s="32"/>
      <c r="NJ213" s="32"/>
      <c r="NK213" s="32"/>
      <c r="NL213" s="32"/>
      <c r="NM213" s="32"/>
      <c r="NN213" s="32"/>
      <c r="NO213" s="32"/>
      <c r="NP213" s="32"/>
      <c r="NQ213" s="32"/>
      <c r="NR213" s="32"/>
      <c r="NS213" s="32"/>
      <c r="NT213" s="32"/>
      <c r="NU213" s="32"/>
      <c r="NV213" s="32"/>
      <c r="NW213" s="32"/>
      <c r="NX213" s="32"/>
      <c r="NY213" s="32"/>
      <c r="NZ213" s="32"/>
      <c r="OA213" s="32"/>
      <c r="OB213" s="32"/>
      <c r="OC213" s="32"/>
      <c r="OD213" s="32"/>
      <c r="OE213" s="32"/>
      <c r="OF213" s="32"/>
      <c r="OG213" s="32"/>
      <c r="OH213" s="32"/>
      <c r="OI213" s="32"/>
      <c r="OJ213" s="32"/>
      <c r="OK213" s="32"/>
      <c r="OL213" s="32"/>
      <c r="OM213" s="32"/>
      <c r="ON213" s="32"/>
      <c r="OO213" s="32"/>
      <c r="OP213" s="32"/>
      <c r="OQ213" s="32"/>
      <c r="OR213" s="32"/>
      <c r="OS213" s="32"/>
      <c r="OT213" s="32"/>
      <c r="OU213" s="32"/>
      <c r="OV213" s="32"/>
      <c r="OW213" s="32"/>
      <c r="OX213" s="32"/>
      <c r="OY213" s="32"/>
      <c r="OZ213" s="32"/>
      <c r="PA213" s="32"/>
      <c r="PB213" s="32"/>
      <c r="PC213" s="32"/>
      <c r="PD213" s="32"/>
      <c r="PE213" s="32"/>
      <c r="PF213" s="32"/>
      <c r="PG213" s="32"/>
      <c r="PH213" s="32"/>
      <c r="PI213" s="32"/>
      <c r="PJ213" s="32"/>
      <c r="PK213" s="32"/>
      <c r="PL213" s="32"/>
      <c r="PM213" s="32"/>
      <c r="PN213" s="32"/>
      <c r="PO213" s="32"/>
      <c r="PP213" s="32"/>
      <c r="PQ213" s="32"/>
      <c r="PR213" s="32"/>
      <c r="PS213" s="32"/>
      <c r="PT213" s="32"/>
      <c r="PU213" s="32"/>
      <c r="PV213" s="32"/>
      <c r="PW213" s="32"/>
      <c r="PX213" s="32"/>
      <c r="PY213" s="32"/>
      <c r="PZ213" s="32"/>
      <c r="QA213" s="32"/>
      <c r="QB213" s="32"/>
      <c r="QC213" s="32"/>
      <c r="QD213" s="32"/>
      <c r="QE213" s="32"/>
      <c r="QF213" s="32"/>
      <c r="QG213" s="32"/>
      <c r="QH213" s="32"/>
      <c r="QI213" s="32"/>
      <c r="QJ213" s="32"/>
      <c r="QK213" s="32"/>
      <c r="QL213" s="32"/>
      <c r="QM213" s="32"/>
      <c r="QN213" s="32"/>
      <c r="QO213" s="32"/>
      <c r="QP213" s="32"/>
      <c r="QQ213" s="32"/>
      <c r="QR213" s="32"/>
      <c r="QS213" s="32"/>
      <c r="QT213" s="32"/>
      <c r="QU213" s="32"/>
      <c r="QV213" s="32"/>
      <c r="QW213" s="32"/>
      <c r="QX213" s="32"/>
      <c r="QY213" s="32"/>
      <c r="QZ213" s="32"/>
      <c r="RA213" s="32"/>
      <c r="RB213" s="32"/>
      <c r="RC213" s="32"/>
      <c r="RD213" s="32"/>
      <c r="RE213" s="32"/>
      <c r="RF213" s="32"/>
      <c r="RG213" s="32"/>
      <c r="RH213" s="32"/>
      <c r="RI213" s="32"/>
      <c r="RJ213" s="32"/>
      <c r="RK213" s="32"/>
      <c r="RL213" s="32"/>
      <c r="RM213" s="32"/>
      <c r="RN213" s="32"/>
      <c r="RO213" s="32"/>
      <c r="RP213" s="32"/>
      <c r="RQ213" s="32"/>
      <c r="RR213" s="32"/>
      <c r="RS213" s="32"/>
      <c r="RT213" s="32"/>
      <c r="RU213" s="32"/>
      <c r="RV213" s="32"/>
      <c r="RW213" s="32"/>
      <c r="RX213" s="32"/>
      <c r="RY213" s="32"/>
      <c r="RZ213" s="32"/>
      <c r="SA213" s="32"/>
      <c r="SB213" s="32"/>
      <c r="SC213" s="32"/>
      <c r="SD213" s="32"/>
      <c r="SE213" s="32"/>
      <c r="SF213" s="32"/>
      <c r="SG213" s="32"/>
      <c r="SH213" s="32"/>
      <c r="SI213" s="32"/>
      <c r="SJ213" s="32"/>
      <c r="SK213" s="32"/>
      <c r="SL213" s="32"/>
      <c r="SM213" s="32"/>
      <c r="SN213" s="32"/>
      <c r="SO213" s="32"/>
      <c r="SP213" s="32"/>
      <c r="SQ213" s="32"/>
      <c r="SR213" s="32"/>
      <c r="SS213" s="32"/>
      <c r="ST213" s="32"/>
      <c r="SU213" s="32"/>
      <c r="SV213" s="32"/>
      <c r="SW213" s="32"/>
      <c r="SX213" s="32"/>
      <c r="SY213" s="32"/>
      <c r="SZ213" s="32"/>
      <c r="TA213" s="32"/>
      <c r="TB213" s="32"/>
      <c r="TC213" s="32"/>
      <c r="TD213" s="32"/>
      <c r="TE213" s="32"/>
    </row>
    <row r="214" spans="1:525" s="34" customFormat="1" ht="31.5" x14ac:dyDescent="0.25">
      <c r="A214" s="94" t="s">
        <v>186</v>
      </c>
      <c r="B214" s="68"/>
      <c r="C214" s="68"/>
      <c r="D214" s="70" t="s">
        <v>358</v>
      </c>
      <c r="E214" s="138">
        <f>E216+E217+E218+E220+E219</f>
        <v>6035940</v>
      </c>
      <c r="F214" s="138">
        <f t="shared" ref="F214:P214" si="82">F216+F217+F218+F220+F219</f>
        <v>6035940</v>
      </c>
      <c r="G214" s="138">
        <f t="shared" si="82"/>
        <v>4368900</v>
      </c>
      <c r="H214" s="138">
        <f t="shared" si="82"/>
        <v>93500</v>
      </c>
      <c r="I214" s="138">
        <f t="shared" si="82"/>
        <v>0</v>
      </c>
      <c r="J214" s="138">
        <f t="shared" si="82"/>
        <v>0</v>
      </c>
      <c r="K214" s="138">
        <f t="shared" si="82"/>
        <v>0</v>
      </c>
      <c r="L214" s="138">
        <f t="shared" si="82"/>
        <v>0</v>
      </c>
      <c r="M214" s="138">
        <f t="shared" si="82"/>
        <v>0</v>
      </c>
      <c r="N214" s="138">
        <f t="shared" si="82"/>
        <v>0</v>
      </c>
      <c r="O214" s="138">
        <f t="shared" si="82"/>
        <v>0</v>
      </c>
      <c r="P214" s="138">
        <f t="shared" si="82"/>
        <v>6035940</v>
      </c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  <c r="IV214" s="33"/>
      <c r="IW214" s="33"/>
      <c r="IX214" s="33"/>
      <c r="IY214" s="33"/>
      <c r="IZ214" s="33"/>
      <c r="JA214" s="33"/>
      <c r="JB214" s="33"/>
      <c r="JC214" s="33"/>
      <c r="JD214" s="33"/>
      <c r="JE214" s="33"/>
      <c r="JF214" s="33"/>
      <c r="JG214" s="33"/>
      <c r="JH214" s="33"/>
      <c r="JI214" s="33"/>
      <c r="JJ214" s="33"/>
      <c r="JK214" s="33"/>
      <c r="JL214" s="33"/>
      <c r="JM214" s="33"/>
      <c r="JN214" s="33"/>
      <c r="JO214" s="33"/>
      <c r="JP214" s="33"/>
      <c r="JQ214" s="33"/>
      <c r="JR214" s="33"/>
      <c r="JS214" s="33"/>
      <c r="JT214" s="33"/>
      <c r="JU214" s="33"/>
      <c r="JV214" s="33"/>
      <c r="JW214" s="33"/>
      <c r="JX214" s="33"/>
      <c r="JY214" s="33"/>
      <c r="JZ214" s="33"/>
      <c r="KA214" s="33"/>
      <c r="KB214" s="33"/>
      <c r="KC214" s="33"/>
      <c r="KD214" s="33"/>
      <c r="KE214" s="33"/>
      <c r="KF214" s="33"/>
      <c r="KG214" s="33"/>
      <c r="KH214" s="33"/>
      <c r="KI214" s="33"/>
      <c r="KJ214" s="33"/>
      <c r="KK214" s="33"/>
      <c r="KL214" s="33"/>
      <c r="KM214" s="33"/>
      <c r="KN214" s="33"/>
      <c r="KO214" s="33"/>
      <c r="KP214" s="33"/>
      <c r="KQ214" s="33"/>
      <c r="KR214" s="33"/>
      <c r="KS214" s="33"/>
      <c r="KT214" s="33"/>
      <c r="KU214" s="33"/>
      <c r="KV214" s="33"/>
      <c r="KW214" s="33"/>
      <c r="KX214" s="33"/>
      <c r="KY214" s="33"/>
      <c r="KZ214" s="33"/>
      <c r="LA214" s="33"/>
      <c r="LB214" s="33"/>
      <c r="LC214" s="33"/>
      <c r="LD214" s="33"/>
      <c r="LE214" s="33"/>
      <c r="LF214" s="33"/>
      <c r="LG214" s="33"/>
      <c r="LH214" s="33"/>
      <c r="LI214" s="33"/>
      <c r="LJ214" s="33"/>
      <c r="LK214" s="33"/>
      <c r="LL214" s="33"/>
      <c r="LM214" s="33"/>
      <c r="LN214" s="33"/>
      <c r="LO214" s="33"/>
      <c r="LP214" s="33"/>
      <c r="LQ214" s="33"/>
      <c r="LR214" s="33"/>
      <c r="LS214" s="33"/>
      <c r="LT214" s="33"/>
      <c r="LU214" s="33"/>
      <c r="LV214" s="33"/>
      <c r="LW214" s="33"/>
      <c r="LX214" s="33"/>
      <c r="LY214" s="33"/>
      <c r="LZ214" s="33"/>
      <c r="MA214" s="33"/>
      <c r="MB214" s="33"/>
      <c r="MC214" s="33"/>
      <c r="MD214" s="33"/>
      <c r="ME214" s="33"/>
      <c r="MF214" s="33"/>
      <c r="MG214" s="33"/>
      <c r="MH214" s="33"/>
      <c r="MI214" s="33"/>
      <c r="MJ214" s="33"/>
      <c r="MK214" s="33"/>
      <c r="ML214" s="33"/>
      <c r="MM214" s="33"/>
      <c r="MN214" s="33"/>
      <c r="MO214" s="33"/>
      <c r="MP214" s="33"/>
      <c r="MQ214" s="33"/>
      <c r="MR214" s="33"/>
      <c r="MS214" s="33"/>
      <c r="MT214" s="33"/>
      <c r="MU214" s="33"/>
      <c r="MV214" s="33"/>
      <c r="MW214" s="33"/>
      <c r="MX214" s="33"/>
      <c r="MY214" s="33"/>
      <c r="MZ214" s="33"/>
      <c r="NA214" s="33"/>
      <c r="NB214" s="33"/>
      <c r="NC214" s="33"/>
      <c r="ND214" s="33"/>
      <c r="NE214" s="33"/>
      <c r="NF214" s="33"/>
      <c r="NG214" s="33"/>
      <c r="NH214" s="33"/>
      <c r="NI214" s="33"/>
      <c r="NJ214" s="33"/>
      <c r="NK214" s="33"/>
      <c r="NL214" s="33"/>
      <c r="NM214" s="33"/>
      <c r="NN214" s="33"/>
      <c r="NO214" s="33"/>
      <c r="NP214" s="33"/>
      <c r="NQ214" s="33"/>
      <c r="NR214" s="33"/>
      <c r="NS214" s="33"/>
      <c r="NT214" s="33"/>
      <c r="NU214" s="33"/>
      <c r="NV214" s="33"/>
      <c r="NW214" s="33"/>
      <c r="NX214" s="33"/>
      <c r="NY214" s="33"/>
      <c r="NZ214" s="33"/>
      <c r="OA214" s="33"/>
      <c r="OB214" s="33"/>
      <c r="OC214" s="33"/>
      <c r="OD214" s="33"/>
      <c r="OE214" s="33"/>
      <c r="OF214" s="33"/>
      <c r="OG214" s="33"/>
      <c r="OH214" s="33"/>
      <c r="OI214" s="33"/>
      <c r="OJ214" s="33"/>
      <c r="OK214" s="33"/>
      <c r="OL214" s="33"/>
      <c r="OM214" s="33"/>
      <c r="ON214" s="33"/>
      <c r="OO214" s="33"/>
      <c r="OP214" s="33"/>
      <c r="OQ214" s="33"/>
      <c r="OR214" s="33"/>
      <c r="OS214" s="33"/>
      <c r="OT214" s="33"/>
      <c r="OU214" s="33"/>
      <c r="OV214" s="33"/>
      <c r="OW214" s="33"/>
      <c r="OX214" s="33"/>
      <c r="OY214" s="33"/>
      <c r="OZ214" s="33"/>
      <c r="PA214" s="33"/>
      <c r="PB214" s="33"/>
      <c r="PC214" s="33"/>
      <c r="PD214" s="33"/>
      <c r="PE214" s="33"/>
      <c r="PF214" s="33"/>
      <c r="PG214" s="33"/>
      <c r="PH214" s="33"/>
      <c r="PI214" s="33"/>
      <c r="PJ214" s="33"/>
      <c r="PK214" s="33"/>
      <c r="PL214" s="33"/>
      <c r="PM214" s="33"/>
      <c r="PN214" s="33"/>
      <c r="PO214" s="33"/>
      <c r="PP214" s="33"/>
      <c r="PQ214" s="33"/>
      <c r="PR214" s="33"/>
      <c r="PS214" s="33"/>
      <c r="PT214" s="33"/>
      <c r="PU214" s="33"/>
      <c r="PV214" s="33"/>
      <c r="PW214" s="33"/>
      <c r="PX214" s="33"/>
      <c r="PY214" s="33"/>
      <c r="PZ214" s="33"/>
      <c r="QA214" s="33"/>
      <c r="QB214" s="33"/>
      <c r="QC214" s="33"/>
      <c r="QD214" s="33"/>
      <c r="QE214" s="33"/>
      <c r="QF214" s="33"/>
      <c r="QG214" s="33"/>
      <c r="QH214" s="33"/>
      <c r="QI214" s="33"/>
      <c r="QJ214" s="33"/>
      <c r="QK214" s="33"/>
      <c r="QL214" s="33"/>
      <c r="QM214" s="33"/>
      <c r="QN214" s="33"/>
      <c r="QO214" s="33"/>
      <c r="QP214" s="33"/>
      <c r="QQ214" s="33"/>
      <c r="QR214" s="33"/>
      <c r="QS214" s="33"/>
      <c r="QT214" s="33"/>
      <c r="QU214" s="33"/>
      <c r="QV214" s="33"/>
      <c r="QW214" s="33"/>
      <c r="QX214" s="33"/>
      <c r="QY214" s="33"/>
      <c r="QZ214" s="33"/>
      <c r="RA214" s="33"/>
      <c r="RB214" s="33"/>
      <c r="RC214" s="33"/>
      <c r="RD214" s="33"/>
      <c r="RE214" s="33"/>
      <c r="RF214" s="33"/>
      <c r="RG214" s="33"/>
      <c r="RH214" s="33"/>
      <c r="RI214" s="33"/>
      <c r="RJ214" s="33"/>
      <c r="RK214" s="33"/>
      <c r="RL214" s="33"/>
      <c r="RM214" s="33"/>
      <c r="RN214" s="33"/>
      <c r="RO214" s="33"/>
      <c r="RP214" s="33"/>
      <c r="RQ214" s="33"/>
      <c r="RR214" s="33"/>
      <c r="RS214" s="33"/>
      <c r="RT214" s="33"/>
      <c r="RU214" s="33"/>
      <c r="RV214" s="33"/>
      <c r="RW214" s="33"/>
      <c r="RX214" s="33"/>
      <c r="RY214" s="33"/>
      <c r="RZ214" s="33"/>
      <c r="SA214" s="33"/>
      <c r="SB214" s="33"/>
      <c r="SC214" s="33"/>
      <c r="SD214" s="33"/>
      <c r="SE214" s="33"/>
      <c r="SF214" s="33"/>
      <c r="SG214" s="33"/>
      <c r="SH214" s="33"/>
      <c r="SI214" s="33"/>
      <c r="SJ214" s="33"/>
      <c r="SK214" s="33"/>
      <c r="SL214" s="33"/>
      <c r="SM214" s="33"/>
      <c r="SN214" s="33"/>
      <c r="SO214" s="33"/>
      <c r="SP214" s="33"/>
      <c r="SQ214" s="33"/>
      <c r="SR214" s="33"/>
      <c r="SS214" s="33"/>
      <c r="ST214" s="33"/>
      <c r="SU214" s="33"/>
      <c r="SV214" s="33"/>
      <c r="SW214" s="33"/>
      <c r="SX214" s="33"/>
      <c r="SY214" s="33"/>
      <c r="SZ214" s="33"/>
      <c r="TA214" s="33"/>
      <c r="TB214" s="33"/>
      <c r="TC214" s="33"/>
      <c r="TD214" s="33"/>
      <c r="TE214" s="33"/>
    </row>
    <row r="215" spans="1:525" s="34" customFormat="1" ht="141.75" hidden="1" customHeight="1" x14ac:dyDescent="0.25">
      <c r="A215" s="94"/>
      <c r="B215" s="68"/>
      <c r="C215" s="68"/>
      <c r="D215" s="124" t="s">
        <v>574</v>
      </c>
      <c r="E215" s="138">
        <f>E221</f>
        <v>0</v>
      </c>
      <c r="F215" s="138">
        <f t="shared" ref="F215:P215" si="83">F221</f>
        <v>0</v>
      </c>
      <c r="G215" s="138">
        <f t="shared" si="83"/>
        <v>0</v>
      </c>
      <c r="H215" s="138">
        <f t="shared" si="83"/>
        <v>0</v>
      </c>
      <c r="I215" s="138">
        <f t="shared" si="83"/>
        <v>0</v>
      </c>
      <c r="J215" s="138">
        <f t="shared" si="83"/>
        <v>0</v>
      </c>
      <c r="K215" s="138">
        <f t="shared" si="83"/>
        <v>0</v>
      </c>
      <c r="L215" s="138">
        <f t="shared" si="83"/>
        <v>0</v>
      </c>
      <c r="M215" s="138">
        <f t="shared" si="83"/>
        <v>0</v>
      </c>
      <c r="N215" s="138">
        <f t="shared" si="83"/>
        <v>0</v>
      </c>
      <c r="O215" s="138">
        <f t="shared" si="83"/>
        <v>0</v>
      </c>
      <c r="P215" s="138">
        <f t="shared" si="83"/>
        <v>0</v>
      </c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  <c r="IW215" s="33"/>
      <c r="IX215" s="33"/>
      <c r="IY215" s="33"/>
      <c r="IZ215" s="33"/>
      <c r="JA215" s="33"/>
      <c r="JB215" s="33"/>
      <c r="JC215" s="33"/>
      <c r="JD215" s="33"/>
      <c r="JE215" s="33"/>
      <c r="JF215" s="33"/>
      <c r="JG215" s="33"/>
      <c r="JH215" s="33"/>
      <c r="JI215" s="33"/>
      <c r="JJ215" s="33"/>
      <c r="JK215" s="33"/>
      <c r="JL215" s="33"/>
      <c r="JM215" s="33"/>
      <c r="JN215" s="33"/>
      <c r="JO215" s="33"/>
      <c r="JP215" s="33"/>
      <c r="JQ215" s="33"/>
      <c r="JR215" s="33"/>
      <c r="JS215" s="33"/>
      <c r="JT215" s="33"/>
      <c r="JU215" s="33"/>
      <c r="JV215" s="33"/>
      <c r="JW215" s="33"/>
      <c r="JX215" s="33"/>
      <c r="JY215" s="33"/>
      <c r="JZ215" s="33"/>
      <c r="KA215" s="33"/>
      <c r="KB215" s="33"/>
      <c r="KC215" s="33"/>
      <c r="KD215" s="33"/>
      <c r="KE215" s="33"/>
      <c r="KF215" s="33"/>
      <c r="KG215" s="33"/>
      <c r="KH215" s="33"/>
      <c r="KI215" s="33"/>
      <c r="KJ215" s="33"/>
      <c r="KK215" s="33"/>
      <c r="KL215" s="33"/>
      <c r="KM215" s="33"/>
      <c r="KN215" s="33"/>
      <c r="KO215" s="33"/>
      <c r="KP215" s="33"/>
      <c r="KQ215" s="33"/>
      <c r="KR215" s="33"/>
      <c r="KS215" s="33"/>
      <c r="KT215" s="33"/>
      <c r="KU215" s="33"/>
      <c r="KV215" s="33"/>
      <c r="KW215" s="33"/>
      <c r="KX215" s="33"/>
      <c r="KY215" s="33"/>
      <c r="KZ215" s="33"/>
      <c r="LA215" s="33"/>
      <c r="LB215" s="33"/>
      <c r="LC215" s="33"/>
      <c r="LD215" s="33"/>
      <c r="LE215" s="33"/>
      <c r="LF215" s="33"/>
      <c r="LG215" s="33"/>
      <c r="LH215" s="33"/>
      <c r="LI215" s="33"/>
      <c r="LJ215" s="33"/>
      <c r="LK215" s="33"/>
      <c r="LL215" s="33"/>
      <c r="LM215" s="33"/>
      <c r="LN215" s="33"/>
      <c r="LO215" s="33"/>
      <c r="LP215" s="33"/>
      <c r="LQ215" s="33"/>
      <c r="LR215" s="33"/>
      <c r="LS215" s="33"/>
      <c r="LT215" s="33"/>
      <c r="LU215" s="33"/>
      <c r="LV215" s="33"/>
      <c r="LW215" s="33"/>
      <c r="LX215" s="33"/>
      <c r="LY215" s="33"/>
      <c r="LZ215" s="33"/>
      <c r="MA215" s="33"/>
      <c r="MB215" s="33"/>
      <c r="MC215" s="33"/>
      <c r="MD215" s="33"/>
      <c r="ME215" s="33"/>
      <c r="MF215" s="33"/>
      <c r="MG215" s="33"/>
      <c r="MH215" s="33"/>
      <c r="MI215" s="33"/>
      <c r="MJ215" s="33"/>
      <c r="MK215" s="33"/>
      <c r="ML215" s="33"/>
      <c r="MM215" s="33"/>
      <c r="MN215" s="33"/>
      <c r="MO215" s="33"/>
      <c r="MP215" s="33"/>
      <c r="MQ215" s="33"/>
      <c r="MR215" s="33"/>
      <c r="MS215" s="33"/>
      <c r="MT215" s="33"/>
      <c r="MU215" s="33"/>
      <c r="MV215" s="33"/>
      <c r="MW215" s="33"/>
      <c r="MX215" s="33"/>
      <c r="MY215" s="33"/>
      <c r="MZ215" s="33"/>
      <c r="NA215" s="33"/>
      <c r="NB215" s="33"/>
      <c r="NC215" s="33"/>
      <c r="ND215" s="33"/>
      <c r="NE215" s="33"/>
      <c r="NF215" s="33"/>
      <c r="NG215" s="33"/>
      <c r="NH215" s="33"/>
      <c r="NI215" s="33"/>
      <c r="NJ215" s="33"/>
      <c r="NK215" s="33"/>
      <c r="NL215" s="33"/>
      <c r="NM215" s="33"/>
      <c r="NN215" s="33"/>
      <c r="NO215" s="33"/>
      <c r="NP215" s="33"/>
      <c r="NQ215" s="33"/>
      <c r="NR215" s="33"/>
      <c r="NS215" s="33"/>
      <c r="NT215" s="33"/>
      <c r="NU215" s="33"/>
      <c r="NV215" s="33"/>
      <c r="NW215" s="33"/>
      <c r="NX215" s="33"/>
      <c r="NY215" s="33"/>
      <c r="NZ215" s="33"/>
      <c r="OA215" s="33"/>
      <c r="OB215" s="33"/>
      <c r="OC215" s="33"/>
      <c r="OD215" s="33"/>
      <c r="OE215" s="33"/>
      <c r="OF215" s="33"/>
      <c r="OG215" s="33"/>
      <c r="OH215" s="33"/>
      <c r="OI215" s="33"/>
      <c r="OJ215" s="33"/>
      <c r="OK215" s="33"/>
      <c r="OL215" s="33"/>
      <c r="OM215" s="33"/>
      <c r="ON215" s="33"/>
      <c r="OO215" s="33"/>
      <c r="OP215" s="33"/>
      <c r="OQ215" s="33"/>
      <c r="OR215" s="33"/>
      <c r="OS215" s="33"/>
      <c r="OT215" s="33"/>
      <c r="OU215" s="33"/>
      <c r="OV215" s="33"/>
      <c r="OW215" s="33"/>
      <c r="OX215" s="33"/>
      <c r="OY215" s="33"/>
      <c r="OZ215" s="33"/>
      <c r="PA215" s="33"/>
      <c r="PB215" s="33"/>
      <c r="PC215" s="33"/>
      <c r="PD215" s="33"/>
      <c r="PE215" s="33"/>
      <c r="PF215" s="33"/>
      <c r="PG215" s="33"/>
      <c r="PH215" s="33"/>
      <c r="PI215" s="33"/>
      <c r="PJ215" s="33"/>
      <c r="PK215" s="33"/>
      <c r="PL215" s="33"/>
      <c r="PM215" s="33"/>
      <c r="PN215" s="33"/>
      <c r="PO215" s="33"/>
      <c r="PP215" s="33"/>
      <c r="PQ215" s="33"/>
      <c r="PR215" s="33"/>
      <c r="PS215" s="33"/>
      <c r="PT215" s="33"/>
      <c r="PU215" s="33"/>
      <c r="PV215" s="33"/>
      <c r="PW215" s="33"/>
      <c r="PX215" s="33"/>
      <c r="PY215" s="33"/>
      <c r="PZ215" s="33"/>
      <c r="QA215" s="33"/>
      <c r="QB215" s="33"/>
      <c r="QC215" s="33"/>
      <c r="QD215" s="33"/>
      <c r="QE215" s="33"/>
      <c r="QF215" s="33"/>
      <c r="QG215" s="33"/>
      <c r="QH215" s="33"/>
      <c r="QI215" s="33"/>
      <c r="QJ215" s="33"/>
      <c r="QK215" s="33"/>
      <c r="QL215" s="33"/>
      <c r="QM215" s="33"/>
      <c r="QN215" s="33"/>
      <c r="QO215" s="33"/>
      <c r="QP215" s="33"/>
      <c r="QQ215" s="33"/>
      <c r="QR215" s="33"/>
      <c r="QS215" s="33"/>
      <c r="QT215" s="33"/>
      <c r="QU215" s="33"/>
      <c r="QV215" s="33"/>
      <c r="QW215" s="33"/>
      <c r="QX215" s="33"/>
      <c r="QY215" s="33"/>
      <c r="QZ215" s="33"/>
      <c r="RA215" s="33"/>
      <c r="RB215" s="33"/>
      <c r="RC215" s="33"/>
      <c r="RD215" s="33"/>
      <c r="RE215" s="33"/>
      <c r="RF215" s="33"/>
      <c r="RG215" s="33"/>
      <c r="RH215" s="33"/>
      <c r="RI215" s="33"/>
      <c r="RJ215" s="33"/>
      <c r="RK215" s="33"/>
      <c r="RL215" s="33"/>
      <c r="RM215" s="33"/>
      <c r="RN215" s="33"/>
      <c r="RO215" s="33"/>
      <c r="RP215" s="33"/>
      <c r="RQ215" s="33"/>
      <c r="RR215" s="33"/>
      <c r="RS215" s="33"/>
      <c r="RT215" s="33"/>
      <c r="RU215" s="33"/>
      <c r="RV215" s="33"/>
      <c r="RW215" s="33"/>
      <c r="RX215" s="33"/>
      <c r="RY215" s="33"/>
      <c r="RZ215" s="33"/>
      <c r="SA215" s="33"/>
      <c r="SB215" s="33"/>
      <c r="SC215" s="33"/>
      <c r="SD215" s="33"/>
      <c r="SE215" s="33"/>
      <c r="SF215" s="33"/>
      <c r="SG215" s="33"/>
      <c r="SH215" s="33"/>
      <c r="SI215" s="33"/>
      <c r="SJ215" s="33"/>
      <c r="SK215" s="33"/>
      <c r="SL215" s="33"/>
      <c r="SM215" s="33"/>
      <c r="SN215" s="33"/>
      <c r="SO215" s="33"/>
      <c r="SP215" s="33"/>
      <c r="SQ215" s="33"/>
      <c r="SR215" s="33"/>
      <c r="SS215" s="33"/>
      <c r="ST215" s="33"/>
      <c r="SU215" s="33"/>
      <c r="SV215" s="33"/>
      <c r="SW215" s="33"/>
      <c r="SX215" s="33"/>
      <c r="SY215" s="33"/>
      <c r="SZ215" s="33"/>
      <c r="TA215" s="33"/>
      <c r="TB215" s="33"/>
      <c r="TC215" s="33"/>
      <c r="TD215" s="33"/>
      <c r="TE215" s="33"/>
    </row>
    <row r="216" spans="1:525" s="22" customFormat="1" ht="47.25" x14ac:dyDescent="0.25">
      <c r="A216" s="56" t="s">
        <v>187</v>
      </c>
      <c r="B216" s="84" t="str">
        <f>'дод 3'!A19</f>
        <v>0160</v>
      </c>
      <c r="C216" s="84" t="str">
        <f>'дод 3'!B19</f>
        <v>0111</v>
      </c>
      <c r="D216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216" s="139">
        <f t="shared" ref="E216:E221" si="84">F216+I216</f>
        <v>5613200</v>
      </c>
      <c r="F216" s="139">
        <f>6088900-475700</f>
        <v>5613200</v>
      </c>
      <c r="G216" s="139">
        <f>4758800-389900</f>
        <v>4368900</v>
      </c>
      <c r="H216" s="139">
        <v>93500</v>
      </c>
      <c r="I216" s="139"/>
      <c r="J216" s="139">
        <f>L216+O216</f>
        <v>0</v>
      </c>
      <c r="K216" s="139">
        <f>12000-12000</f>
        <v>0</v>
      </c>
      <c r="L216" s="139"/>
      <c r="M216" s="139"/>
      <c r="N216" s="139"/>
      <c r="O216" s="139">
        <f>12000-12000</f>
        <v>0</v>
      </c>
      <c r="P216" s="139">
        <f t="shared" ref="P216:P221" si="85">E216+J216</f>
        <v>5613200</v>
      </c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</row>
    <row r="217" spans="1:525" s="22" customFormat="1" ht="78" customHeight="1" x14ac:dyDescent="0.25">
      <c r="A217" s="56" t="s">
        <v>329</v>
      </c>
      <c r="B217" s="84">
        <v>3111</v>
      </c>
      <c r="C217" s="84">
        <v>1040</v>
      </c>
      <c r="D217" s="36" t="str">
        <f>'дод 3'!C121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17" s="139">
        <f t="shared" si="84"/>
        <v>227280</v>
      </c>
      <c r="F217" s="139">
        <v>227280</v>
      </c>
      <c r="G217" s="139"/>
      <c r="H217" s="139"/>
      <c r="I217" s="139"/>
      <c r="J217" s="139">
        <f t="shared" ref="J217:J221" si="86">L217+O217</f>
        <v>0</v>
      </c>
      <c r="K217" s="139">
        <f>21140-21140</f>
        <v>0</v>
      </c>
      <c r="L217" s="139"/>
      <c r="M217" s="139"/>
      <c r="N217" s="139"/>
      <c r="O217" s="139">
        <f>21140-21140</f>
        <v>0</v>
      </c>
      <c r="P217" s="139">
        <f t="shared" si="85"/>
        <v>227280</v>
      </c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</row>
    <row r="218" spans="1:525" s="22" customFormat="1" ht="31.5" customHeight="1" x14ac:dyDescent="0.25">
      <c r="A218" s="56" t="s">
        <v>188</v>
      </c>
      <c r="B218" s="84" t="str">
        <f>'дод 3'!A122</f>
        <v>3112</v>
      </c>
      <c r="C218" s="84" t="str">
        <f>'дод 3'!B122</f>
        <v>1040</v>
      </c>
      <c r="D218" s="57" t="str">
        <f>'дод 3'!C122</f>
        <v>Заходи державної політики з питань дітей та їх соціального захисту</v>
      </c>
      <c r="E218" s="139">
        <f t="shared" si="84"/>
        <v>195460</v>
      </c>
      <c r="F218" s="139">
        <f>101100+94360</f>
        <v>195460</v>
      </c>
      <c r="G218" s="139"/>
      <c r="H218" s="139"/>
      <c r="I218" s="139"/>
      <c r="J218" s="139">
        <f t="shared" si="86"/>
        <v>0</v>
      </c>
      <c r="K218" s="139"/>
      <c r="L218" s="139"/>
      <c r="M218" s="139"/>
      <c r="N218" s="139"/>
      <c r="O218" s="139"/>
      <c r="P218" s="139">
        <f t="shared" si="85"/>
        <v>195460</v>
      </c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</row>
    <row r="219" spans="1:525" s="22" customFormat="1" ht="31.5" hidden="1" customHeight="1" x14ac:dyDescent="0.25">
      <c r="A219" s="56" t="s">
        <v>586</v>
      </c>
      <c r="B219" s="84">
        <v>3242</v>
      </c>
      <c r="C219" s="37" t="s">
        <v>55</v>
      </c>
      <c r="D219" s="3" t="s">
        <v>406</v>
      </c>
      <c r="E219" s="139">
        <f t="shared" si="84"/>
        <v>0</v>
      </c>
      <c r="F219" s="139"/>
      <c r="G219" s="139"/>
      <c r="H219" s="139"/>
      <c r="I219" s="139"/>
      <c r="J219" s="139">
        <f t="shared" si="86"/>
        <v>0</v>
      </c>
      <c r="K219" s="139"/>
      <c r="L219" s="139"/>
      <c r="M219" s="139"/>
      <c r="N219" s="139"/>
      <c r="O219" s="139"/>
      <c r="P219" s="139">
        <f t="shared" si="85"/>
        <v>0</v>
      </c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</row>
    <row r="220" spans="1:525" s="22" customFormat="1" ht="94.5" hidden="1" customHeight="1" x14ac:dyDescent="0.25">
      <c r="A220" s="56" t="s">
        <v>427</v>
      </c>
      <c r="B220" s="84">
        <v>6083</v>
      </c>
      <c r="C220" s="56" t="s">
        <v>67</v>
      </c>
      <c r="D220" s="11" t="s">
        <v>428</v>
      </c>
      <c r="E220" s="139">
        <f t="shared" si="84"/>
        <v>0</v>
      </c>
      <c r="F220" s="139"/>
      <c r="G220" s="139"/>
      <c r="H220" s="139"/>
      <c r="I220" s="139"/>
      <c r="J220" s="139">
        <f t="shared" si="86"/>
        <v>0</v>
      </c>
      <c r="K220" s="139"/>
      <c r="L220" s="139"/>
      <c r="M220" s="139"/>
      <c r="N220" s="139"/>
      <c r="O220" s="139"/>
      <c r="P220" s="139">
        <f t="shared" si="85"/>
        <v>0</v>
      </c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</row>
    <row r="221" spans="1:525" s="24" customFormat="1" ht="138.75" hidden="1" customHeight="1" x14ac:dyDescent="0.25">
      <c r="A221" s="76"/>
      <c r="B221" s="97"/>
      <c r="C221" s="76"/>
      <c r="D221" s="82" t="s">
        <v>574</v>
      </c>
      <c r="E221" s="139">
        <f t="shared" si="84"/>
        <v>0</v>
      </c>
      <c r="F221" s="140"/>
      <c r="G221" s="140"/>
      <c r="H221" s="140"/>
      <c r="I221" s="140"/>
      <c r="J221" s="139">
        <f t="shared" si="86"/>
        <v>0</v>
      </c>
      <c r="K221" s="140"/>
      <c r="L221" s="140"/>
      <c r="M221" s="140"/>
      <c r="N221" s="140"/>
      <c r="O221" s="140"/>
      <c r="P221" s="139">
        <f t="shared" si="85"/>
        <v>0</v>
      </c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  <c r="SO221" s="30"/>
      <c r="SP221" s="30"/>
      <c r="SQ221" s="30"/>
      <c r="SR221" s="30"/>
      <c r="SS221" s="30"/>
      <c r="ST221" s="30"/>
      <c r="SU221" s="30"/>
      <c r="SV221" s="30"/>
      <c r="SW221" s="30"/>
      <c r="SX221" s="30"/>
      <c r="SY221" s="30"/>
      <c r="SZ221" s="30"/>
      <c r="TA221" s="30"/>
      <c r="TB221" s="30"/>
      <c r="TC221" s="30"/>
      <c r="TD221" s="30"/>
      <c r="TE221" s="30"/>
    </row>
    <row r="222" spans="1:525" s="27" customFormat="1" ht="22.5" customHeight="1" x14ac:dyDescent="0.25">
      <c r="A222" s="96" t="s">
        <v>25</v>
      </c>
      <c r="B222" s="98"/>
      <c r="C222" s="98"/>
      <c r="D222" s="93" t="s">
        <v>330</v>
      </c>
      <c r="E222" s="137">
        <f>E223</f>
        <v>92036100</v>
      </c>
      <c r="F222" s="137">
        <f t="shared" ref="F222:J222" si="87">F223</f>
        <v>92036100</v>
      </c>
      <c r="G222" s="137">
        <f t="shared" si="87"/>
        <v>67371900</v>
      </c>
      <c r="H222" s="137">
        <f t="shared" si="87"/>
        <v>4516350</v>
      </c>
      <c r="I222" s="137">
        <f t="shared" si="87"/>
        <v>0</v>
      </c>
      <c r="J222" s="137">
        <f t="shared" si="87"/>
        <v>3663070</v>
      </c>
      <c r="K222" s="137">
        <f t="shared" ref="K222" si="88">K223</f>
        <v>750000</v>
      </c>
      <c r="L222" s="137">
        <f t="shared" ref="L222" si="89">L223</f>
        <v>2909940</v>
      </c>
      <c r="M222" s="137">
        <f t="shared" ref="M222" si="90">M223</f>
        <v>2360710</v>
      </c>
      <c r="N222" s="137">
        <f t="shared" ref="N222" si="91">N223</f>
        <v>3300</v>
      </c>
      <c r="O222" s="137">
        <f t="shared" ref="O222:P222" si="92">O223</f>
        <v>753130</v>
      </c>
      <c r="P222" s="137">
        <f t="shared" si="92"/>
        <v>95699170</v>
      </c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  <c r="IP222" s="32"/>
      <c r="IQ222" s="32"/>
      <c r="IR222" s="32"/>
      <c r="IS222" s="32"/>
      <c r="IT222" s="32"/>
      <c r="IU222" s="32"/>
      <c r="IV222" s="32"/>
      <c r="IW222" s="32"/>
      <c r="IX222" s="32"/>
      <c r="IY222" s="32"/>
      <c r="IZ222" s="32"/>
      <c r="JA222" s="32"/>
      <c r="JB222" s="32"/>
      <c r="JC222" s="32"/>
      <c r="JD222" s="32"/>
      <c r="JE222" s="32"/>
      <c r="JF222" s="32"/>
      <c r="JG222" s="32"/>
      <c r="JH222" s="32"/>
      <c r="JI222" s="32"/>
      <c r="JJ222" s="32"/>
      <c r="JK222" s="32"/>
      <c r="JL222" s="32"/>
      <c r="JM222" s="32"/>
      <c r="JN222" s="32"/>
      <c r="JO222" s="32"/>
      <c r="JP222" s="32"/>
      <c r="JQ222" s="32"/>
      <c r="JR222" s="32"/>
      <c r="JS222" s="32"/>
      <c r="JT222" s="32"/>
      <c r="JU222" s="32"/>
      <c r="JV222" s="32"/>
      <c r="JW222" s="32"/>
      <c r="JX222" s="32"/>
      <c r="JY222" s="32"/>
      <c r="JZ222" s="32"/>
      <c r="KA222" s="32"/>
      <c r="KB222" s="32"/>
      <c r="KC222" s="32"/>
      <c r="KD222" s="32"/>
      <c r="KE222" s="32"/>
      <c r="KF222" s="32"/>
      <c r="KG222" s="32"/>
      <c r="KH222" s="32"/>
      <c r="KI222" s="32"/>
      <c r="KJ222" s="32"/>
      <c r="KK222" s="32"/>
      <c r="KL222" s="32"/>
      <c r="KM222" s="32"/>
      <c r="KN222" s="32"/>
      <c r="KO222" s="32"/>
      <c r="KP222" s="32"/>
      <c r="KQ222" s="32"/>
      <c r="KR222" s="32"/>
      <c r="KS222" s="32"/>
      <c r="KT222" s="32"/>
      <c r="KU222" s="32"/>
      <c r="KV222" s="32"/>
      <c r="KW222" s="32"/>
      <c r="KX222" s="32"/>
      <c r="KY222" s="32"/>
      <c r="KZ222" s="32"/>
      <c r="LA222" s="32"/>
      <c r="LB222" s="32"/>
      <c r="LC222" s="32"/>
      <c r="LD222" s="32"/>
      <c r="LE222" s="32"/>
      <c r="LF222" s="32"/>
      <c r="LG222" s="32"/>
      <c r="LH222" s="32"/>
      <c r="LI222" s="32"/>
      <c r="LJ222" s="32"/>
      <c r="LK222" s="32"/>
      <c r="LL222" s="32"/>
      <c r="LM222" s="32"/>
      <c r="LN222" s="32"/>
      <c r="LO222" s="32"/>
      <c r="LP222" s="32"/>
      <c r="LQ222" s="32"/>
      <c r="LR222" s="32"/>
      <c r="LS222" s="32"/>
      <c r="LT222" s="32"/>
      <c r="LU222" s="32"/>
      <c r="LV222" s="32"/>
      <c r="LW222" s="32"/>
      <c r="LX222" s="32"/>
      <c r="LY222" s="32"/>
      <c r="LZ222" s="32"/>
      <c r="MA222" s="32"/>
      <c r="MB222" s="32"/>
      <c r="MC222" s="32"/>
      <c r="MD222" s="32"/>
      <c r="ME222" s="32"/>
      <c r="MF222" s="32"/>
      <c r="MG222" s="32"/>
      <c r="MH222" s="32"/>
      <c r="MI222" s="32"/>
      <c r="MJ222" s="32"/>
      <c r="MK222" s="32"/>
      <c r="ML222" s="32"/>
      <c r="MM222" s="32"/>
      <c r="MN222" s="32"/>
      <c r="MO222" s="32"/>
      <c r="MP222" s="32"/>
      <c r="MQ222" s="32"/>
      <c r="MR222" s="32"/>
      <c r="MS222" s="32"/>
      <c r="MT222" s="32"/>
      <c r="MU222" s="32"/>
      <c r="MV222" s="32"/>
      <c r="MW222" s="32"/>
      <c r="MX222" s="32"/>
      <c r="MY222" s="32"/>
      <c r="MZ222" s="32"/>
      <c r="NA222" s="32"/>
      <c r="NB222" s="32"/>
      <c r="NC222" s="32"/>
      <c r="ND222" s="32"/>
      <c r="NE222" s="32"/>
      <c r="NF222" s="32"/>
      <c r="NG222" s="32"/>
      <c r="NH222" s="32"/>
      <c r="NI222" s="32"/>
      <c r="NJ222" s="32"/>
      <c r="NK222" s="32"/>
      <c r="NL222" s="32"/>
      <c r="NM222" s="32"/>
      <c r="NN222" s="32"/>
      <c r="NO222" s="32"/>
      <c r="NP222" s="32"/>
      <c r="NQ222" s="32"/>
      <c r="NR222" s="32"/>
      <c r="NS222" s="32"/>
      <c r="NT222" s="32"/>
      <c r="NU222" s="32"/>
      <c r="NV222" s="32"/>
      <c r="NW222" s="32"/>
      <c r="NX222" s="32"/>
      <c r="NY222" s="32"/>
      <c r="NZ222" s="32"/>
      <c r="OA222" s="32"/>
      <c r="OB222" s="32"/>
      <c r="OC222" s="32"/>
      <c r="OD222" s="32"/>
      <c r="OE222" s="32"/>
      <c r="OF222" s="32"/>
      <c r="OG222" s="32"/>
      <c r="OH222" s="32"/>
      <c r="OI222" s="32"/>
      <c r="OJ222" s="32"/>
      <c r="OK222" s="32"/>
      <c r="OL222" s="32"/>
      <c r="OM222" s="32"/>
      <c r="ON222" s="32"/>
      <c r="OO222" s="32"/>
      <c r="OP222" s="32"/>
      <c r="OQ222" s="32"/>
      <c r="OR222" s="32"/>
      <c r="OS222" s="32"/>
      <c r="OT222" s="32"/>
      <c r="OU222" s="32"/>
      <c r="OV222" s="32"/>
      <c r="OW222" s="32"/>
      <c r="OX222" s="32"/>
      <c r="OY222" s="32"/>
      <c r="OZ222" s="32"/>
      <c r="PA222" s="32"/>
      <c r="PB222" s="32"/>
      <c r="PC222" s="32"/>
      <c r="PD222" s="32"/>
      <c r="PE222" s="32"/>
      <c r="PF222" s="32"/>
      <c r="PG222" s="32"/>
      <c r="PH222" s="32"/>
      <c r="PI222" s="32"/>
      <c r="PJ222" s="32"/>
      <c r="PK222" s="32"/>
      <c r="PL222" s="32"/>
      <c r="PM222" s="32"/>
      <c r="PN222" s="32"/>
      <c r="PO222" s="32"/>
      <c r="PP222" s="32"/>
      <c r="PQ222" s="32"/>
      <c r="PR222" s="32"/>
      <c r="PS222" s="32"/>
      <c r="PT222" s="32"/>
      <c r="PU222" s="32"/>
      <c r="PV222" s="32"/>
      <c r="PW222" s="32"/>
      <c r="PX222" s="32"/>
      <c r="PY222" s="32"/>
      <c r="PZ222" s="32"/>
      <c r="QA222" s="32"/>
      <c r="QB222" s="32"/>
      <c r="QC222" s="32"/>
      <c r="QD222" s="32"/>
      <c r="QE222" s="32"/>
      <c r="QF222" s="32"/>
      <c r="QG222" s="32"/>
      <c r="QH222" s="32"/>
      <c r="QI222" s="32"/>
      <c r="QJ222" s="32"/>
      <c r="QK222" s="32"/>
      <c r="QL222" s="32"/>
      <c r="QM222" s="32"/>
      <c r="QN222" s="32"/>
      <c r="QO222" s="32"/>
      <c r="QP222" s="32"/>
      <c r="QQ222" s="32"/>
      <c r="QR222" s="32"/>
      <c r="QS222" s="32"/>
      <c r="QT222" s="32"/>
      <c r="QU222" s="32"/>
      <c r="QV222" s="32"/>
      <c r="QW222" s="32"/>
      <c r="QX222" s="32"/>
      <c r="QY222" s="32"/>
      <c r="QZ222" s="32"/>
      <c r="RA222" s="32"/>
      <c r="RB222" s="32"/>
      <c r="RC222" s="32"/>
      <c r="RD222" s="32"/>
      <c r="RE222" s="32"/>
      <c r="RF222" s="32"/>
      <c r="RG222" s="32"/>
      <c r="RH222" s="32"/>
      <c r="RI222" s="32"/>
      <c r="RJ222" s="32"/>
      <c r="RK222" s="32"/>
      <c r="RL222" s="32"/>
      <c r="RM222" s="32"/>
      <c r="RN222" s="32"/>
      <c r="RO222" s="32"/>
      <c r="RP222" s="32"/>
      <c r="RQ222" s="32"/>
      <c r="RR222" s="32"/>
      <c r="RS222" s="32"/>
      <c r="RT222" s="32"/>
      <c r="RU222" s="32"/>
      <c r="RV222" s="32"/>
      <c r="RW222" s="32"/>
      <c r="RX222" s="32"/>
      <c r="RY222" s="32"/>
      <c r="RZ222" s="32"/>
      <c r="SA222" s="32"/>
      <c r="SB222" s="32"/>
      <c r="SC222" s="32"/>
      <c r="SD222" s="32"/>
      <c r="SE222" s="32"/>
      <c r="SF222" s="32"/>
      <c r="SG222" s="32"/>
      <c r="SH222" s="32"/>
      <c r="SI222" s="32"/>
      <c r="SJ222" s="32"/>
      <c r="SK222" s="32"/>
      <c r="SL222" s="32"/>
      <c r="SM222" s="32"/>
      <c r="SN222" s="32"/>
      <c r="SO222" s="32"/>
      <c r="SP222" s="32"/>
      <c r="SQ222" s="32"/>
      <c r="SR222" s="32"/>
      <c r="SS222" s="32"/>
      <c r="ST222" s="32"/>
      <c r="SU222" s="32"/>
      <c r="SV222" s="32"/>
      <c r="SW222" s="32"/>
      <c r="SX222" s="32"/>
      <c r="SY222" s="32"/>
      <c r="SZ222" s="32"/>
      <c r="TA222" s="32"/>
      <c r="TB222" s="32"/>
      <c r="TC222" s="32"/>
      <c r="TD222" s="32"/>
      <c r="TE222" s="32"/>
    </row>
    <row r="223" spans="1:525" s="34" customFormat="1" ht="21.75" customHeight="1" x14ac:dyDescent="0.25">
      <c r="A223" s="86" t="s">
        <v>189</v>
      </c>
      <c r="B223" s="95"/>
      <c r="C223" s="95"/>
      <c r="D223" s="70" t="s">
        <v>330</v>
      </c>
      <c r="E223" s="138">
        <f>E224+E225+E226+E228+E229++E231+E227+E230+E232</f>
        <v>92036100</v>
      </c>
      <c r="F223" s="138">
        <f t="shared" ref="F223:P223" si="93">F224+F225+F226+F228+F229++F231+F227+F230+F232</f>
        <v>92036100</v>
      </c>
      <c r="G223" s="138">
        <f t="shared" si="93"/>
        <v>67371900</v>
      </c>
      <c r="H223" s="138">
        <f t="shared" si="93"/>
        <v>4516350</v>
      </c>
      <c r="I223" s="138">
        <f t="shared" si="93"/>
        <v>0</v>
      </c>
      <c r="J223" s="138">
        <f t="shared" si="93"/>
        <v>3663070</v>
      </c>
      <c r="K223" s="138">
        <f t="shared" si="93"/>
        <v>750000</v>
      </c>
      <c r="L223" s="138">
        <f t="shared" si="93"/>
        <v>2909940</v>
      </c>
      <c r="M223" s="138">
        <f t="shared" si="93"/>
        <v>2360710</v>
      </c>
      <c r="N223" s="138">
        <f t="shared" si="93"/>
        <v>3300</v>
      </c>
      <c r="O223" s="138">
        <f t="shared" si="93"/>
        <v>753130</v>
      </c>
      <c r="P223" s="138">
        <f t="shared" si="93"/>
        <v>95699170</v>
      </c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  <c r="IW223" s="33"/>
      <c r="IX223" s="33"/>
      <c r="IY223" s="33"/>
      <c r="IZ223" s="33"/>
      <c r="JA223" s="33"/>
      <c r="JB223" s="33"/>
      <c r="JC223" s="33"/>
      <c r="JD223" s="33"/>
      <c r="JE223" s="33"/>
      <c r="JF223" s="33"/>
      <c r="JG223" s="33"/>
      <c r="JH223" s="33"/>
      <c r="JI223" s="33"/>
      <c r="JJ223" s="33"/>
      <c r="JK223" s="33"/>
      <c r="JL223" s="33"/>
      <c r="JM223" s="33"/>
      <c r="JN223" s="33"/>
      <c r="JO223" s="33"/>
      <c r="JP223" s="33"/>
      <c r="JQ223" s="33"/>
      <c r="JR223" s="33"/>
      <c r="JS223" s="33"/>
      <c r="JT223" s="33"/>
      <c r="JU223" s="33"/>
      <c r="JV223" s="33"/>
      <c r="JW223" s="33"/>
      <c r="JX223" s="33"/>
      <c r="JY223" s="33"/>
      <c r="JZ223" s="33"/>
      <c r="KA223" s="33"/>
      <c r="KB223" s="33"/>
      <c r="KC223" s="33"/>
      <c r="KD223" s="33"/>
      <c r="KE223" s="33"/>
      <c r="KF223" s="33"/>
      <c r="KG223" s="33"/>
      <c r="KH223" s="33"/>
      <c r="KI223" s="33"/>
      <c r="KJ223" s="33"/>
      <c r="KK223" s="33"/>
      <c r="KL223" s="33"/>
      <c r="KM223" s="33"/>
      <c r="KN223" s="33"/>
      <c r="KO223" s="33"/>
      <c r="KP223" s="33"/>
      <c r="KQ223" s="33"/>
      <c r="KR223" s="33"/>
      <c r="KS223" s="33"/>
      <c r="KT223" s="33"/>
      <c r="KU223" s="33"/>
      <c r="KV223" s="33"/>
      <c r="KW223" s="33"/>
      <c r="KX223" s="33"/>
      <c r="KY223" s="33"/>
      <c r="KZ223" s="33"/>
      <c r="LA223" s="33"/>
      <c r="LB223" s="33"/>
      <c r="LC223" s="33"/>
      <c r="LD223" s="33"/>
      <c r="LE223" s="33"/>
      <c r="LF223" s="33"/>
      <c r="LG223" s="33"/>
      <c r="LH223" s="33"/>
      <c r="LI223" s="33"/>
      <c r="LJ223" s="33"/>
      <c r="LK223" s="33"/>
      <c r="LL223" s="33"/>
      <c r="LM223" s="33"/>
      <c r="LN223" s="33"/>
      <c r="LO223" s="33"/>
      <c r="LP223" s="33"/>
      <c r="LQ223" s="33"/>
      <c r="LR223" s="33"/>
      <c r="LS223" s="33"/>
      <c r="LT223" s="33"/>
      <c r="LU223" s="33"/>
      <c r="LV223" s="33"/>
      <c r="LW223" s="33"/>
      <c r="LX223" s="33"/>
      <c r="LY223" s="33"/>
      <c r="LZ223" s="33"/>
      <c r="MA223" s="33"/>
      <c r="MB223" s="33"/>
      <c r="MC223" s="33"/>
      <c r="MD223" s="33"/>
      <c r="ME223" s="33"/>
      <c r="MF223" s="33"/>
      <c r="MG223" s="33"/>
      <c r="MH223" s="33"/>
      <c r="MI223" s="33"/>
      <c r="MJ223" s="33"/>
      <c r="MK223" s="33"/>
      <c r="ML223" s="33"/>
      <c r="MM223" s="33"/>
      <c r="MN223" s="33"/>
      <c r="MO223" s="33"/>
      <c r="MP223" s="33"/>
      <c r="MQ223" s="33"/>
      <c r="MR223" s="33"/>
      <c r="MS223" s="33"/>
      <c r="MT223" s="33"/>
      <c r="MU223" s="33"/>
      <c r="MV223" s="33"/>
      <c r="MW223" s="33"/>
      <c r="MX223" s="33"/>
      <c r="MY223" s="33"/>
      <c r="MZ223" s="33"/>
      <c r="NA223" s="33"/>
      <c r="NB223" s="33"/>
      <c r="NC223" s="33"/>
      <c r="ND223" s="33"/>
      <c r="NE223" s="33"/>
      <c r="NF223" s="33"/>
      <c r="NG223" s="33"/>
      <c r="NH223" s="33"/>
      <c r="NI223" s="33"/>
      <c r="NJ223" s="33"/>
      <c r="NK223" s="33"/>
      <c r="NL223" s="33"/>
      <c r="NM223" s="33"/>
      <c r="NN223" s="33"/>
      <c r="NO223" s="33"/>
      <c r="NP223" s="33"/>
      <c r="NQ223" s="33"/>
      <c r="NR223" s="33"/>
      <c r="NS223" s="33"/>
      <c r="NT223" s="33"/>
      <c r="NU223" s="33"/>
      <c r="NV223" s="33"/>
      <c r="NW223" s="33"/>
      <c r="NX223" s="33"/>
      <c r="NY223" s="33"/>
      <c r="NZ223" s="33"/>
      <c r="OA223" s="33"/>
      <c r="OB223" s="33"/>
      <c r="OC223" s="33"/>
      <c r="OD223" s="33"/>
      <c r="OE223" s="33"/>
      <c r="OF223" s="33"/>
      <c r="OG223" s="33"/>
      <c r="OH223" s="33"/>
      <c r="OI223" s="33"/>
      <c r="OJ223" s="33"/>
      <c r="OK223" s="33"/>
      <c r="OL223" s="33"/>
      <c r="OM223" s="33"/>
      <c r="ON223" s="33"/>
      <c r="OO223" s="33"/>
      <c r="OP223" s="33"/>
      <c r="OQ223" s="33"/>
      <c r="OR223" s="33"/>
      <c r="OS223" s="33"/>
      <c r="OT223" s="33"/>
      <c r="OU223" s="33"/>
      <c r="OV223" s="33"/>
      <c r="OW223" s="33"/>
      <c r="OX223" s="33"/>
      <c r="OY223" s="33"/>
      <c r="OZ223" s="33"/>
      <c r="PA223" s="33"/>
      <c r="PB223" s="33"/>
      <c r="PC223" s="33"/>
      <c r="PD223" s="33"/>
      <c r="PE223" s="33"/>
      <c r="PF223" s="33"/>
      <c r="PG223" s="33"/>
      <c r="PH223" s="33"/>
      <c r="PI223" s="33"/>
      <c r="PJ223" s="33"/>
      <c r="PK223" s="33"/>
      <c r="PL223" s="33"/>
      <c r="PM223" s="33"/>
      <c r="PN223" s="33"/>
      <c r="PO223" s="33"/>
      <c r="PP223" s="33"/>
      <c r="PQ223" s="33"/>
      <c r="PR223" s="33"/>
      <c r="PS223" s="33"/>
      <c r="PT223" s="33"/>
      <c r="PU223" s="33"/>
      <c r="PV223" s="33"/>
      <c r="PW223" s="33"/>
      <c r="PX223" s="33"/>
      <c r="PY223" s="33"/>
      <c r="PZ223" s="33"/>
      <c r="QA223" s="33"/>
      <c r="QB223" s="33"/>
      <c r="QC223" s="33"/>
      <c r="QD223" s="33"/>
      <c r="QE223" s="33"/>
      <c r="QF223" s="33"/>
      <c r="QG223" s="33"/>
      <c r="QH223" s="33"/>
      <c r="QI223" s="33"/>
      <c r="QJ223" s="33"/>
      <c r="QK223" s="33"/>
      <c r="QL223" s="33"/>
      <c r="QM223" s="33"/>
      <c r="QN223" s="33"/>
      <c r="QO223" s="33"/>
      <c r="QP223" s="33"/>
      <c r="QQ223" s="33"/>
      <c r="QR223" s="33"/>
      <c r="QS223" s="33"/>
      <c r="QT223" s="33"/>
      <c r="QU223" s="33"/>
      <c r="QV223" s="33"/>
      <c r="QW223" s="33"/>
      <c r="QX223" s="33"/>
      <c r="QY223" s="33"/>
      <c r="QZ223" s="33"/>
      <c r="RA223" s="33"/>
      <c r="RB223" s="33"/>
      <c r="RC223" s="33"/>
      <c r="RD223" s="33"/>
      <c r="RE223" s="33"/>
      <c r="RF223" s="33"/>
      <c r="RG223" s="33"/>
      <c r="RH223" s="33"/>
      <c r="RI223" s="33"/>
      <c r="RJ223" s="33"/>
      <c r="RK223" s="33"/>
      <c r="RL223" s="33"/>
      <c r="RM223" s="33"/>
      <c r="RN223" s="33"/>
      <c r="RO223" s="33"/>
      <c r="RP223" s="33"/>
      <c r="RQ223" s="33"/>
      <c r="RR223" s="33"/>
      <c r="RS223" s="33"/>
      <c r="RT223" s="33"/>
      <c r="RU223" s="33"/>
      <c r="RV223" s="33"/>
      <c r="RW223" s="33"/>
      <c r="RX223" s="33"/>
      <c r="RY223" s="33"/>
      <c r="RZ223" s="33"/>
      <c r="SA223" s="33"/>
      <c r="SB223" s="33"/>
      <c r="SC223" s="33"/>
      <c r="SD223" s="33"/>
      <c r="SE223" s="33"/>
      <c r="SF223" s="33"/>
      <c r="SG223" s="33"/>
      <c r="SH223" s="33"/>
      <c r="SI223" s="33"/>
      <c r="SJ223" s="33"/>
      <c r="SK223" s="33"/>
      <c r="SL223" s="33"/>
      <c r="SM223" s="33"/>
      <c r="SN223" s="33"/>
      <c r="SO223" s="33"/>
      <c r="SP223" s="33"/>
      <c r="SQ223" s="33"/>
      <c r="SR223" s="33"/>
      <c r="SS223" s="33"/>
      <c r="ST223" s="33"/>
      <c r="SU223" s="33"/>
      <c r="SV223" s="33"/>
      <c r="SW223" s="33"/>
      <c r="SX223" s="33"/>
      <c r="SY223" s="33"/>
      <c r="SZ223" s="33"/>
      <c r="TA223" s="33"/>
      <c r="TB223" s="33"/>
      <c r="TC223" s="33"/>
      <c r="TD223" s="33"/>
      <c r="TE223" s="33"/>
    </row>
    <row r="224" spans="1:525" s="22" customFormat="1" ht="47.25" x14ac:dyDescent="0.25">
      <c r="A224" s="56" t="s">
        <v>136</v>
      </c>
      <c r="B224" s="84" t="str">
        <f>'дод 3'!A19</f>
        <v>0160</v>
      </c>
      <c r="C224" s="84" t="str">
        <f>'дод 3'!B19</f>
        <v>0111</v>
      </c>
      <c r="D224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224" s="139">
        <f t="shared" ref="E224:E232" si="94">F224+I224</f>
        <v>2106700</v>
      </c>
      <c r="F224" s="139">
        <f>2254900-148200</f>
        <v>2106700</v>
      </c>
      <c r="G224" s="139">
        <f>1735600-121500</f>
        <v>1614100</v>
      </c>
      <c r="H224" s="139">
        <v>43400</v>
      </c>
      <c r="I224" s="139"/>
      <c r="J224" s="139">
        <f>L224+O224</f>
        <v>0</v>
      </c>
      <c r="K224" s="139"/>
      <c r="L224" s="139"/>
      <c r="M224" s="139"/>
      <c r="N224" s="139"/>
      <c r="O224" s="139"/>
      <c r="P224" s="139">
        <f t="shared" ref="P224:P232" si="95">E224+J224</f>
        <v>2106700</v>
      </c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</row>
    <row r="225" spans="1:525" s="22" customFormat="1" ht="33" customHeight="1" x14ac:dyDescent="0.25">
      <c r="A225" s="56" t="s">
        <v>491</v>
      </c>
      <c r="B225" s="84">
        <v>1080</v>
      </c>
      <c r="C225" s="56" t="s">
        <v>56</v>
      </c>
      <c r="D225" s="57" t="str">
        <f>'дод 3'!C61</f>
        <v>Надання спеціалізованої освіти мистецькими школами</v>
      </c>
      <c r="E225" s="139">
        <f t="shared" si="94"/>
        <v>55584500</v>
      </c>
      <c r="F225" s="139">
        <f>55504500+80000</f>
        <v>55584500</v>
      </c>
      <c r="G225" s="139">
        <v>43494200</v>
      </c>
      <c r="H225" s="139">
        <v>1592300</v>
      </c>
      <c r="I225" s="139"/>
      <c r="J225" s="139">
        <f t="shared" ref="J225:J232" si="96">L225+O225</f>
        <v>3174570</v>
      </c>
      <c r="K225" s="139">
        <v>300000</v>
      </c>
      <c r="L225" s="139">
        <v>2871440</v>
      </c>
      <c r="M225" s="139">
        <v>2346150</v>
      </c>
      <c r="N225" s="139"/>
      <c r="O225" s="139">
        <f>300000+3130</f>
        <v>303130</v>
      </c>
      <c r="P225" s="139">
        <f t="shared" si="95"/>
        <v>58759070</v>
      </c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</row>
    <row r="226" spans="1:525" s="22" customFormat="1" ht="21" customHeight="1" x14ac:dyDescent="0.25">
      <c r="A226" s="56" t="s">
        <v>190</v>
      </c>
      <c r="B226" s="84" t="str">
        <f>'дод 3'!A147</f>
        <v>4030</v>
      </c>
      <c r="C226" s="84" t="str">
        <f>'дод 3'!B147</f>
        <v>0824</v>
      </c>
      <c r="D226" s="57" t="str">
        <f>'дод 3'!C147</f>
        <v>Забезпечення діяльності бібліотек</v>
      </c>
      <c r="E226" s="139">
        <f t="shared" si="94"/>
        <v>25433800</v>
      </c>
      <c r="F226" s="139">
        <v>25433800</v>
      </c>
      <c r="G226" s="139">
        <v>17662700</v>
      </c>
      <c r="H226" s="139">
        <v>2568100</v>
      </c>
      <c r="I226" s="139"/>
      <c r="J226" s="139">
        <f t="shared" si="96"/>
        <v>28000</v>
      </c>
      <c r="K226" s="139">
        <f>400000-400000</f>
        <v>0</v>
      </c>
      <c r="L226" s="139">
        <v>28000</v>
      </c>
      <c r="M226" s="139">
        <v>14560</v>
      </c>
      <c r="N226" s="139"/>
      <c r="O226" s="139">
        <f>400000-400000</f>
        <v>0</v>
      </c>
      <c r="P226" s="139">
        <f t="shared" si="95"/>
        <v>25461800</v>
      </c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</row>
    <row r="227" spans="1:525" s="22" customFormat="1" ht="48.75" customHeight="1" x14ac:dyDescent="0.25">
      <c r="A227" s="56">
        <v>1014060</v>
      </c>
      <c r="B227" s="84" t="str">
        <f>'дод 3'!A148</f>
        <v>4060</v>
      </c>
      <c r="C227" s="84" t="str">
        <f>'дод 3'!B148</f>
        <v>0828</v>
      </c>
      <c r="D227" s="57" t="str">
        <f>'дод 3'!C148</f>
        <v>Забезпечення діяльності палаців i будинків культури, клубів, центрів дозвілля та iнших клубних закладів</v>
      </c>
      <c r="E227" s="139">
        <f t="shared" si="94"/>
        <v>3820600</v>
      </c>
      <c r="F227" s="139">
        <v>3820600</v>
      </c>
      <c r="G227" s="139">
        <v>2669200</v>
      </c>
      <c r="H227" s="139">
        <v>247850</v>
      </c>
      <c r="I227" s="139"/>
      <c r="J227" s="139">
        <f t="shared" si="96"/>
        <v>456000</v>
      </c>
      <c r="K227" s="139">
        <f>1650000+50000-1250000</f>
        <v>450000</v>
      </c>
      <c r="L227" s="139">
        <v>6000</v>
      </c>
      <c r="M227" s="139"/>
      <c r="N227" s="139">
        <v>3300</v>
      </c>
      <c r="O227" s="139">
        <f>1650000+50000-1250000</f>
        <v>450000</v>
      </c>
      <c r="P227" s="139">
        <f t="shared" si="95"/>
        <v>4276600</v>
      </c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</row>
    <row r="228" spans="1:525" s="24" customFormat="1" ht="33.75" customHeight="1" x14ac:dyDescent="0.25">
      <c r="A228" s="56">
        <v>1014081</v>
      </c>
      <c r="B228" s="84" t="str">
        <f>'дод 3'!A149</f>
        <v>4081</v>
      </c>
      <c r="C228" s="84" t="str">
        <f>'дод 3'!B149</f>
        <v>0829</v>
      </c>
      <c r="D228" s="57" t="str">
        <f>'дод 3'!C149</f>
        <v>Забезпечення діяльності інших закладів в галузі культури і мистецтва</v>
      </c>
      <c r="E228" s="139">
        <f t="shared" si="94"/>
        <v>2570500</v>
      </c>
      <c r="F228" s="139">
        <v>2570500</v>
      </c>
      <c r="G228" s="139">
        <v>1931700</v>
      </c>
      <c r="H228" s="139">
        <v>64700</v>
      </c>
      <c r="I228" s="139"/>
      <c r="J228" s="139">
        <f t="shared" si="96"/>
        <v>0</v>
      </c>
      <c r="K228" s="139"/>
      <c r="L228" s="139"/>
      <c r="M228" s="139"/>
      <c r="N228" s="139"/>
      <c r="O228" s="139"/>
      <c r="P228" s="139">
        <f t="shared" si="95"/>
        <v>2570500</v>
      </c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/>
      <c r="MA228" s="30"/>
      <c r="MB228" s="30"/>
      <c r="MC228" s="30"/>
      <c r="MD228" s="30"/>
      <c r="ME228" s="30"/>
      <c r="MF228" s="30"/>
      <c r="MG228" s="30"/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30"/>
      <c r="MW228" s="30"/>
      <c r="MX228" s="30"/>
      <c r="MY228" s="30"/>
      <c r="MZ228" s="30"/>
      <c r="NA228" s="30"/>
      <c r="NB228" s="30"/>
      <c r="NC228" s="30"/>
      <c r="ND228" s="30"/>
      <c r="NE228" s="30"/>
      <c r="NF228" s="30"/>
      <c r="NG228" s="30"/>
      <c r="NH228" s="30"/>
      <c r="NI228" s="30"/>
      <c r="NJ228" s="30"/>
      <c r="NK228" s="30"/>
      <c r="NL228" s="30"/>
      <c r="NM228" s="30"/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30"/>
      <c r="NY228" s="30"/>
      <c r="NZ228" s="30"/>
      <c r="OA228" s="30"/>
      <c r="OB228" s="30"/>
      <c r="OC228" s="30"/>
      <c r="OD228" s="30"/>
      <c r="OE228" s="30"/>
      <c r="OF228" s="30"/>
      <c r="OG228" s="30"/>
      <c r="OH228" s="30"/>
      <c r="OI228" s="30"/>
      <c r="OJ228" s="30"/>
      <c r="OK228" s="30"/>
      <c r="OL228" s="30"/>
      <c r="OM228" s="30"/>
      <c r="ON228" s="30"/>
      <c r="OO228" s="30"/>
      <c r="OP228" s="30"/>
      <c r="OQ228" s="30"/>
      <c r="OR228" s="30"/>
      <c r="OS228" s="30"/>
      <c r="OT228" s="30"/>
      <c r="OU228" s="30"/>
      <c r="OV228" s="30"/>
      <c r="OW228" s="30"/>
      <c r="OX228" s="30"/>
      <c r="OY228" s="30"/>
      <c r="OZ228" s="30"/>
      <c r="PA228" s="30"/>
      <c r="PB228" s="30"/>
      <c r="PC228" s="30"/>
      <c r="PD228" s="30"/>
      <c r="PE228" s="30"/>
      <c r="PF228" s="30"/>
      <c r="PG228" s="30"/>
      <c r="PH228" s="30"/>
      <c r="PI228" s="30"/>
      <c r="PJ228" s="30"/>
      <c r="PK228" s="30"/>
      <c r="PL228" s="30"/>
      <c r="PM228" s="30"/>
      <c r="PN228" s="30"/>
      <c r="PO228" s="30"/>
      <c r="PP228" s="30"/>
      <c r="PQ228" s="30"/>
      <c r="PR228" s="30"/>
      <c r="PS228" s="30"/>
      <c r="PT228" s="30"/>
      <c r="PU228" s="30"/>
      <c r="PV228" s="30"/>
      <c r="PW228" s="30"/>
      <c r="PX228" s="30"/>
      <c r="PY228" s="30"/>
      <c r="PZ228" s="30"/>
      <c r="QA228" s="30"/>
      <c r="QB228" s="30"/>
      <c r="QC228" s="30"/>
      <c r="QD228" s="30"/>
      <c r="QE228" s="30"/>
      <c r="QF228" s="30"/>
      <c r="QG228" s="30"/>
      <c r="QH228" s="30"/>
      <c r="QI228" s="30"/>
      <c r="QJ228" s="30"/>
      <c r="QK228" s="30"/>
      <c r="QL228" s="30"/>
      <c r="QM228" s="30"/>
      <c r="QN228" s="30"/>
      <c r="QO228" s="30"/>
      <c r="QP228" s="30"/>
      <c r="QQ228" s="30"/>
      <c r="QR228" s="30"/>
      <c r="QS228" s="30"/>
      <c r="QT228" s="30"/>
      <c r="QU228" s="30"/>
      <c r="QV228" s="30"/>
      <c r="QW228" s="30"/>
      <c r="QX228" s="30"/>
      <c r="QY228" s="30"/>
      <c r="QZ228" s="30"/>
      <c r="RA228" s="30"/>
      <c r="RB228" s="30"/>
      <c r="RC228" s="30"/>
      <c r="RD228" s="30"/>
      <c r="RE228" s="30"/>
      <c r="RF228" s="30"/>
      <c r="RG228" s="30"/>
      <c r="RH228" s="30"/>
      <c r="RI228" s="30"/>
      <c r="RJ228" s="30"/>
      <c r="RK228" s="30"/>
      <c r="RL228" s="30"/>
      <c r="RM228" s="30"/>
      <c r="RN228" s="30"/>
      <c r="RO228" s="30"/>
      <c r="RP228" s="30"/>
      <c r="RQ228" s="30"/>
      <c r="RR228" s="30"/>
      <c r="RS228" s="30"/>
      <c r="RT228" s="30"/>
      <c r="RU228" s="30"/>
      <c r="RV228" s="30"/>
      <c r="RW228" s="30"/>
      <c r="RX228" s="30"/>
      <c r="RY228" s="30"/>
      <c r="RZ228" s="30"/>
      <c r="SA228" s="30"/>
      <c r="SB228" s="30"/>
      <c r="SC228" s="30"/>
      <c r="SD228" s="30"/>
      <c r="SE228" s="30"/>
      <c r="SF228" s="30"/>
      <c r="SG228" s="30"/>
      <c r="SH228" s="30"/>
      <c r="SI228" s="30"/>
      <c r="SJ228" s="30"/>
      <c r="SK228" s="30"/>
      <c r="SL228" s="30"/>
      <c r="SM228" s="30"/>
      <c r="SN228" s="30"/>
      <c r="SO228" s="30"/>
      <c r="SP228" s="30"/>
      <c r="SQ228" s="30"/>
      <c r="SR228" s="30"/>
      <c r="SS228" s="30"/>
      <c r="ST228" s="30"/>
      <c r="SU228" s="30"/>
      <c r="SV228" s="30"/>
      <c r="SW228" s="30"/>
      <c r="SX228" s="30"/>
      <c r="SY228" s="30"/>
      <c r="SZ228" s="30"/>
      <c r="TA228" s="30"/>
      <c r="TB228" s="30"/>
      <c r="TC228" s="30"/>
      <c r="TD228" s="30"/>
      <c r="TE228" s="30"/>
    </row>
    <row r="229" spans="1:525" s="24" customFormat="1" ht="25.5" customHeight="1" x14ac:dyDescent="0.25">
      <c r="A229" s="56">
        <v>1014082</v>
      </c>
      <c r="B229" s="84" t="str">
        <f>'дод 3'!A150</f>
        <v>4082</v>
      </c>
      <c r="C229" s="84" t="str">
        <f>'дод 3'!B150</f>
        <v>0829</v>
      </c>
      <c r="D229" s="57" t="str">
        <f>'дод 3'!C150</f>
        <v>Інші заходи в галузі культури і мистецтва</v>
      </c>
      <c r="E229" s="139">
        <f t="shared" si="94"/>
        <v>2520000</v>
      </c>
      <c r="F229" s="139">
        <f>2450000+70000</f>
        <v>2520000</v>
      </c>
      <c r="G229" s="139"/>
      <c r="H229" s="139"/>
      <c r="I229" s="139"/>
      <c r="J229" s="139">
        <f t="shared" si="96"/>
        <v>0</v>
      </c>
      <c r="K229" s="139"/>
      <c r="L229" s="139"/>
      <c r="M229" s="139"/>
      <c r="N229" s="139"/>
      <c r="O229" s="139"/>
      <c r="P229" s="139">
        <f t="shared" si="95"/>
        <v>2520000</v>
      </c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  <c r="IW229" s="30"/>
      <c r="IX229" s="30"/>
      <c r="IY229" s="30"/>
      <c r="IZ229" s="30"/>
      <c r="JA229" s="30"/>
      <c r="JB229" s="30"/>
      <c r="JC229" s="30"/>
      <c r="JD229" s="30"/>
      <c r="JE229" s="30"/>
      <c r="JF229" s="30"/>
      <c r="JG229" s="30"/>
      <c r="JH229" s="30"/>
      <c r="JI229" s="30"/>
      <c r="JJ229" s="30"/>
      <c r="JK229" s="30"/>
      <c r="JL229" s="30"/>
      <c r="JM229" s="30"/>
      <c r="JN229" s="30"/>
      <c r="JO229" s="30"/>
      <c r="JP229" s="30"/>
      <c r="JQ229" s="30"/>
      <c r="JR229" s="30"/>
      <c r="JS229" s="30"/>
      <c r="JT229" s="30"/>
      <c r="JU229" s="30"/>
      <c r="JV229" s="30"/>
      <c r="JW229" s="30"/>
      <c r="JX229" s="30"/>
      <c r="JY229" s="30"/>
      <c r="JZ229" s="30"/>
      <c r="KA229" s="30"/>
      <c r="KB229" s="30"/>
      <c r="KC229" s="30"/>
      <c r="KD229" s="30"/>
      <c r="KE229" s="30"/>
      <c r="KF229" s="30"/>
      <c r="KG229" s="30"/>
      <c r="KH229" s="30"/>
      <c r="KI229" s="30"/>
      <c r="KJ229" s="30"/>
      <c r="KK229" s="30"/>
      <c r="KL229" s="30"/>
      <c r="KM229" s="30"/>
      <c r="KN229" s="30"/>
      <c r="KO229" s="30"/>
      <c r="KP229" s="30"/>
      <c r="KQ229" s="30"/>
      <c r="KR229" s="30"/>
      <c r="KS229" s="30"/>
      <c r="KT229" s="30"/>
      <c r="KU229" s="30"/>
      <c r="KV229" s="30"/>
      <c r="KW229" s="30"/>
      <c r="KX229" s="30"/>
      <c r="KY229" s="30"/>
      <c r="KZ229" s="30"/>
      <c r="LA229" s="30"/>
      <c r="LB229" s="30"/>
      <c r="LC229" s="30"/>
      <c r="LD229" s="30"/>
      <c r="LE229" s="30"/>
      <c r="LF229" s="30"/>
      <c r="LG229" s="30"/>
      <c r="LH229" s="30"/>
      <c r="LI229" s="30"/>
      <c r="LJ229" s="30"/>
      <c r="LK229" s="30"/>
      <c r="LL229" s="30"/>
      <c r="LM229" s="30"/>
      <c r="LN229" s="30"/>
      <c r="LO229" s="30"/>
      <c r="LP229" s="30"/>
      <c r="LQ229" s="30"/>
      <c r="LR229" s="30"/>
      <c r="LS229" s="30"/>
      <c r="LT229" s="30"/>
      <c r="LU229" s="30"/>
      <c r="LV229" s="30"/>
      <c r="LW229" s="30"/>
      <c r="LX229" s="30"/>
      <c r="LY229" s="30"/>
      <c r="LZ229" s="30"/>
      <c r="MA229" s="30"/>
      <c r="MB229" s="30"/>
      <c r="MC229" s="30"/>
      <c r="MD229" s="30"/>
      <c r="ME229" s="30"/>
      <c r="MF229" s="30"/>
      <c r="MG229" s="30"/>
      <c r="MH229" s="30"/>
      <c r="MI229" s="30"/>
      <c r="MJ229" s="30"/>
      <c r="MK229" s="30"/>
      <c r="ML229" s="30"/>
      <c r="MM229" s="30"/>
      <c r="MN229" s="30"/>
      <c r="MO229" s="30"/>
      <c r="MP229" s="30"/>
      <c r="MQ229" s="30"/>
      <c r="MR229" s="30"/>
      <c r="MS229" s="30"/>
      <c r="MT229" s="30"/>
      <c r="MU229" s="30"/>
      <c r="MV229" s="30"/>
      <c r="MW229" s="30"/>
      <c r="MX229" s="30"/>
      <c r="MY229" s="30"/>
      <c r="MZ229" s="30"/>
      <c r="NA229" s="30"/>
      <c r="NB229" s="30"/>
      <c r="NC229" s="30"/>
      <c r="ND229" s="30"/>
      <c r="NE229" s="30"/>
      <c r="NF229" s="30"/>
      <c r="NG229" s="30"/>
      <c r="NH229" s="30"/>
      <c r="NI229" s="30"/>
      <c r="NJ229" s="30"/>
      <c r="NK229" s="30"/>
      <c r="NL229" s="30"/>
      <c r="NM229" s="30"/>
      <c r="NN229" s="30"/>
      <c r="NO229" s="30"/>
      <c r="NP229" s="30"/>
      <c r="NQ229" s="30"/>
      <c r="NR229" s="30"/>
      <c r="NS229" s="30"/>
      <c r="NT229" s="30"/>
      <c r="NU229" s="30"/>
      <c r="NV229" s="30"/>
      <c r="NW229" s="30"/>
      <c r="NX229" s="30"/>
      <c r="NY229" s="30"/>
      <c r="NZ229" s="30"/>
      <c r="OA229" s="30"/>
      <c r="OB229" s="30"/>
      <c r="OC229" s="30"/>
      <c r="OD229" s="30"/>
      <c r="OE229" s="30"/>
      <c r="OF229" s="30"/>
      <c r="OG229" s="30"/>
      <c r="OH229" s="30"/>
      <c r="OI229" s="30"/>
      <c r="OJ229" s="30"/>
      <c r="OK229" s="30"/>
      <c r="OL229" s="30"/>
      <c r="OM229" s="30"/>
      <c r="ON229" s="30"/>
      <c r="OO229" s="30"/>
      <c r="OP229" s="30"/>
      <c r="OQ229" s="30"/>
      <c r="OR229" s="30"/>
      <c r="OS229" s="30"/>
      <c r="OT229" s="30"/>
      <c r="OU229" s="30"/>
      <c r="OV229" s="30"/>
      <c r="OW229" s="30"/>
      <c r="OX229" s="30"/>
      <c r="OY229" s="30"/>
      <c r="OZ229" s="30"/>
      <c r="PA229" s="30"/>
      <c r="PB229" s="30"/>
      <c r="PC229" s="30"/>
      <c r="PD229" s="30"/>
      <c r="PE229" s="30"/>
      <c r="PF229" s="30"/>
      <c r="PG229" s="30"/>
      <c r="PH229" s="30"/>
      <c r="PI229" s="30"/>
      <c r="PJ229" s="30"/>
      <c r="PK229" s="30"/>
      <c r="PL229" s="30"/>
      <c r="PM229" s="30"/>
      <c r="PN229" s="30"/>
      <c r="PO229" s="30"/>
      <c r="PP229" s="30"/>
      <c r="PQ229" s="30"/>
      <c r="PR229" s="30"/>
      <c r="PS229" s="30"/>
      <c r="PT229" s="30"/>
      <c r="PU229" s="30"/>
      <c r="PV229" s="30"/>
      <c r="PW229" s="30"/>
      <c r="PX229" s="30"/>
      <c r="PY229" s="30"/>
      <c r="PZ229" s="30"/>
      <c r="QA229" s="30"/>
      <c r="QB229" s="30"/>
      <c r="QC229" s="30"/>
      <c r="QD229" s="30"/>
      <c r="QE229" s="30"/>
      <c r="QF229" s="30"/>
      <c r="QG229" s="30"/>
      <c r="QH229" s="30"/>
      <c r="QI229" s="30"/>
      <c r="QJ229" s="30"/>
      <c r="QK229" s="30"/>
      <c r="QL229" s="30"/>
      <c r="QM229" s="30"/>
      <c r="QN229" s="30"/>
      <c r="QO229" s="30"/>
      <c r="QP229" s="30"/>
      <c r="QQ229" s="30"/>
      <c r="QR229" s="30"/>
      <c r="QS229" s="30"/>
      <c r="QT229" s="30"/>
      <c r="QU229" s="30"/>
      <c r="QV229" s="30"/>
      <c r="QW229" s="30"/>
      <c r="QX229" s="30"/>
      <c r="QY229" s="30"/>
      <c r="QZ229" s="30"/>
      <c r="RA229" s="30"/>
      <c r="RB229" s="30"/>
      <c r="RC229" s="30"/>
      <c r="RD229" s="30"/>
      <c r="RE229" s="30"/>
      <c r="RF229" s="30"/>
      <c r="RG229" s="30"/>
      <c r="RH229" s="30"/>
      <c r="RI229" s="30"/>
      <c r="RJ229" s="30"/>
      <c r="RK229" s="30"/>
      <c r="RL229" s="30"/>
      <c r="RM229" s="30"/>
      <c r="RN229" s="30"/>
      <c r="RO229" s="30"/>
      <c r="RP229" s="30"/>
      <c r="RQ229" s="30"/>
      <c r="RR229" s="30"/>
      <c r="RS229" s="30"/>
      <c r="RT229" s="30"/>
      <c r="RU229" s="30"/>
      <c r="RV229" s="30"/>
      <c r="RW229" s="30"/>
      <c r="RX229" s="30"/>
      <c r="RY229" s="30"/>
      <c r="RZ229" s="30"/>
      <c r="SA229" s="30"/>
      <c r="SB229" s="30"/>
      <c r="SC229" s="30"/>
      <c r="SD229" s="30"/>
      <c r="SE229" s="30"/>
      <c r="SF229" s="30"/>
      <c r="SG229" s="30"/>
      <c r="SH229" s="30"/>
      <c r="SI229" s="30"/>
      <c r="SJ229" s="30"/>
      <c r="SK229" s="30"/>
      <c r="SL229" s="30"/>
      <c r="SM229" s="30"/>
      <c r="SN229" s="30"/>
      <c r="SO229" s="30"/>
      <c r="SP229" s="30"/>
      <c r="SQ229" s="30"/>
      <c r="SR229" s="30"/>
      <c r="SS229" s="30"/>
      <c r="ST229" s="30"/>
      <c r="SU229" s="30"/>
      <c r="SV229" s="30"/>
      <c r="SW229" s="30"/>
      <c r="SX229" s="30"/>
      <c r="SY229" s="30"/>
      <c r="SZ229" s="30"/>
      <c r="TA229" s="30"/>
      <c r="TB229" s="30"/>
      <c r="TC229" s="30"/>
      <c r="TD229" s="30"/>
      <c r="TE229" s="30"/>
    </row>
    <row r="230" spans="1:525" s="24" customFormat="1" ht="21.75" hidden="1" customHeight="1" x14ac:dyDescent="0.25">
      <c r="A230" s="56" t="s">
        <v>443</v>
      </c>
      <c r="B230" s="56" t="s">
        <v>444</v>
      </c>
      <c r="C230" s="56" t="s">
        <v>110</v>
      </c>
      <c r="D230" s="6" t="str">
        <f>'дод 3'!C188</f>
        <v>Будівництво1 установ та закладів культури</v>
      </c>
      <c r="E230" s="139">
        <f t="shared" si="94"/>
        <v>0</v>
      </c>
      <c r="F230" s="139"/>
      <c r="G230" s="139"/>
      <c r="H230" s="139"/>
      <c r="I230" s="139"/>
      <c r="J230" s="139">
        <f t="shared" si="96"/>
        <v>0</v>
      </c>
      <c r="K230" s="139"/>
      <c r="L230" s="139"/>
      <c r="M230" s="139"/>
      <c r="N230" s="139"/>
      <c r="O230" s="139"/>
      <c r="P230" s="139">
        <f t="shared" si="95"/>
        <v>0</v>
      </c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  <c r="IW230" s="30"/>
      <c r="IX230" s="30"/>
      <c r="IY230" s="30"/>
      <c r="IZ230" s="30"/>
      <c r="JA230" s="30"/>
      <c r="JB230" s="30"/>
      <c r="JC230" s="30"/>
      <c r="JD230" s="30"/>
      <c r="JE230" s="30"/>
      <c r="JF230" s="30"/>
      <c r="JG230" s="30"/>
      <c r="JH230" s="30"/>
      <c r="JI230" s="30"/>
      <c r="JJ230" s="30"/>
      <c r="JK230" s="30"/>
      <c r="JL230" s="30"/>
      <c r="JM230" s="30"/>
      <c r="JN230" s="30"/>
      <c r="JO230" s="30"/>
      <c r="JP230" s="30"/>
      <c r="JQ230" s="30"/>
      <c r="JR230" s="30"/>
      <c r="JS230" s="30"/>
      <c r="JT230" s="30"/>
      <c r="JU230" s="30"/>
      <c r="JV230" s="30"/>
      <c r="JW230" s="30"/>
      <c r="JX230" s="30"/>
      <c r="JY230" s="30"/>
      <c r="JZ230" s="30"/>
      <c r="KA230" s="30"/>
      <c r="KB230" s="30"/>
      <c r="KC230" s="30"/>
      <c r="KD230" s="30"/>
      <c r="KE230" s="30"/>
      <c r="KF230" s="30"/>
      <c r="KG230" s="30"/>
      <c r="KH230" s="30"/>
      <c r="KI230" s="30"/>
      <c r="KJ230" s="30"/>
      <c r="KK230" s="30"/>
      <c r="KL230" s="30"/>
      <c r="KM230" s="30"/>
      <c r="KN230" s="30"/>
      <c r="KO230" s="30"/>
      <c r="KP230" s="30"/>
      <c r="KQ230" s="30"/>
      <c r="KR230" s="30"/>
      <c r="KS230" s="30"/>
      <c r="KT230" s="30"/>
      <c r="KU230" s="30"/>
      <c r="KV230" s="30"/>
      <c r="KW230" s="30"/>
      <c r="KX230" s="30"/>
      <c r="KY230" s="30"/>
      <c r="KZ230" s="30"/>
      <c r="LA230" s="30"/>
      <c r="LB230" s="30"/>
      <c r="LC230" s="30"/>
      <c r="LD230" s="30"/>
      <c r="LE230" s="30"/>
      <c r="LF230" s="30"/>
      <c r="LG230" s="30"/>
      <c r="LH230" s="30"/>
      <c r="LI230" s="30"/>
      <c r="LJ230" s="30"/>
      <c r="LK230" s="30"/>
      <c r="LL230" s="30"/>
      <c r="LM230" s="30"/>
      <c r="LN230" s="30"/>
      <c r="LO230" s="30"/>
      <c r="LP230" s="30"/>
      <c r="LQ230" s="30"/>
      <c r="LR230" s="30"/>
      <c r="LS230" s="30"/>
      <c r="LT230" s="30"/>
      <c r="LU230" s="30"/>
      <c r="LV230" s="30"/>
      <c r="LW230" s="30"/>
      <c r="LX230" s="30"/>
      <c r="LY230" s="30"/>
      <c r="LZ230" s="30"/>
      <c r="MA230" s="30"/>
      <c r="MB230" s="30"/>
      <c r="MC230" s="30"/>
      <c r="MD230" s="30"/>
      <c r="ME230" s="30"/>
      <c r="MF230" s="30"/>
      <c r="MG230" s="30"/>
      <c r="MH230" s="30"/>
      <c r="MI230" s="30"/>
      <c r="MJ230" s="30"/>
      <c r="MK230" s="30"/>
      <c r="ML230" s="30"/>
      <c r="MM230" s="30"/>
      <c r="MN230" s="30"/>
      <c r="MO230" s="30"/>
      <c r="MP230" s="30"/>
      <c r="MQ230" s="30"/>
      <c r="MR230" s="30"/>
      <c r="MS230" s="30"/>
      <c r="MT230" s="30"/>
      <c r="MU230" s="30"/>
      <c r="MV230" s="30"/>
      <c r="MW230" s="30"/>
      <c r="MX230" s="30"/>
      <c r="MY230" s="30"/>
      <c r="MZ230" s="30"/>
      <c r="NA230" s="30"/>
      <c r="NB230" s="30"/>
      <c r="NC230" s="30"/>
      <c r="ND230" s="30"/>
      <c r="NE230" s="30"/>
      <c r="NF230" s="30"/>
      <c r="NG230" s="30"/>
      <c r="NH230" s="30"/>
      <c r="NI230" s="30"/>
      <c r="NJ230" s="30"/>
      <c r="NK230" s="30"/>
      <c r="NL230" s="30"/>
      <c r="NM230" s="30"/>
      <c r="NN230" s="30"/>
      <c r="NO230" s="30"/>
      <c r="NP230" s="30"/>
      <c r="NQ230" s="30"/>
      <c r="NR230" s="30"/>
      <c r="NS230" s="30"/>
      <c r="NT230" s="30"/>
      <c r="NU230" s="30"/>
      <c r="NV230" s="30"/>
      <c r="NW230" s="30"/>
      <c r="NX230" s="30"/>
      <c r="NY230" s="30"/>
      <c r="NZ230" s="30"/>
      <c r="OA230" s="30"/>
      <c r="OB230" s="30"/>
      <c r="OC230" s="30"/>
      <c r="OD230" s="30"/>
      <c r="OE230" s="30"/>
      <c r="OF230" s="30"/>
      <c r="OG230" s="30"/>
      <c r="OH230" s="30"/>
      <c r="OI230" s="30"/>
      <c r="OJ230" s="30"/>
      <c r="OK230" s="30"/>
      <c r="OL230" s="30"/>
      <c r="OM230" s="30"/>
      <c r="ON230" s="30"/>
      <c r="OO230" s="30"/>
      <c r="OP230" s="30"/>
      <c r="OQ230" s="30"/>
      <c r="OR230" s="30"/>
      <c r="OS230" s="30"/>
      <c r="OT230" s="30"/>
      <c r="OU230" s="30"/>
      <c r="OV230" s="30"/>
      <c r="OW230" s="30"/>
      <c r="OX230" s="30"/>
      <c r="OY230" s="30"/>
      <c r="OZ230" s="30"/>
      <c r="PA230" s="30"/>
      <c r="PB230" s="30"/>
      <c r="PC230" s="30"/>
      <c r="PD230" s="30"/>
      <c r="PE230" s="30"/>
      <c r="PF230" s="30"/>
      <c r="PG230" s="30"/>
      <c r="PH230" s="30"/>
      <c r="PI230" s="30"/>
      <c r="PJ230" s="30"/>
      <c r="PK230" s="30"/>
      <c r="PL230" s="30"/>
      <c r="PM230" s="30"/>
      <c r="PN230" s="30"/>
      <c r="PO230" s="30"/>
      <c r="PP230" s="30"/>
      <c r="PQ230" s="30"/>
      <c r="PR230" s="30"/>
      <c r="PS230" s="30"/>
      <c r="PT230" s="30"/>
      <c r="PU230" s="30"/>
      <c r="PV230" s="30"/>
      <c r="PW230" s="30"/>
      <c r="PX230" s="30"/>
      <c r="PY230" s="30"/>
      <c r="PZ230" s="30"/>
      <c r="QA230" s="30"/>
      <c r="QB230" s="30"/>
      <c r="QC230" s="30"/>
      <c r="QD230" s="30"/>
      <c r="QE230" s="30"/>
      <c r="QF230" s="30"/>
      <c r="QG230" s="30"/>
      <c r="QH230" s="30"/>
      <c r="QI230" s="30"/>
      <c r="QJ230" s="30"/>
      <c r="QK230" s="30"/>
      <c r="QL230" s="30"/>
      <c r="QM230" s="30"/>
      <c r="QN230" s="30"/>
      <c r="QO230" s="30"/>
      <c r="QP230" s="30"/>
      <c r="QQ230" s="30"/>
      <c r="QR230" s="30"/>
      <c r="QS230" s="30"/>
      <c r="QT230" s="30"/>
      <c r="QU230" s="30"/>
      <c r="QV230" s="30"/>
      <c r="QW230" s="30"/>
      <c r="QX230" s="30"/>
      <c r="QY230" s="30"/>
      <c r="QZ230" s="30"/>
      <c r="RA230" s="30"/>
      <c r="RB230" s="30"/>
      <c r="RC230" s="30"/>
      <c r="RD230" s="30"/>
      <c r="RE230" s="30"/>
      <c r="RF230" s="30"/>
      <c r="RG230" s="30"/>
      <c r="RH230" s="30"/>
      <c r="RI230" s="30"/>
      <c r="RJ230" s="30"/>
      <c r="RK230" s="30"/>
      <c r="RL230" s="30"/>
      <c r="RM230" s="30"/>
      <c r="RN230" s="30"/>
      <c r="RO230" s="30"/>
      <c r="RP230" s="30"/>
      <c r="RQ230" s="30"/>
      <c r="RR230" s="30"/>
      <c r="RS230" s="30"/>
      <c r="RT230" s="30"/>
      <c r="RU230" s="30"/>
      <c r="RV230" s="30"/>
      <c r="RW230" s="30"/>
      <c r="RX230" s="30"/>
      <c r="RY230" s="30"/>
      <c r="RZ230" s="30"/>
      <c r="SA230" s="30"/>
      <c r="SB230" s="30"/>
      <c r="SC230" s="30"/>
      <c r="SD230" s="30"/>
      <c r="SE230" s="30"/>
      <c r="SF230" s="30"/>
      <c r="SG230" s="30"/>
      <c r="SH230" s="30"/>
      <c r="SI230" s="30"/>
      <c r="SJ230" s="30"/>
      <c r="SK230" s="30"/>
      <c r="SL230" s="30"/>
      <c r="SM230" s="30"/>
      <c r="SN230" s="30"/>
      <c r="SO230" s="30"/>
      <c r="SP230" s="30"/>
      <c r="SQ230" s="30"/>
      <c r="SR230" s="30"/>
      <c r="SS230" s="30"/>
      <c r="ST230" s="30"/>
      <c r="SU230" s="30"/>
      <c r="SV230" s="30"/>
      <c r="SW230" s="30"/>
      <c r="SX230" s="30"/>
      <c r="SY230" s="30"/>
      <c r="SZ230" s="30"/>
      <c r="TA230" s="30"/>
      <c r="TB230" s="30"/>
      <c r="TC230" s="30"/>
      <c r="TD230" s="30"/>
      <c r="TE230" s="30"/>
    </row>
    <row r="231" spans="1:525" s="22" customFormat="1" ht="22.5" hidden="1" customHeight="1" x14ac:dyDescent="0.25">
      <c r="A231" s="56" t="s">
        <v>142</v>
      </c>
      <c r="B231" s="84" t="str">
        <f>'дод 3'!A221</f>
        <v>7640</v>
      </c>
      <c r="C231" s="84" t="str">
        <f>'дод 3'!B221</f>
        <v>0470</v>
      </c>
      <c r="D231" s="57" t="s">
        <v>416</v>
      </c>
      <c r="E231" s="139">
        <f t="shared" si="94"/>
        <v>0</v>
      </c>
      <c r="F231" s="139"/>
      <c r="G231" s="139"/>
      <c r="H231" s="139"/>
      <c r="I231" s="139"/>
      <c r="J231" s="139">
        <f t="shared" si="96"/>
        <v>0</v>
      </c>
      <c r="K231" s="139">
        <f>850000-500000-350000</f>
        <v>0</v>
      </c>
      <c r="L231" s="139"/>
      <c r="M231" s="139"/>
      <c r="N231" s="139"/>
      <c r="O231" s="139">
        <f>850000-500000-350000</f>
        <v>0</v>
      </c>
      <c r="P231" s="139">
        <f t="shared" si="95"/>
        <v>0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</row>
    <row r="232" spans="1:525" s="22" customFormat="1" ht="35.25" customHeight="1" x14ac:dyDescent="0.25">
      <c r="A232" s="56">
        <v>1018340</v>
      </c>
      <c r="B232" s="84" t="str">
        <f>'дод 3'!A243</f>
        <v>8340</v>
      </c>
      <c r="C232" s="84" t="str">
        <f>'дод 3'!B243</f>
        <v>0540</v>
      </c>
      <c r="D232" s="99" t="str">
        <f>'дод 3'!C243</f>
        <v>Природоохоронні заходи за рахунок цільових фондів</v>
      </c>
      <c r="E232" s="139">
        <f t="shared" si="94"/>
        <v>0</v>
      </c>
      <c r="F232" s="139"/>
      <c r="G232" s="139"/>
      <c r="H232" s="139"/>
      <c r="I232" s="139"/>
      <c r="J232" s="139">
        <f t="shared" si="96"/>
        <v>4500</v>
      </c>
      <c r="K232" s="139"/>
      <c r="L232" s="139">
        <v>4500</v>
      </c>
      <c r="M232" s="139"/>
      <c r="N232" s="139"/>
      <c r="O232" s="139"/>
      <c r="P232" s="139">
        <f t="shared" si="95"/>
        <v>4500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</row>
    <row r="233" spans="1:525" s="27" customFormat="1" ht="34.5" customHeight="1" x14ac:dyDescent="0.25">
      <c r="A233" s="96" t="s">
        <v>191</v>
      </c>
      <c r="B233" s="98"/>
      <c r="C233" s="98"/>
      <c r="D233" s="93" t="s">
        <v>31</v>
      </c>
      <c r="E233" s="137">
        <f>E234</f>
        <v>426330974</v>
      </c>
      <c r="F233" s="137">
        <f t="shared" ref="F233:J233" si="97">F234</f>
        <v>242949400</v>
      </c>
      <c r="G233" s="137">
        <f t="shared" si="97"/>
        <v>10792000</v>
      </c>
      <c r="H233" s="137">
        <f t="shared" si="97"/>
        <v>44870800</v>
      </c>
      <c r="I233" s="137">
        <f t="shared" si="97"/>
        <v>183381574</v>
      </c>
      <c r="J233" s="137">
        <f t="shared" si="97"/>
        <v>301135875</v>
      </c>
      <c r="K233" s="137">
        <f t="shared" ref="K233" si="98">K234</f>
        <v>293464440</v>
      </c>
      <c r="L233" s="137">
        <f t="shared" ref="L233" si="99">L234</f>
        <v>5361561</v>
      </c>
      <c r="M233" s="137">
        <f t="shared" ref="M233" si="100">M234</f>
        <v>0</v>
      </c>
      <c r="N233" s="137">
        <f t="shared" ref="N233" si="101">N234</f>
        <v>0</v>
      </c>
      <c r="O233" s="137">
        <f t="shared" ref="O233:P233" si="102">O234</f>
        <v>295774314</v>
      </c>
      <c r="P233" s="137">
        <f t="shared" si="102"/>
        <v>727466849</v>
      </c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  <c r="IQ233" s="32"/>
      <c r="IR233" s="32"/>
      <c r="IS233" s="32"/>
      <c r="IT233" s="32"/>
      <c r="IU233" s="32"/>
      <c r="IV233" s="32"/>
      <c r="IW233" s="32"/>
      <c r="IX233" s="32"/>
      <c r="IY233" s="32"/>
      <c r="IZ233" s="32"/>
      <c r="JA233" s="32"/>
      <c r="JB233" s="32"/>
      <c r="JC233" s="32"/>
      <c r="JD233" s="32"/>
      <c r="JE233" s="32"/>
      <c r="JF233" s="32"/>
      <c r="JG233" s="32"/>
      <c r="JH233" s="32"/>
      <c r="JI233" s="32"/>
      <c r="JJ233" s="32"/>
      <c r="JK233" s="32"/>
      <c r="JL233" s="32"/>
      <c r="JM233" s="32"/>
      <c r="JN233" s="32"/>
      <c r="JO233" s="32"/>
      <c r="JP233" s="32"/>
      <c r="JQ233" s="32"/>
      <c r="JR233" s="32"/>
      <c r="JS233" s="32"/>
      <c r="JT233" s="32"/>
      <c r="JU233" s="32"/>
      <c r="JV233" s="32"/>
      <c r="JW233" s="32"/>
      <c r="JX233" s="32"/>
      <c r="JY233" s="32"/>
      <c r="JZ233" s="32"/>
      <c r="KA233" s="32"/>
      <c r="KB233" s="32"/>
      <c r="KC233" s="32"/>
      <c r="KD233" s="32"/>
      <c r="KE233" s="32"/>
      <c r="KF233" s="32"/>
      <c r="KG233" s="32"/>
      <c r="KH233" s="32"/>
      <c r="KI233" s="32"/>
      <c r="KJ233" s="32"/>
      <c r="KK233" s="32"/>
      <c r="KL233" s="32"/>
      <c r="KM233" s="32"/>
      <c r="KN233" s="32"/>
      <c r="KO233" s="32"/>
      <c r="KP233" s="32"/>
      <c r="KQ233" s="32"/>
      <c r="KR233" s="32"/>
      <c r="KS233" s="32"/>
      <c r="KT233" s="32"/>
      <c r="KU233" s="32"/>
      <c r="KV233" s="32"/>
      <c r="KW233" s="32"/>
      <c r="KX233" s="32"/>
      <c r="KY233" s="32"/>
      <c r="KZ233" s="32"/>
      <c r="LA233" s="32"/>
      <c r="LB233" s="32"/>
      <c r="LC233" s="32"/>
      <c r="LD233" s="32"/>
      <c r="LE233" s="32"/>
      <c r="LF233" s="32"/>
      <c r="LG233" s="32"/>
      <c r="LH233" s="32"/>
      <c r="LI233" s="32"/>
      <c r="LJ233" s="32"/>
      <c r="LK233" s="32"/>
      <c r="LL233" s="32"/>
      <c r="LM233" s="32"/>
      <c r="LN233" s="32"/>
      <c r="LO233" s="32"/>
      <c r="LP233" s="32"/>
      <c r="LQ233" s="32"/>
      <c r="LR233" s="32"/>
      <c r="LS233" s="32"/>
      <c r="LT233" s="32"/>
      <c r="LU233" s="32"/>
      <c r="LV233" s="32"/>
      <c r="LW233" s="32"/>
      <c r="LX233" s="32"/>
      <c r="LY233" s="32"/>
      <c r="LZ233" s="32"/>
      <c r="MA233" s="32"/>
      <c r="MB233" s="32"/>
      <c r="MC233" s="32"/>
      <c r="MD233" s="32"/>
      <c r="ME233" s="32"/>
      <c r="MF233" s="32"/>
      <c r="MG233" s="32"/>
      <c r="MH233" s="32"/>
      <c r="MI233" s="32"/>
      <c r="MJ233" s="32"/>
      <c r="MK233" s="32"/>
      <c r="ML233" s="32"/>
      <c r="MM233" s="32"/>
      <c r="MN233" s="32"/>
      <c r="MO233" s="32"/>
      <c r="MP233" s="32"/>
      <c r="MQ233" s="32"/>
      <c r="MR233" s="32"/>
      <c r="MS233" s="32"/>
      <c r="MT233" s="32"/>
      <c r="MU233" s="32"/>
      <c r="MV233" s="32"/>
      <c r="MW233" s="32"/>
      <c r="MX233" s="32"/>
      <c r="MY233" s="32"/>
      <c r="MZ233" s="32"/>
      <c r="NA233" s="32"/>
      <c r="NB233" s="32"/>
      <c r="NC233" s="32"/>
      <c r="ND233" s="32"/>
      <c r="NE233" s="32"/>
      <c r="NF233" s="32"/>
      <c r="NG233" s="32"/>
      <c r="NH233" s="32"/>
      <c r="NI233" s="32"/>
      <c r="NJ233" s="32"/>
      <c r="NK233" s="32"/>
      <c r="NL233" s="32"/>
      <c r="NM233" s="32"/>
      <c r="NN233" s="32"/>
      <c r="NO233" s="32"/>
      <c r="NP233" s="32"/>
      <c r="NQ233" s="32"/>
      <c r="NR233" s="32"/>
      <c r="NS233" s="32"/>
      <c r="NT233" s="32"/>
      <c r="NU233" s="32"/>
      <c r="NV233" s="32"/>
      <c r="NW233" s="32"/>
      <c r="NX233" s="32"/>
      <c r="NY233" s="32"/>
      <c r="NZ233" s="32"/>
      <c r="OA233" s="32"/>
      <c r="OB233" s="32"/>
      <c r="OC233" s="32"/>
      <c r="OD233" s="32"/>
      <c r="OE233" s="32"/>
      <c r="OF233" s="32"/>
      <c r="OG233" s="32"/>
      <c r="OH233" s="32"/>
      <c r="OI233" s="32"/>
      <c r="OJ233" s="32"/>
      <c r="OK233" s="32"/>
      <c r="OL233" s="32"/>
      <c r="OM233" s="32"/>
      <c r="ON233" s="32"/>
      <c r="OO233" s="32"/>
      <c r="OP233" s="32"/>
      <c r="OQ233" s="32"/>
      <c r="OR233" s="32"/>
      <c r="OS233" s="32"/>
      <c r="OT233" s="32"/>
      <c r="OU233" s="32"/>
      <c r="OV233" s="32"/>
      <c r="OW233" s="32"/>
      <c r="OX233" s="32"/>
      <c r="OY233" s="32"/>
      <c r="OZ233" s="32"/>
      <c r="PA233" s="32"/>
      <c r="PB233" s="32"/>
      <c r="PC233" s="32"/>
      <c r="PD233" s="32"/>
      <c r="PE233" s="32"/>
      <c r="PF233" s="32"/>
      <c r="PG233" s="32"/>
      <c r="PH233" s="32"/>
      <c r="PI233" s="32"/>
      <c r="PJ233" s="32"/>
      <c r="PK233" s="32"/>
      <c r="PL233" s="32"/>
      <c r="PM233" s="32"/>
      <c r="PN233" s="32"/>
      <c r="PO233" s="32"/>
      <c r="PP233" s="32"/>
      <c r="PQ233" s="32"/>
      <c r="PR233" s="32"/>
      <c r="PS233" s="32"/>
      <c r="PT233" s="32"/>
      <c r="PU233" s="32"/>
      <c r="PV233" s="32"/>
      <c r="PW233" s="32"/>
      <c r="PX233" s="32"/>
      <c r="PY233" s="32"/>
      <c r="PZ233" s="32"/>
      <c r="QA233" s="32"/>
      <c r="QB233" s="32"/>
      <c r="QC233" s="32"/>
      <c r="QD233" s="32"/>
      <c r="QE233" s="32"/>
      <c r="QF233" s="32"/>
      <c r="QG233" s="32"/>
      <c r="QH233" s="32"/>
      <c r="QI233" s="32"/>
      <c r="QJ233" s="32"/>
      <c r="QK233" s="32"/>
      <c r="QL233" s="32"/>
      <c r="QM233" s="32"/>
      <c r="QN233" s="32"/>
      <c r="QO233" s="32"/>
      <c r="QP233" s="32"/>
      <c r="QQ233" s="32"/>
      <c r="QR233" s="32"/>
      <c r="QS233" s="32"/>
      <c r="QT233" s="32"/>
      <c r="QU233" s="32"/>
      <c r="QV233" s="32"/>
      <c r="QW233" s="32"/>
      <c r="QX233" s="32"/>
      <c r="QY233" s="32"/>
      <c r="QZ233" s="32"/>
      <c r="RA233" s="32"/>
      <c r="RB233" s="32"/>
      <c r="RC233" s="32"/>
      <c r="RD233" s="32"/>
      <c r="RE233" s="32"/>
      <c r="RF233" s="32"/>
      <c r="RG233" s="32"/>
      <c r="RH233" s="32"/>
      <c r="RI233" s="32"/>
      <c r="RJ233" s="32"/>
      <c r="RK233" s="32"/>
      <c r="RL233" s="32"/>
      <c r="RM233" s="32"/>
      <c r="RN233" s="32"/>
      <c r="RO233" s="32"/>
      <c r="RP233" s="32"/>
      <c r="RQ233" s="32"/>
      <c r="RR233" s="32"/>
      <c r="RS233" s="32"/>
      <c r="RT233" s="32"/>
      <c r="RU233" s="32"/>
      <c r="RV233" s="32"/>
      <c r="RW233" s="32"/>
      <c r="RX233" s="32"/>
      <c r="RY233" s="32"/>
      <c r="RZ233" s="32"/>
      <c r="SA233" s="32"/>
      <c r="SB233" s="32"/>
      <c r="SC233" s="32"/>
      <c r="SD233" s="32"/>
      <c r="SE233" s="32"/>
      <c r="SF233" s="32"/>
      <c r="SG233" s="32"/>
      <c r="SH233" s="32"/>
      <c r="SI233" s="32"/>
      <c r="SJ233" s="32"/>
      <c r="SK233" s="32"/>
      <c r="SL233" s="32"/>
      <c r="SM233" s="32"/>
      <c r="SN233" s="32"/>
      <c r="SO233" s="32"/>
      <c r="SP233" s="32"/>
      <c r="SQ233" s="32"/>
      <c r="SR233" s="32"/>
      <c r="SS233" s="32"/>
      <c r="ST233" s="32"/>
      <c r="SU233" s="32"/>
      <c r="SV233" s="32"/>
      <c r="SW233" s="32"/>
      <c r="SX233" s="32"/>
      <c r="SY233" s="32"/>
      <c r="SZ233" s="32"/>
      <c r="TA233" s="32"/>
      <c r="TB233" s="32"/>
      <c r="TC233" s="32"/>
      <c r="TD233" s="32"/>
      <c r="TE233" s="32"/>
    </row>
    <row r="234" spans="1:525" s="34" customFormat="1" ht="31.5" x14ac:dyDescent="0.25">
      <c r="A234" s="86" t="s">
        <v>192</v>
      </c>
      <c r="B234" s="95"/>
      <c r="C234" s="95"/>
      <c r="D234" s="70" t="s">
        <v>31</v>
      </c>
      <c r="E234" s="138">
        <f>E241+E242+E243+E244+E245+E246+E247+E248+E249+E253+E254+E255+E257+E256+E259+E261+E266+E268+E269+E270+E272+E275+E276+E278+E258+E263+E274+E273+E250+E252+E277</f>
        <v>426330974</v>
      </c>
      <c r="F234" s="138">
        <f t="shared" ref="F234:P234" si="103">F241+F242+F243+F244+F245+F246+F247+F248+F249+F253+F254+F255+F257+F256+F259+F261+F266+F268+F269+F270+F272+F275+F276+F278+F258+F263+F274+F273+F250+F252+F277</f>
        <v>242949400</v>
      </c>
      <c r="G234" s="138">
        <f t="shared" si="103"/>
        <v>10792000</v>
      </c>
      <c r="H234" s="138">
        <f t="shared" si="103"/>
        <v>44870800</v>
      </c>
      <c r="I234" s="138">
        <f t="shared" si="103"/>
        <v>183381574</v>
      </c>
      <c r="J234" s="138">
        <f t="shared" si="103"/>
        <v>301135875</v>
      </c>
      <c r="K234" s="138">
        <f>K241+K242+K243+K244+K245+K246+K247+K248+K249+K253+K254+K255+K257+K256+K259+K261+K266+K268+K269+K270+K272+K275+K276+K278+K258+K263+K274+K273+K250+K252+K277</f>
        <v>293464440</v>
      </c>
      <c r="L234" s="138">
        <f t="shared" si="103"/>
        <v>5361561</v>
      </c>
      <c r="M234" s="138">
        <f t="shared" si="103"/>
        <v>0</v>
      </c>
      <c r="N234" s="138">
        <f t="shared" si="103"/>
        <v>0</v>
      </c>
      <c r="O234" s="138">
        <f t="shared" si="103"/>
        <v>295774314</v>
      </c>
      <c r="P234" s="138">
        <f t="shared" si="103"/>
        <v>727466849</v>
      </c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  <c r="IW234" s="33"/>
      <c r="IX234" s="33"/>
      <c r="IY234" s="33"/>
      <c r="IZ234" s="33"/>
      <c r="JA234" s="33"/>
      <c r="JB234" s="33"/>
      <c r="JC234" s="33"/>
      <c r="JD234" s="33"/>
      <c r="JE234" s="33"/>
      <c r="JF234" s="33"/>
      <c r="JG234" s="33"/>
      <c r="JH234" s="33"/>
      <c r="JI234" s="33"/>
      <c r="JJ234" s="33"/>
      <c r="JK234" s="33"/>
      <c r="JL234" s="33"/>
      <c r="JM234" s="33"/>
      <c r="JN234" s="33"/>
      <c r="JO234" s="33"/>
      <c r="JP234" s="33"/>
      <c r="JQ234" s="33"/>
      <c r="JR234" s="33"/>
      <c r="JS234" s="33"/>
      <c r="JT234" s="33"/>
      <c r="JU234" s="33"/>
      <c r="JV234" s="33"/>
      <c r="JW234" s="33"/>
      <c r="JX234" s="33"/>
      <c r="JY234" s="33"/>
      <c r="JZ234" s="33"/>
      <c r="KA234" s="33"/>
      <c r="KB234" s="33"/>
      <c r="KC234" s="33"/>
      <c r="KD234" s="33"/>
      <c r="KE234" s="33"/>
      <c r="KF234" s="33"/>
      <c r="KG234" s="33"/>
      <c r="KH234" s="33"/>
      <c r="KI234" s="33"/>
      <c r="KJ234" s="33"/>
      <c r="KK234" s="33"/>
      <c r="KL234" s="33"/>
      <c r="KM234" s="33"/>
      <c r="KN234" s="33"/>
      <c r="KO234" s="33"/>
      <c r="KP234" s="33"/>
      <c r="KQ234" s="33"/>
      <c r="KR234" s="33"/>
      <c r="KS234" s="33"/>
      <c r="KT234" s="33"/>
      <c r="KU234" s="33"/>
      <c r="KV234" s="33"/>
      <c r="KW234" s="33"/>
      <c r="KX234" s="33"/>
      <c r="KY234" s="33"/>
      <c r="KZ234" s="33"/>
      <c r="LA234" s="33"/>
      <c r="LB234" s="33"/>
      <c r="LC234" s="33"/>
      <c r="LD234" s="33"/>
      <c r="LE234" s="33"/>
      <c r="LF234" s="33"/>
      <c r="LG234" s="33"/>
      <c r="LH234" s="33"/>
      <c r="LI234" s="33"/>
      <c r="LJ234" s="33"/>
      <c r="LK234" s="33"/>
      <c r="LL234" s="33"/>
      <c r="LM234" s="33"/>
      <c r="LN234" s="33"/>
      <c r="LO234" s="33"/>
      <c r="LP234" s="33"/>
      <c r="LQ234" s="33"/>
      <c r="LR234" s="33"/>
      <c r="LS234" s="33"/>
      <c r="LT234" s="33"/>
      <c r="LU234" s="33"/>
      <c r="LV234" s="33"/>
      <c r="LW234" s="33"/>
      <c r="LX234" s="33"/>
      <c r="LY234" s="33"/>
      <c r="LZ234" s="33"/>
      <c r="MA234" s="33"/>
      <c r="MB234" s="33"/>
      <c r="MC234" s="33"/>
      <c r="MD234" s="33"/>
      <c r="ME234" s="33"/>
      <c r="MF234" s="33"/>
      <c r="MG234" s="33"/>
      <c r="MH234" s="33"/>
      <c r="MI234" s="33"/>
      <c r="MJ234" s="33"/>
      <c r="MK234" s="33"/>
      <c r="ML234" s="33"/>
      <c r="MM234" s="33"/>
      <c r="MN234" s="33"/>
      <c r="MO234" s="33"/>
      <c r="MP234" s="33"/>
      <c r="MQ234" s="33"/>
      <c r="MR234" s="33"/>
      <c r="MS234" s="33"/>
      <c r="MT234" s="33"/>
      <c r="MU234" s="33"/>
      <c r="MV234" s="33"/>
      <c r="MW234" s="33"/>
      <c r="MX234" s="33"/>
      <c r="MY234" s="33"/>
      <c r="MZ234" s="33"/>
      <c r="NA234" s="33"/>
      <c r="NB234" s="33"/>
      <c r="NC234" s="33"/>
      <c r="ND234" s="33"/>
      <c r="NE234" s="33"/>
      <c r="NF234" s="33"/>
      <c r="NG234" s="33"/>
      <c r="NH234" s="33"/>
      <c r="NI234" s="33"/>
      <c r="NJ234" s="33"/>
      <c r="NK234" s="33"/>
      <c r="NL234" s="33"/>
      <c r="NM234" s="33"/>
      <c r="NN234" s="33"/>
      <c r="NO234" s="33"/>
      <c r="NP234" s="33"/>
      <c r="NQ234" s="33"/>
      <c r="NR234" s="33"/>
      <c r="NS234" s="33"/>
      <c r="NT234" s="33"/>
      <c r="NU234" s="33"/>
      <c r="NV234" s="33"/>
      <c r="NW234" s="33"/>
      <c r="NX234" s="33"/>
      <c r="NY234" s="33"/>
      <c r="NZ234" s="33"/>
      <c r="OA234" s="33"/>
      <c r="OB234" s="33"/>
      <c r="OC234" s="33"/>
      <c r="OD234" s="33"/>
      <c r="OE234" s="33"/>
      <c r="OF234" s="33"/>
      <c r="OG234" s="33"/>
      <c r="OH234" s="33"/>
      <c r="OI234" s="33"/>
      <c r="OJ234" s="33"/>
      <c r="OK234" s="33"/>
      <c r="OL234" s="33"/>
      <c r="OM234" s="33"/>
      <c r="ON234" s="33"/>
      <c r="OO234" s="33"/>
      <c r="OP234" s="33"/>
      <c r="OQ234" s="33"/>
      <c r="OR234" s="33"/>
      <c r="OS234" s="33"/>
      <c r="OT234" s="33"/>
      <c r="OU234" s="33"/>
      <c r="OV234" s="33"/>
      <c r="OW234" s="33"/>
      <c r="OX234" s="33"/>
      <c r="OY234" s="33"/>
      <c r="OZ234" s="33"/>
      <c r="PA234" s="33"/>
      <c r="PB234" s="33"/>
      <c r="PC234" s="33"/>
      <c r="PD234" s="33"/>
      <c r="PE234" s="33"/>
      <c r="PF234" s="33"/>
      <c r="PG234" s="33"/>
      <c r="PH234" s="33"/>
      <c r="PI234" s="33"/>
      <c r="PJ234" s="33"/>
      <c r="PK234" s="33"/>
      <c r="PL234" s="33"/>
      <c r="PM234" s="33"/>
      <c r="PN234" s="33"/>
      <c r="PO234" s="33"/>
      <c r="PP234" s="33"/>
      <c r="PQ234" s="33"/>
      <c r="PR234" s="33"/>
      <c r="PS234" s="33"/>
      <c r="PT234" s="33"/>
      <c r="PU234" s="33"/>
      <c r="PV234" s="33"/>
      <c r="PW234" s="33"/>
      <c r="PX234" s="33"/>
      <c r="PY234" s="33"/>
      <c r="PZ234" s="33"/>
      <c r="QA234" s="33"/>
      <c r="QB234" s="33"/>
      <c r="QC234" s="33"/>
      <c r="QD234" s="33"/>
      <c r="QE234" s="33"/>
      <c r="QF234" s="33"/>
      <c r="QG234" s="33"/>
      <c r="QH234" s="33"/>
      <c r="QI234" s="33"/>
      <c r="QJ234" s="33"/>
      <c r="QK234" s="33"/>
      <c r="QL234" s="33"/>
      <c r="QM234" s="33"/>
      <c r="QN234" s="33"/>
      <c r="QO234" s="33"/>
      <c r="QP234" s="33"/>
      <c r="QQ234" s="33"/>
      <c r="QR234" s="33"/>
      <c r="QS234" s="33"/>
      <c r="QT234" s="33"/>
      <c r="QU234" s="33"/>
      <c r="QV234" s="33"/>
      <c r="QW234" s="33"/>
      <c r="QX234" s="33"/>
      <c r="QY234" s="33"/>
      <c r="QZ234" s="33"/>
      <c r="RA234" s="33"/>
      <c r="RB234" s="33"/>
      <c r="RC234" s="33"/>
      <c r="RD234" s="33"/>
      <c r="RE234" s="33"/>
      <c r="RF234" s="33"/>
      <c r="RG234" s="33"/>
      <c r="RH234" s="33"/>
      <c r="RI234" s="33"/>
      <c r="RJ234" s="33"/>
      <c r="RK234" s="33"/>
      <c r="RL234" s="33"/>
      <c r="RM234" s="33"/>
      <c r="RN234" s="33"/>
      <c r="RO234" s="33"/>
      <c r="RP234" s="33"/>
      <c r="RQ234" s="33"/>
      <c r="RR234" s="33"/>
      <c r="RS234" s="33"/>
      <c r="RT234" s="33"/>
      <c r="RU234" s="33"/>
      <c r="RV234" s="33"/>
      <c r="RW234" s="33"/>
      <c r="RX234" s="33"/>
      <c r="RY234" s="33"/>
      <c r="RZ234" s="33"/>
      <c r="SA234" s="33"/>
      <c r="SB234" s="33"/>
      <c r="SC234" s="33"/>
      <c r="SD234" s="33"/>
      <c r="SE234" s="33"/>
      <c r="SF234" s="33"/>
      <c r="SG234" s="33"/>
      <c r="SH234" s="33"/>
      <c r="SI234" s="33"/>
      <c r="SJ234" s="33"/>
      <c r="SK234" s="33"/>
      <c r="SL234" s="33"/>
      <c r="SM234" s="33"/>
      <c r="SN234" s="33"/>
      <c r="SO234" s="33"/>
      <c r="SP234" s="33"/>
      <c r="SQ234" s="33"/>
      <c r="SR234" s="33"/>
      <c r="SS234" s="33"/>
      <c r="ST234" s="33"/>
      <c r="SU234" s="33"/>
      <c r="SV234" s="33"/>
      <c r="SW234" s="33"/>
      <c r="SX234" s="33"/>
      <c r="SY234" s="33"/>
      <c r="SZ234" s="33"/>
      <c r="TA234" s="33"/>
      <c r="TB234" s="33"/>
      <c r="TC234" s="33"/>
      <c r="TD234" s="33"/>
      <c r="TE234" s="33"/>
    </row>
    <row r="235" spans="1:525" s="34" customFormat="1" ht="117.75" hidden="1" customHeight="1" x14ac:dyDescent="0.25">
      <c r="A235" s="86"/>
      <c r="B235" s="95"/>
      <c r="C235" s="95"/>
      <c r="D235" s="70" t="s">
        <v>391</v>
      </c>
      <c r="E235" s="138">
        <f>E264</f>
        <v>0</v>
      </c>
      <c r="F235" s="138">
        <f t="shared" ref="F235:P235" si="104">F264</f>
        <v>0</v>
      </c>
      <c r="G235" s="138">
        <f t="shared" si="104"/>
        <v>0</v>
      </c>
      <c r="H235" s="138">
        <f t="shared" si="104"/>
        <v>0</v>
      </c>
      <c r="I235" s="138">
        <f t="shared" si="104"/>
        <v>0</v>
      </c>
      <c r="J235" s="138">
        <f t="shared" si="104"/>
        <v>0</v>
      </c>
      <c r="K235" s="138">
        <f t="shared" si="104"/>
        <v>0</v>
      </c>
      <c r="L235" s="138">
        <f t="shared" si="104"/>
        <v>0</v>
      </c>
      <c r="M235" s="138">
        <f t="shared" si="104"/>
        <v>0</v>
      </c>
      <c r="N235" s="138">
        <f t="shared" si="104"/>
        <v>0</v>
      </c>
      <c r="O235" s="138">
        <f t="shared" si="104"/>
        <v>0</v>
      </c>
      <c r="P235" s="138">
        <f t="shared" si="104"/>
        <v>0</v>
      </c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  <c r="IV235" s="33"/>
      <c r="IW235" s="33"/>
      <c r="IX235" s="33"/>
      <c r="IY235" s="33"/>
      <c r="IZ235" s="33"/>
      <c r="JA235" s="33"/>
      <c r="JB235" s="33"/>
      <c r="JC235" s="33"/>
      <c r="JD235" s="33"/>
      <c r="JE235" s="33"/>
      <c r="JF235" s="33"/>
      <c r="JG235" s="33"/>
      <c r="JH235" s="33"/>
      <c r="JI235" s="33"/>
      <c r="JJ235" s="33"/>
      <c r="JK235" s="33"/>
      <c r="JL235" s="33"/>
      <c r="JM235" s="33"/>
      <c r="JN235" s="33"/>
      <c r="JO235" s="33"/>
      <c r="JP235" s="33"/>
      <c r="JQ235" s="33"/>
      <c r="JR235" s="33"/>
      <c r="JS235" s="33"/>
      <c r="JT235" s="33"/>
      <c r="JU235" s="33"/>
      <c r="JV235" s="33"/>
      <c r="JW235" s="33"/>
      <c r="JX235" s="33"/>
      <c r="JY235" s="33"/>
      <c r="JZ235" s="33"/>
      <c r="KA235" s="33"/>
      <c r="KB235" s="33"/>
      <c r="KC235" s="33"/>
      <c r="KD235" s="33"/>
      <c r="KE235" s="33"/>
      <c r="KF235" s="33"/>
      <c r="KG235" s="33"/>
      <c r="KH235" s="33"/>
      <c r="KI235" s="33"/>
      <c r="KJ235" s="33"/>
      <c r="KK235" s="33"/>
      <c r="KL235" s="33"/>
      <c r="KM235" s="33"/>
      <c r="KN235" s="33"/>
      <c r="KO235" s="33"/>
      <c r="KP235" s="33"/>
      <c r="KQ235" s="33"/>
      <c r="KR235" s="33"/>
      <c r="KS235" s="33"/>
      <c r="KT235" s="33"/>
      <c r="KU235" s="33"/>
      <c r="KV235" s="33"/>
      <c r="KW235" s="33"/>
      <c r="KX235" s="33"/>
      <c r="KY235" s="33"/>
      <c r="KZ235" s="33"/>
      <c r="LA235" s="33"/>
      <c r="LB235" s="33"/>
      <c r="LC235" s="33"/>
      <c r="LD235" s="33"/>
      <c r="LE235" s="33"/>
      <c r="LF235" s="33"/>
      <c r="LG235" s="33"/>
      <c r="LH235" s="33"/>
      <c r="LI235" s="33"/>
      <c r="LJ235" s="33"/>
      <c r="LK235" s="33"/>
      <c r="LL235" s="33"/>
      <c r="LM235" s="33"/>
      <c r="LN235" s="33"/>
      <c r="LO235" s="33"/>
      <c r="LP235" s="33"/>
      <c r="LQ235" s="33"/>
      <c r="LR235" s="33"/>
      <c r="LS235" s="33"/>
      <c r="LT235" s="33"/>
      <c r="LU235" s="33"/>
      <c r="LV235" s="33"/>
      <c r="LW235" s="33"/>
      <c r="LX235" s="33"/>
      <c r="LY235" s="33"/>
      <c r="LZ235" s="33"/>
      <c r="MA235" s="33"/>
      <c r="MB235" s="33"/>
      <c r="MC235" s="33"/>
      <c r="MD235" s="33"/>
      <c r="ME235" s="33"/>
      <c r="MF235" s="33"/>
      <c r="MG235" s="33"/>
      <c r="MH235" s="33"/>
      <c r="MI235" s="33"/>
      <c r="MJ235" s="33"/>
      <c r="MK235" s="33"/>
      <c r="ML235" s="33"/>
      <c r="MM235" s="33"/>
      <c r="MN235" s="33"/>
      <c r="MO235" s="33"/>
      <c r="MP235" s="33"/>
      <c r="MQ235" s="33"/>
      <c r="MR235" s="33"/>
      <c r="MS235" s="33"/>
      <c r="MT235" s="33"/>
      <c r="MU235" s="33"/>
      <c r="MV235" s="33"/>
      <c r="MW235" s="33"/>
      <c r="MX235" s="33"/>
      <c r="MY235" s="33"/>
      <c r="MZ235" s="33"/>
      <c r="NA235" s="33"/>
      <c r="NB235" s="33"/>
      <c r="NC235" s="33"/>
      <c r="ND235" s="33"/>
      <c r="NE235" s="33"/>
      <c r="NF235" s="33"/>
      <c r="NG235" s="33"/>
      <c r="NH235" s="33"/>
      <c r="NI235" s="33"/>
      <c r="NJ235" s="33"/>
      <c r="NK235" s="33"/>
      <c r="NL235" s="33"/>
      <c r="NM235" s="33"/>
      <c r="NN235" s="33"/>
      <c r="NO235" s="33"/>
      <c r="NP235" s="33"/>
      <c r="NQ235" s="33"/>
      <c r="NR235" s="33"/>
      <c r="NS235" s="33"/>
      <c r="NT235" s="33"/>
      <c r="NU235" s="33"/>
      <c r="NV235" s="33"/>
      <c r="NW235" s="33"/>
      <c r="NX235" s="33"/>
      <c r="NY235" s="33"/>
      <c r="NZ235" s="33"/>
      <c r="OA235" s="33"/>
      <c r="OB235" s="33"/>
      <c r="OC235" s="33"/>
      <c r="OD235" s="33"/>
      <c r="OE235" s="33"/>
      <c r="OF235" s="33"/>
      <c r="OG235" s="33"/>
      <c r="OH235" s="33"/>
      <c r="OI235" s="33"/>
      <c r="OJ235" s="33"/>
      <c r="OK235" s="33"/>
      <c r="OL235" s="33"/>
      <c r="OM235" s="33"/>
      <c r="ON235" s="33"/>
      <c r="OO235" s="33"/>
      <c r="OP235" s="33"/>
      <c r="OQ235" s="33"/>
      <c r="OR235" s="33"/>
      <c r="OS235" s="33"/>
      <c r="OT235" s="33"/>
      <c r="OU235" s="33"/>
      <c r="OV235" s="33"/>
      <c r="OW235" s="33"/>
      <c r="OX235" s="33"/>
      <c r="OY235" s="33"/>
      <c r="OZ235" s="33"/>
      <c r="PA235" s="33"/>
      <c r="PB235" s="33"/>
      <c r="PC235" s="33"/>
      <c r="PD235" s="33"/>
      <c r="PE235" s="33"/>
      <c r="PF235" s="33"/>
      <c r="PG235" s="33"/>
      <c r="PH235" s="33"/>
      <c r="PI235" s="33"/>
      <c r="PJ235" s="33"/>
      <c r="PK235" s="33"/>
      <c r="PL235" s="33"/>
      <c r="PM235" s="33"/>
      <c r="PN235" s="33"/>
      <c r="PO235" s="33"/>
      <c r="PP235" s="33"/>
      <c r="PQ235" s="33"/>
      <c r="PR235" s="33"/>
      <c r="PS235" s="33"/>
      <c r="PT235" s="33"/>
      <c r="PU235" s="33"/>
      <c r="PV235" s="33"/>
      <c r="PW235" s="33"/>
      <c r="PX235" s="33"/>
      <c r="PY235" s="33"/>
      <c r="PZ235" s="33"/>
      <c r="QA235" s="33"/>
      <c r="QB235" s="33"/>
      <c r="QC235" s="33"/>
      <c r="QD235" s="33"/>
      <c r="QE235" s="33"/>
      <c r="QF235" s="33"/>
      <c r="QG235" s="33"/>
      <c r="QH235" s="33"/>
      <c r="QI235" s="33"/>
      <c r="QJ235" s="33"/>
      <c r="QK235" s="33"/>
      <c r="QL235" s="33"/>
      <c r="QM235" s="33"/>
      <c r="QN235" s="33"/>
      <c r="QO235" s="33"/>
      <c r="QP235" s="33"/>
      <c r="QQ235" s="33"/>
      <c r="QR235" s="33"/>
      <c r="QS235" s="33"/>
      <c r="QT235" s="33"/>
      <c r="QU235" s="33"/>
      <c r="QV235" s="33"/>
      <c r="QW235" s="33"/>
      <c r="QX235" s="33"/>
      <c r="QY235" s="33"/>
      <c r="QZ235" s="33"/>
      <c r="RA235" s="33"/>
      <c r="RB235" s="33"/>
      <c r="RC235" s="33"/>
      <c r="RD235" s="33"/>
      <c r="RE235" s="33"/>
      <c r="RF235" s="33"/>
      <c r="RG235" s="33"/>
      <c r="RH235" s="33"/>
      <c r="RI235" s="33"/>
      <c r="RJ235" s="33"/>
      <c r="RK235" s="33"/>
      <c r="RL235" s="33"/>
      <c r="RM235" s="33"/>
      <c r="RN235" s="33"/>
      <c r="RO235" s="33"/>
      <c r="RP235" s="33"/>
      <c r="RQ235" s="33"/>
      <c r="RR235" s="33"/>
      <c r="RS235" s="33"/>
      <c r="RT235" s="33"/>
      <c r="RU235" s="33"/>
      <c r="RV235" s="33"/>
      <c r="RW235" s="33"/>
      <c r="RX235" s="33"/>
      <c r="RY235" s="33"/>
      <c r="RZ235" s="33"/>
      <c r="SA235" s="33"/>
      <c r="SB235" s="33"/>
      <c r="SC235" s="33"/>
      <c r="SD235" s="33"/>
      <c r="SE235" s="33"/>
      <c r="SF235" s="33"/>
      <c r="SG235" s="33"/>
      <c r="SH235" s="33"/>
      <c r="SI235" s="33"/>
      <c r="SJ235" s="33"/>
      <c r="SK235" s="33"/>
      <c r="SL235" s="33"/>
      <c r="SM235" s="33"/>
      <c r="SN235" s="33"/>
      <c r="SO235" s="33"/>
      <c r="SP235" s="33"/>
      <c r="SQ235" s="33"/>
      <c r="SR235" s="33"/>
      <c r="SS235" s="33"/>
      <c r="ST235" s="33"/>
      <c r="SU235" s="33"/>
      <c r="SV235" s="33"/>
      <c r="SW235" s="33"/>
      <c r="SX235" s="33"/>
      <c r="SY235" s="33"/>
      <c r="SZ235" s="33"/>
      <c r="TA235" s="33"/>
      <c r="TB235" s="33"/>
      <c r="TC235" s="33"/>
      <c r="TD235" s="33"/>
      <c r="TE235" s="33"/>
    </row>
    <row r="236" spans="1:525" s="34" customFormat="1" ht="84" hidden="1" customHeight="1" x14ac:dyDescent="0.25">
      <c r="A236" s="86"/>
      <c r="B236" s="95"/>
      <c r="C236" s="95"/>
      <c r="D236" s="70" t="s">
        <v>517</v>
      </c>
      <c r="E236" s="138">
        <f>E265</f>
        <v>0</v>
      </c>
      <c r="F236" s="138">
        <f t="shared" ref="F236:P236" si="105">F265</f>
        <v>0</v>
      </c>
      <c r="G236" s="138">
        <f t="shared" si="105"/>
        <v>0</v>
      </c>
      <c r="H236" s="138">
        <f t="shared" si="105"/>
        <v>0</v>
      </c>
      <c r="I236" s="138">
        <f t="shared" si="105"/>
        <v>0</v>
      </c>
      <c r="J236" s="138">
        <f t="shared" si="105"/>
        <v>0</v>
      </c>
      <c r="K236" s="138">
        <f t="shared" si="105"/>
        <v>0</v>
      </c>
      <c r="L236" s="138">
        <f t="shared" si="105"/>
        <v>0</v>
      </c>
      <c r="M236" s="138">
        <f t="shared" si="105"/>
        <v>0</v>
      </c>
      <c r="N236" s="138">
        <f t="shared" si="105"/>
        <v>0</v>
      </c>
      <c r="O236" s="138">
        <f t="shared" si="105"/>
        <v>0</v>
      </c>
      <c r="P236" s="138">
        <f t="shared" si="105"/>
        <v>0</v>
      </c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  <c r="IU236" s="33"/>
      <c r="IV236" s="33"/>
      <c r="IW236" s="33"/>
      <c r="IX236" s="33"/>
      <c r="IY236" s="33"/>
      <c r="IZ236" s="33"/>
      <c r="JA236" s="33"/>
      <c r="JB236" s="33"/>
      <c r="JC236" s="33"/>
      <c r="JD236" s="33"/>
      <c r="JE236" s="33"/>
      <c r="JF236" s="33"/>
      <c r="JG236" s="33"/>
      <c r="JH236" s="33"/>
      <c r="JI236" s="33"/>
      <c r="JJ236" s="33"/>
      <c r="JK236" s="33"/>
      <c r="JL236" s="33"/>
      <c r="JM236" s="33"/>
      <c r="JN236" s="33"/>
      <c r="JO236" s="33"/>
      <c r="JP236" s="33"/>
      <c r="JQ236" s="33"/>
      <c r="JR236" s="33"/>
      <c r="JS236" s="33"/>
      <c r="JT236" s="33"/>
      <c r="JU236" s="33"/>
      <c r="JV236" s="33"/>
      <c r="JW236" s="33"/>
      <c r="JX236" s="33"/>
      <c r="JY236" s="33"/>
      <c r="JZ236" s="33"/>
      <c r="KA236" s="33"/>
      <c r="KB236" s="33"/>
      <c r="KC236" s="33"/>
      <c r="KD236" s="33"/>
      <c r="KE236" s="33"/>
      <c r="KF236" s="33"/>
      <c r="KG236" s="33"/>
      <c r="KH236" s="33"/>
      <c r="KI236" s="33"/>
      <c r="KJ236" s="33"/>
      <c r="KK236" s="33"/>
      <c r="KL236" s="33"/>
      <c r="KM236" s="33"/>
      <c r="KN236" s="33"/>
      <c r="KO236" s="33"/>
      <c r="KP236" s="33"/>
      <c r="KQ236" s="33"/>
      <c r="KR236" s="33"/>
      <c r="KS236" s="33"/>
      <c r="KT236" s="33"/>
      <c r="KU236" s="33"/>
      <c r="KV236" s="33"/>
      <c r="KW236" s="33"/>
      <c r="KX236" s="33"/>
      <c r="KY236" s="33"/>
      <c r="KZ236" s="33"/>
      <c r="LA236" s="33"/>
      <c r="LB236" s="33"/>
      <c r="LC236" s="33"/>
      <c r="LD236" s="33"/>
      <c r="LE236" s="33"/>
      <c r="LF236" s="33"/>
      <c r="LG236" s="33"/>
      <c r="LH236" s="33"/>
      <c r="LI236" s="33"/>
      <c r="LJ236" s="33"/>
      <c r="LK236" s="33"/>
      <c r="LL236" s="33"/>
      <c r="LM236" s="33"/>
      <c r="LN236" s="33"/>
      <c r="LO236" s="33"/>
      <c r="LP236" s="33"/>
      <c r="LQ236" s="33"/>
      <c r="LR236" s="33"/>
      <c r="LS236" s="33"/>
      <c r="LT236" s="33"/>
      <c r="LU236" s="33"/>
      <c r="LV236" s="33"/>
      <c r="LW236" s="33"/>
      <c r="LX236" s="33"/>
      <c r="LY236" s="33"/>
      <c r="LZ236" s="33"/>
      <c r="MA236" s="33"/>
      <c r="MB236" s="33"/>
      <c r="MC236" s="33"/>
      <c r="MD236" s="33"/>
      <c r="ME236" s="33"/>
      <c r="MF236" s="33"/>
      <c r="MG236" s="33"/>
      <c r="MH236" s="33"/>
      <c r="MI236" s="33"/>
      <c r="MJ236" s="33"/>
      <c r="MK236" s="33"/>
      <c r="ML236" s="33"/>
      <c r="MM236" s="33"/>
      <c r="MN236" s="33"/>
      <c r="MO236" s="33"/>
      <c r="MP236" s="33"/>
      <c r="MQ236" s="33"/>
      <c r="MR236" s="33"/>
      <c r="MS236" s="33"/>
      <c r="MT236" s="33"/>
      <c r="MU236" s="33"/>
      <c r="MV236" s="33"/>
      <c r="MW236" s="33"/>
      <c r="MX236" s="33"/>
      <c r="MY236" s="33"/>
      <c r="MZ236" s="33"/>
      <c r="NA236" s="33"/>
      <c r="NB236" s="33"/>
      <c r="NC236" s="33"/>
      <c r="ND236" s="33"/>
      <c r="NE236" s="33"/>
      <c r="NF236" s="33"/>
      <c r="NG236" s="33"/>
      <c r="NH236" s="33"/>
      <c r="NI236" s="33"/>
      <c r="NJ236" s="33"/>
      <c r="NK236" s="33"/>
      <c r="NL236" s="33"/>
      <c r="NM236" s="33"/>
      <c r="NN236" s="33"/>
      <c r="NO236" s="33"/>
      <c r="NP236" s="33"/>
      <c r="NQ236" s="33"/>
      <c r="NR236" s="33"/>
      <c r="NS236" s="33"/>
      <c r="NT236" s="33"/>
      <c r="NU236" s="33"/>
      <c r="NV236" s="33"/>
      <c r="NW236" s="33"/>
      <c r="NX236" s="33"/>
      <c r="NY236" s="33"/>
      <c r="NZ236" s="33"/>
      <c r="OA236" s="33"/>
      <c r="OB236" s="33"/>
      <c r="OC236" s="33"/>
      <c r="OD236" s="33"/>
      <c r="OE236" s="33"/>
      <c r="OF236" s="33"/>
      <c r="OG236" s="33"/>
      <c r="OH236" s="33"/>
      <c r="OI236" s="33"/>
      <c r="OJ236" s="33"/>
      <c r="OK236" s="33"/>
      <c r="OL236" s="33"/>
      <c r="OM236" s="33"/>
      <c r="ON236" s="33"/>
      <c r="OO236" s="33"/>
      <c r="OP236" s="33"/>
      <c r="OQ236" s="33"/>
      <c r="OR236" s="33"/>
      <c r="OS236" s="33"/>
      <c r="OT236" s="33"/>
      <c r="OU236" s="33"/>
      <c r="OV236" s="33"/>
      <c r="OW236" s="33"/>
      <c r="OX236" s="33"/>
      <c r="OY236" s="33"/>
      <c r="OZ236" s="33"/>
      <c r="PA236" s="33"/>
      <c r="PB236" s="33"/>
      <c r="PC236" s="33"/>
      <c r="PD236" s="33"/>
      <c r="PE236" s="33"/>
      <c r="PF236" s="33"/>
      <c r="PG236" s="33"/>
      <c r="PH236" s="33"/>
      <c r="PI236" s="33"/>
      <c r="PJ236" s="33"/>
      <c r="PK236" s="33"/>
      <c r="PL236" s="33"/>
      <c r="PM236" s="33"/>
      <c r="PN236" s="33"/>
      <c r="PO236" s="33"/>
      <c r="PP236" s="33"/>
      <c r="PQ236" s="33"/>
      <c r="PR236" s="33"/>
      <c r="PS236" s="33"/>
      <c r="PT236" s="33"/>
      <c r="PU236" s="33"/>
      <c r="PV236" s="33"/>
      <c r="PW236" s="33"/>
      <c r="PX236" s="33"/>
      <c r="PY236" s="33"/>
      <c r="PZ236" s="33"/>
      <c r="QA236" s="33"/>
      <c r="QB236" s="33"/>
      <c r="QC236" s="33"/>
      <c r="QD236" s="33"/>
      <c r="QE236" s="33"/>
      <c r="QF236" s="33"/>
      <c r="QG236" s="33"/>
      <c r="QH236" s="33"/>
      <c r="QI236" s="33"/>
      <c r="QJ236" s="33"/>
      <c r="QK236" s="33"/>
      <c r="QL236" s="33"/>
      <c r="QM236" s="33"/>
      <c r="QN236" s="33"/>
      <c r="QO236" s="33"/>
      <c r="QP236" s="33"/>
      <c r="QQ236" s="33"/>
      <c r="QR236" s="33"/>
      <c r="QS236" s="33"/>
      <c r="QT236" s="33"/>
      <c r="QU236" s="33"/>
      <c r="QV236" s="33"/>
      <c r="QW236" s="33"/>
      <c r="QX236" s="33"/>
      <c r="QY236" s="33"/>
      <c r="QZ236" s="33"/>
      <c r="RA236" s="33"/>
      <c r="RB236" s="33"/>
      <c r="RC236" s="33"/>
      <c r="RD236" s="33"/>
      <c r="RE236" s="33"/>
      <c r="RF236" s="33"/>
      <c r="RG236" s="33"/>
      <c r="RH236" s="33"/>
      <c r="RI236" s="33"/>
      <c r="RJ236" s="33"/>
      <c r="RK236" s="33"/>
      <c r="RL236" s="33"/>
      <c r="RM236" s="33"/>
      <c r="RN236" s="33"/>
      <c r="RO236" s="33"/>
      <c r="RP236" s="33"/>
      <c r="RQ236" s="33"/>
      <c r="RR236" s="33"/>
      <c r="RS236" s="33"/>
      <c r="RT236" s="33"/>
      <c r="RU236" s="33"/>
      <c r="RV236" s="33"/>
      <c r="RW236" s="33"/>
      <c r="RX236" s="33"/>
      <c r="RY236" s="33"/>
      <c r="RZ236" s="33"/>
      <c r="SA236" s="33"/>
      <c r="SB236" s="33"/>
      <c r="SC236" s="33"/>
      <c r="SD236" s="33"/>
      <c r="SE236" s="33"/>
      <c r="SF236" s="33"/>
      <c r="SG236" s="33"/>
      <c r="SH236" s="33"/>
      <c r="SI236" s="33"/>
      <c r="SJ236" s="33"/>
      <c r="SK236" s="33"/>
      <c r="SL236" s="33"/>
      <c r="SM236" s="33"/>
      <c r="SN236" s="33"/>
      <c r="SO236" s="33"/>
      <c r="SP236" s="33"/>
      <c r="SQ236" s="33"/>
      <c r="SR236" s="33"/>
      <c r="SS236" s="33"/>
      <c r="ST236" s="33"/>
      <c r="SU236" s="33"/>
      <c r="SV236" s="33"/>
      <c r="SW236" s="33"/>
      <c r="SX236" s="33"/>
      <c r="SY236" s="33"/>
      <c r="SZ236" s="33"/>
      <c r="TA236" s="33"/>
      <c r="TB236" s="33"/>
      <c r="TC236" s="33"/>
      <c r="TD236" s="33"/>
      <c r="TE236" s="33"/>
    </row>
    <row r="237" spans="1:525" s="34" customFormat="1" ht="61.5" hidden="1" customHeight="1" x14ac:dyDescent="0.25">
      <c r="A237" s="86"/>
      <c r="B237" s="95"/>
      <c r="C237" s="95"/>
      <c r="D237" s="70" t="s">
        <v>383</v>
      </c>
      <c r="E237" s="138">
        <f>E260</f>
        <v>0</v>
      </c>
      <c r="F237" s="138">
        <f t="shared" ref="F237:P237" si="106">F260</f>
        <v>0</v>
      </c>
      <c r="G237" s="138">
        <f t="shared" si="106"/>
        <v>0</v>
      </c>
      <c r="H237" s="138">
        <f t="shared" si="106"/>
        <v>0</v>
      </c>
      <c r="I237" s="138">
        <f t="shared" si="106"/>
        <v>0</v>
      </c>
      <c r="J237" s="138">
        <f t="shared" si="106"/>
        <v>0</v>
      </c>
      <c r="K237" s="138">
        <f t="shared" si="106"/>
        <v>0</v>
      </c>
      <c r="L237" s="138">
        <f t="shared" si="106"/>
        <v>0</v>
      </c>
      <c r="M237" s="138">
        <f t="shared" si="106"/>
        <v>0</v>
      </c>
      <c r="N237" s="138">
        <f t="shared" si="106"/>
        <v>0</v>
      </c>
      <c r="O237" s="138">
        <f t="shared" si="106"/>
        <v>0</v>
      </c>
      <c r="P237" s="138">
        <f t="shared" si="106"/>
        <v>0</v>
      </c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  <c r="IV237" s="33"/>
      <c r="IW237" s="33"/>
      <c r="IX237" s="33"/>
      <c r="IY237" s="33"/>
      <c r="IZ237" s="33"/>
      <c r="JA237" s="33"/>
      <c r="JB237" s="33"/>
      <c r="JC237" s="33"/>
      <c r="JD237" s="33"/>
      <c r="JE237" s="33"/>
      <c r="JF237" s="33"/>
      <c r="JG237" s="33"/>
      <c r="JH237" s="33"/>
      <c r="JI237" s="33"/>
      <c r="JJ237" s="33"/>
      <c r="JK237" s="33"/>
      <c r="JL237" s="33"/>
      <c r="JM237" s="33"/>
      <c r="JN237" s="33"/>
      <c r="JO237" s="33"/>
      <c r="JP237" s="33"/>
      <c r="JQ237" s="33"/>
      <c r="JR237" s="33"/>
      <c r="JS237" s="33"/>
      <c r="JT237" s="33"/>
      <c r="JU237" s="33"/>
      <c r="JV237" s="33"/>
      <c r="JW237" s="33"/>
      <c r="JX237" s="33"/>
      <c r="JY237" s="33"/>
      <c r="JZ237" s="33"/>
      <c r="KA237" s="33"/>
      <c r="KB237" s="33"/>
      <c r="KC237" s="33"/>
      <c r="KD237" s="33"/>
      <c r="KE237" s="33"/>
      <c r="KF237" s="33"/>
      <c r="KG237" s="33"/>
      <c r="KH237" s="33"/>
      <c r="KI237" s="33"/>
      <c r="KJ237" s="33"/>
      <c r="KK237" s="33"/>
      <c r="KL237" s="33"/>
      <c r="KM237" s="33"/>
      <c r="KN237" s="33"/>
      <c r="KO237" s="33"/>
      <c r="KP237" s="33"/>
      <c r="KQ237" s="33"/>
      <c r="KR237" s="33"/>
      <c r="KS237" s="33"/>
      <c r="KT237" s="33"/>
      <c r="KU237" s="33"/>
      <c r="KV237" s="33"/>
      <c r="KW237" s="33"/>
      <c r="KX237" s="33"/>
      <c r="KY237" s="33"/>
      <c r="KZ237" s="33"/>
      <c r="LA237" s="33"/>
      <c r="LB237" s="33"/>
      <c r="LC237" s="33"/>
      <c r="LD237" s="33"/>
      <c r="LE237" s="33"/>
      <c r="LF237" s="33"/>
      <c r="LG237" s="33"/>
      <c r="LH237" s="33"/>
      <c r="LI237" s="33"/>
      <c r="LJ237" s="33"/>
      <c r="LK237" s="33"/>
      <c r="LL237" s="33"/>
      <c r="LM237" s="33"/>
      <c r="LN237" s="33"/>
      <c r="LO237" s="33"/>
      <c r="LP237" s="33"/>
      <c r="LQ237" s="33"/>
      <c r="LR237" s="33"/>
      <c r="LS237" s="33"/>
      <c r="LT237" s="33"/>
      <c r="LU237" s="33"/>
      <c r="LV237" s="33"/>
      <c r="LW237" s="33"/>
      <c r="LX237" s="33"/>
      <c r="LY237" s="33"/>
      <c r="LZ237" s="33"/>
      <c r="MA237" s="33"/>
      <c r="MB237" s="33"/>
      <c r="MC237" s="33"/>
      <c r="MD237" s="33"/>
      <c r="ME237" s="33"/>
      <c r="MF237" s="33"/>
      <c r="MG237" s="33"/>
      <c r="MH237" s="33"/>
      <c r="MI237" s="33"/>
      <c r="MJ237" s="33"/>
      <c r="MK237" s="33"/>
      <c r="ML237" s="33"/>
      <c r="MM237" s="33"/>
      <c r="MN237" s="33"/>
      <c r="MO237" s="33"/>
      <c r="MP237" s="33"/>
      <c r="MQ237" s="33"/>
      <c r="MR237" s="33"/>
      <c r="MS237" s="33"/>
      <c r="MT237" s="33"/>
      <c r="MU237" s="33"/>
      <c r="MV237" s="33"/>
      <c r="MW237" s="33"/>
      <c r="MX237" s="33"/>
      <c r="MY237" s="33"/>
      <c r="MZ237" s="33"/>
      <c r="NA237" s="33"/>
      <c r="NB237" s="33"/>
      <c r="NC237" s="33"/>
      <c r="ND237" s="33"/>
      <c r="NE237" s="33"/>
      <c r="NF237" s="33"/>
      <c r="NG237" s="33"/>
      <c r="NH237" s="33"/>
      <c r="NI237" s="33"/>
      <c r="NJ237" s="33"/>
      <c r="NK237" s="33"/>
      <c r="NL237" s="33"/>
      <c r="NM237" s="33"/>
      <c r="NN237" s="33"/>
      <c r="NO237" s="33"/>
      <c r="NP237" s="33"/>
      <c r="NQ237" s="33"/>
      <c r="NR237" s="33"/>
      <c r="NS237" s="33"/>
      <c r="NT237" s="33"/>
      <c r="NU237" s="33"/>
      <c r="NV237" s="33"/>
      <c r="NW237" s="33"/>
      <c r="NX237" s="33"/>
      <c r="NY237" s="33"/>
      <c r="NZ237" s="33"/>
      <c r="OA237" s="33"/>
      <c r="OB237" s="33"/>
      <c r="OC237" s="33"/>
      <c r="OD237" s="33"/>
      <c r="OE237" s="33"/>
      <c r="OF237" s="33"/>
      <c r="OG237" s="33"/>
      <c r="OH237" s="33"/>
      <c r="OI237" s="33"/>
      <c r="OJ237" s="33"/>
      <c r="OK237" s="33"/>
      <c r="OL237" s="33"/>
      <c r="OM237" s="33"/>
      <c r="ON237" s="33"/>
      <c r="OO237" s="33"/>
      <c r="OP237" s="33"/>
      <c r="OQ237" s="33"/>
      <c r="OR237" s="33"/>
      <c r="OS237" s="33"/>
      <c r="OT237" s="33"/>
      <c r="OU237" s="33"/>
      <c r="OV237" s="33"/>
      <c r="OW237" s="33"/>
      <c r="OX237" s="33"/>
      <c r="OY237" s="33"/>
      <c r="OZ237" s="33"/>
      <c r="PA237" s="33"/>
      <c r="PB237" s="33"/>
      <c r="PC237" s="33"/>
      <c r="PD237" s="33"/>
      <c r="PE237" s="33"/>
      <c r="PF237" s="33"/>
      <c r="PG237" s="33"/>
      <c r="PH237" s="33"/>
      <c r="PI237" s="33"/>
      <c r="PJ237" s="33"/>
      <c r="PK237" s="33"/>
      <c r="PL237" s="33"/>
      <c r="PM237" s="33"/>
      <c r="PN237" s="33"/>
      <c r="PO237" s="33"/>
      <c r="PP237" s="33"/>
      <c r="PQ237" s="33"/>
      <c r="PR237" s="33"/>
      <c r="PS237" s="33"/>
      <c r="PT237" s="33"/>
      <c r="PU237" s="33"/>
      <c r="PV237" s="33"/>
      <c r="PW237" s="33"/>
      <c r="PX237" s="33"/>
      <c r="PY237" s="33"/>
      <c r="PZ237" s="33"/>
      <c r="QA237" s="33"/>
      <c r="QB237" s="33"/>
      <c r="QC237" s="33"/>
      <c r="QD237" s="33"/>
      <c r="QE237" s="33"/>
      <c r="QF237" s="33"/>
      <c r="QG237" s="33"/>
      <c r="QH237" s="33"/>
      <c r="QI237" s="33"/>
      <c r="QJ237" s="33"/>
      <c r="QK237" s="33"/>
      <c r="QL237" s="33"/>
      <c r="QM237" s="33"/>
      <c r="QN237" s="33"/>
      <c r="QO237" s="33"/>
      <c r="QP237" s="33"/>
      <c r="QQ237" s="33"/>
      <c r="QR237" s="33"/>
      <c r="QS237" s="33"/>
      <c r="QT237" s="33"/>
      <c r="QU237" s="33"/>
      <c r="QV237" s="33"/>
      <c r="QW237" s="33"/>
      <c r="QX237" s="33"/>
      <c r="QY237" s="33"/>
      <c r="QZ237" s="33"/>
      <c r="RA237" s="33"/>
      <c r="RB237" s="33"/>
      <c r="RC237" s="33"/>
      <c r="RD237" s="33"/>
      <c r="RE237" s="33"/>
      <c r="RF237" s="33"/>
      <c r="RG237" s="33"/>
      <c r="RH237" s="33"/>
      <c r="RI237" s="33"/>
      <c r="RJ237" s="33"/>
      <c r="RK237" s="33"/>
      <c r="RL237" s="33"/>
      <c r="RM237" s="33"/>
      <c r="RN237" s="33"/>
      <c r="RO237" s="33"/>
      <c r="RP237" s="33"/>
      <c r="RQ237" s="33"/>
      <c r="RR237" s="33"/>
      <c r="RS237" s="33"/>
      <c r="RT237" s="33"/>
      <c r="RU237" s="33"/>
      <c r="RV237" s="33"/>
      <c r="RW237" s="33"/>
      <c r="RX237" s="33"/>
      <c r="RY237" s="33"/>
      <c r="RZ237" s="33"/>
      <c r="SA237" s="33"/>
      <c r="SB237" s="33"/>
      <c r="SC237" s="33"/>
      <c r="SD237" s="33"/>
      <c r="SE237" s="33"/>
      <c r="SF237" s="33"/>
      <c r="SG237" s="33"/>
      <c r="SH237" s="33"/>
      <c r="SI237" s="33"/>
      <c r="SJ237" s="33"/>
      <c r="SK237" s="33"/>
      <c r="SL237" s="33"/>
      <c r="SM237" s="33"/>
      <c r="SN237" s="33"/>
      <c r="SO237" s="33"/>
      <c r="SP237" s="33"/>
      <c r="SQ237" s="33"/>
      <c r="SR237" s="33"/>
      <c r="SS237" s="33"/>
      <c r="ST237" s="33"/>
      <c r="SU237" s="33"/>
      <c r="SV237" s="33"/>
      <c r="SW237" s="33"/>
      <c r="SX237" s="33"/>
      <c r="SY237" s="33"/>
      <c r="SZ237" s="33"/>
      <c r="TA237" s="33"/>
      <c r="TB237" s="33"/>
      <c r="TC237" s="33"/>
      <c r="TD237" s="33"/>
      <c r="TE237" s="33"/>
    </row>
    <row r="238" spans="1:525" s="34" customFormat="1" ht="141.75" hidden="1" customHeight="1" x14ac:dyDescent="0.25">
      <c r="A238" s="86"/>
      <c r="B238" s="95"/>
      <c r="C238" s="95"/>
      <c r="D238" s="124" t="s">
        <v>574</v>
      </c>
      <c r="E238" s="138">
        <f>E250</f>
        <v>0</v>
      </c>
      <c r="F238" s="138">
        <f t="shared" ref="F238:P238" si="107">F250</f>
        <v>0</v>
      </c>
      <c r="G238" s="138">
        <f t="shared" si="107"/>
        <v>0</v>
      </c>
      <c r="H238" s="138">
        <f t="shared" si="107"/>
        <v>0</v>
      </c>
      <c r="I238" s="138">
        <f t="shared" si="107"/>
        <v>0</v>
      </c>
      <c r="J238" s="138">
        <f t="shared" si="107"/>
        <v>0</v>
      </c>
      <c r="K238" s="138">
        <f t="shared" si="107"/>
        <v>0</v>
      </c>
      <c r="L238" s="138">
        <f t="shared" si="107"/>
        <v>0</v>
      </c>
      <c r="M238" s="138">
        <f t="shared" si="107"/>
        <v>0</v>
      </c>
      <c r="N238" s="138">
        <f t="shared" si="107"/>
        <v>0</v>
      </c>
      <c r="O238" s="138">
        <f t="shared" si="107"/>
        <v>0</v>
      </c>
      <c r="P238" s="138">
        <f t="shared" si="107"/>
        <v>0</v>
      </c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  <c r="IW238" s="33"/>
      <c r="IX238" s="33"/>
      <c r="IY238" s="33"/>
      <c r="IZ238" s="33"/>
      <c r="JA238" s="33"/>
      <c r="JB238" s="33"/>
      <c r="JC238" s="33"/>
      <c r="JD238" s="33"/>
      <c r="JE238" s="33"/>
      <c r="JF238" s="33"/>
      <c r="JG238" s="33"/>
      <c r="JH238" s="33"/>
      <c r="JI238" s="33"/>
      <c r="JJ238" s="33"/>
      <c r="JK238" s="33"/>
      <c r="JL238" s="33"/>
      <c r="JM238" s="33"/>
      <c r="JN238" s="33"/>
      <c r="JO238" s="33"/>
      <c r="JP238" s="33"/>
      <c r="JQ238" s="33"/>
      <c r="JR238" s="33"/>
      <c r="JS238" s="33"/>
      <c r="JT238" s="33"/>
      <c r="JU238" s="33"/>
      <c r="JV238" s="33"/>
      <c r="JW238" s="33"/>
      <c r="JX238" s="33"/>
      <c r="JY238" s="33"/>
      <c r="JZ238" s="33"/>
      <c r="KA238" s="33"/>
      <c r="KB238" s="33"/>
      <c r="KC238" s="33"/>
      <c r="KD238" s="33"/>
      <c r="KE238" s="33"/>
      <c r="KF238" s="33"/>
      <c r="KG238" s="33"/>
      <c r="KH238" s="33"/>
      <c r="KI238" s="33"/>
      <c r="KJ238" s="33"/>
      <c r="KK238" s="33"/>
      <c r="KL238" s="33"/>
      <c r="KM238" s="33"/>
      <c r="KN238" s="33"/>
      <c r="KO238" s="33"/>
      <c r="KP238" s="33"/>
      <c r="KQ238" s="33"/>
      <c r="KR238" s="33"/>
      <c r="KS238" s="33"/>
      <c r="KT238" s="33"/>
      <c r="KU238" s="33"/>
      <c r="KV238" s="33"/>
      <c r="KW238" s="33"/>
      <c r="KX238" s="33"/>
      <c r="KY238" s="33"/>
      <c r="KZ238" s="33"/>
      <c r="LA238" s="33"/>
      <c r="LB238" s="33"/>
      <c r="LC238" s="33"/>
      <c r="LD238" s="33"/>
      <c r="LE238" s="33"/>
      <c r="LF238" s="33"/>
      <c r="LG238" s="33"/>
      <c r="LH238" s="33"/>
      <c r="LI238" s="33"/>
      <c r="LJ238" s="33"/>
      <c r="LK238" s="33"/>
      <c r="LL238" s="33"/>
      <c r="LM238" s="33"/>
      <c r="LN238" s="33"/>
      <c r="LO238" s="33"/>
      <c r="LP238" s="33"/>
      <c r="LQ238" s="33"/>
      <c r="LR238" s="33"/>
      <c r="LS238" s="33"/>
      <c r="LT238" s="33"/>
      <c r="LU238" s="33"/>
      <c r="LV238" s="33"/>
      <c r="LW238" s="33"/>
      <c r="LX238" s="33"/>
      <c r="LY238" s="33"/>
      <c r="LZ238" s="33"/>
      <c r="MA238" s="33"/>
      <c r="MB238" s="33"/>
      <c r="MC238" s="33"/>
      <c r="MD238" s="33"/>
      <c r="ME238" s="33"/>
      <c r="MF238" s="33"/>
      <c r="MG238" s="33"/>
      <c r="MH238" s="33"/>
      <c r="MI238" s="33"/>
      <c r="MJ238" s="33"/>
      <c r="MK238" s="33"/>
      <c r="ML238" s="33"/>
      <c r="MM238" s="33"/>
      <c r="MN238" s="33"/>
      <c r="MO238" s="33"/>
      <c r="MP238" s="33"/>
      <c r="MQ238" s="33"/>
      <c r="MR238" s="33"/>
      <c r="MS238" s="33"/>
      <c r="MT238" s="33"/>
      <c r="MU238" s="33"/>
      <c r="MV238" s="33"/>
      <c r="MW238" s="33"/>
      <c r="MX238" s="33"/>
      <c r="MY238" s="33"/>
      <c r="MZ238" s="33"/>
      <c r="NA238" s="33"/>
      <c r="NB238" s="33"/>
      <c r="NC238" s="33"/>
      <c r="ND238" s="33"/>
      <c r="NE238" s="33"/>
      <c r="NF238" s="33"/>
      <c r="NG238" s="33"/>
      <c r="NH238" s="33"/>
      <c r="NI238" s="33"/>
      <c r="NJ238" s="33"/>
      <c r="NK238" s="33"/>
      <c r="NL238" s="33"/>
      <c r="NM238" s="33"/>
      <c r="NN238" s="33"/>
      <c r="NO238" s="33"/>
      <c r="NP238" s="33"/>
      <c r="NQ238" s="33"/>
      <c r="NR238" s="33"/>
      <c r="NS238" s="33"/>
      <c r="NT238" s="33"/>
      <c r="NU238" s="33"/>
      <c r="NV238" s="33"/>
      <c r="NW238" s="33"/>
      <c r="NX238" s="33"/>
      <c r="NY238" s="33"/>
      <c r="NZ238" s="33"/>
      <c r="OA238" s="33"/>
      <c r="OB238" s="33"/>
      <c r="OC238" s="33"/>
      <c r="OD238" s="33"/>
      <c r="OE238" s="33"/>
      <c r="OF238" s="33"/>
      <c r="OG238" s="33"/>
      <c r="OH238" s="33"/>
      <c r="OI238" s="33"/>
      <c r="OJ238" s="33"/>
      <c r="OK238" s="33"/>
      <c r="OL238" s="33"/>
      <c r="OM238" s="33"/>
      <c r="ON238" s="33"/>
      <c r="OO238" s="33"/>
      <c r="OP238" s="33"/>
      <c r="OQ238" s="33"/>
      <c r="OR238" s="33"/>
      <c r="OS238" s="33"/>
      <c r="OT238" s="33"/>
      <c r="OU238" s="33"/>
      <c r="OV238" s="33"/>
      <c r="OW238" s="33"/>
      <c r="OX238" s="33"/>
      <c r="OY238" s="33"/>
      <c r="OZ238" s="33"/>
      <c r="PA238" s="33"/>
      <c r="PB238" s="33"/>
      <c r="PC238" s="33"/>
      <c r="PD238" s="33"/>
      <c r="PE238" s="33"/>
      <c r="PF238" s="33"/>
      <c r="PG238" s="33"/>
      <c r="PH238" s="33"/>
      <c r="PI238" s="33"/>
      <c r="PJ238" s="33"/>
      <c r="PK238" s="33"/>
      <c r="PL238" s="33"/>
      <c r="PM238" s="33"/>
      <c r="PN238" s="33"/>
      <c r="PO238" s="33"/>
      <c r="PP238" s="33"/>
      <c r="PQ238" s="33"/>
      <c r="PR238" s="33"/>
      <c r="PS238" s="33"/>
      <c r="PT238" s="33"/>
      <c r="PU238" s="33"/>
      <c r="PV238" s="33"/>
      <c r="PW238" s="33"/>
      <c r="PX238" s="33"/>
      <c r="PY238" s="33"/>
      <c r="PZ238" s="33"/>
      <c r="QA238" s="33"/>
      <c r="QB238" s="33"/>
      <c r="QC238" s="33"/>
      <c r="QD238" s="33"/>
      <c r="QE238" s="33"/>
      <c r="QF238" s="33"/>
      <c r="QG238" s="33"/>
      <c r="QH238" s="33"/>
      <c r="QI238" s="33"/>
      <c r="QJ238" s="33"/>
      <c r="QK238" s="33"/>
      <c r="QL238" s="33"/>
      <c r="QM238" s="33"/>
      <c r="QN238" s="33"/>
      <c r="QO238" s="33"/>
      <c r="QP238" s="33"/>
      <c r="QQ238" s="33"/>
      <c r="QR238" s="33"/>
      <c r="QS238" s="33"/>
      <c r="QT238" s="33"/>
      <c r="QU238" s="33"/>
      <c r="QV238" s="33"/>
      <c r="QW238" s="33"/>
      <c r="QX238" s="33"/>
      <c r="QY238" s="33"/>
      <c r="QZ238" s="33"/>
      <c r="RA238" s="33"/>
      <c r="RB238" s="33"/>
      <c r="RC238" s="33"/>
      <c r="RD238" s="33"/>
      <c r="RE238" s="33"/>
      <c r="RF238" s="33"/>
      <c r="RG238" s="33"/>
      <c r="RH238" s="33"/>
      <c r="RI238" s="33"/>
      <c r="RJ238" s="33"/>
      <c r="RK238" s="33"/>
      <c r="RL238" s="33"/>
      <c r="RM238" s="33"/>
      <c r="RN238" s="33"/>
      <c r="RO238" s="33"/>
      <c r="RP238" s="33"/>
      <c r="RQ238" s="33"/>
      <c r="RR238" s="33"/>
      <c r="RS238" s="33"/>
      <c r="RT238" s="33"/>
      <c r="RU238" s="33"/>
      <c r="RV238" s="33"/>
      <c r="RW238" s="33"/>
      <c r="RX238" s="33"/>
      <c r="RY238" s="33"/>
      <c r="RZ238" s="33"/>
      <c r="SA238" s="33"/>
      <c r="SB238" s="33"/>
      <c r="SC238" s="33"/>
      <c r="SD238" s="33"/>
      <c r="SE238" s="33"/>
      <c r="SF238" s="33"/>
      <c r="SG238" s="33"/>
      <c r="SH238" s="33"/>
      <c r="SI238" s="33"/>
      <c r="SJ238" s="33"/>
      <c r="SK238" s="33"/>
      <c r="SL238" s="33"/>
      <c r="SM238" s="33"/>
      <c r="SN238" s="33"/>
      <c r="SO238" s="33"/>
      <c r="SP238" s="33"/>
      <c r="SQ238" s="33"/>
      <c r="SR238" s="33"/>
      <c r="SS238" s="33"/>
      <c r="ST238" s="33"/>
      <c r="SU238" s="33"/>
      <c r="SV238" s="33"/>
      <c r="SW238" s="33"/>
      <c r="SX238" s="33"/>
      <c r="SY238" s="33"/>
      <c r="SZ238" s="33"/>
      <c r="TA238" s="33"/>
      <c r="TB238" s="33"/>
      <c r="TC238" s="33"/>
      <c r="TD238" s="33"/>
      <c r="TE238" s="33"/>
    </row>
    <row r="239" spans="1:525" s="34" customFormat="1" ht="15.75" hidden="1" customHeight="1" x14ac:dyDescent="0.25">
      <c r="A239" s="86"/>
      <c r="B239" s="95"/>
      <c r="C239" s="95"/>
      <c r="D239" s="75" t="s">
        <v>388</v>
      </c>
      <c r="E239" s="138">
        <f>E262+E267</f>
        <v>0</v>
      </c>
      <c r="F239" s="138">
        <f t="shared" ref="F239:P239" si="108">F262+F267</f>
        <v>0</v>
      </c>
      <c r="G239" s="138">
        <f t="shared" si="108"/>
        <v>0</v>
      </c>
      <c r="H239" s="138">
        <f t="shared" si="108"/>
        <v>0</v>
      </c>
      <c r="I239" s="138">
        <f t="shared" si="108"/>
        <v>0</v>
      </c>
      <c r="J239" s="138">
        <f t="shared" si="108"/>
        <v>0</v>
      </c>
      <c r="K239" s="138">
        <f t="shared" si="108"/>
        <v>0</v>
      </c>
      <c r="L239" s="138">
        <f t="shared" si="108"/>
        <v>0</v>
      </c>
      <c r="M239" s="138">
        <f t="shared" si="108"/>
        <v>0</v>
      </c>
      <c r="N239" s="138">
        <f t="shared" si="108"/>
        <v>0</v>
      </c>
      <c r="O239" s="138">
        <f t="shared" si="108"/>
        <v>0</v>
      </c>
      <c r="P239" s="138">
        <f t="shared" si="108"/>
        <v>0</v>
      </c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  <c r="IU239" s="33"/>
      <c r="IV239" s="33"/>
      <c r="IW239" s="33"/>
      <c r="IX239" s="33"/>
      <c r="IY239" s="33"/>
      <c r="IZ239" s="33"/>
      <c r="JA239" s="33"/>
      <c r="JB239" s="33"/>
      <c r="JC239" s="33"/>
      <c r="JD239" s="33"/>
      <c r="JE239" s="33"/>
      <c r="JF239" s="33"/>
      <c r="JG239" s="33"/>
      <c r="JH239" s="33"/>
      <c r="JI239" s="33"/>
      <c r="JJ239" s="33"/>
      <c r="JK239" s="33"/>
      <c r="JL239" s="33"/>
      <c r="JM239" s="33"/>
      <c r="JN239" s="33"/>
      <c r="JO239" s="33"/>
      <c r="JP239" s="33"/>
      <c r="JQ239" s="33"/>
      <c r="JR239" s="33"/>
      <c r="JS239" s="33"/>
      <c r="JT239" s="33"/>
      <c r="JU239" s="33"/>
      <c r="JV239" s="33"/>
      <c r="JW239" s="33"/>
      <c r="JX239" s="33"/>
      <c r="JY239" s="33"/>
      <c r="JZ239" s="33"/>
      <c r="KA239" s="33"/>
      <c r="KB239" s="33"/>
      <c r="KC239" s="33"/>
      <c r="KD239" s="33"/>
      <c r="KE239" s="33"/>
      <c r="KF239" s="33"/>
      <c r="KG239" s="33"/>
      <c r="KH239" s="33"/>
      <c r="KI239" s="33"/>
      <c r="KJ239" s="33"/>
      <c r="KK239" s="33"/>
      <c r="KL239" s="33"/>
      <c r="KM239" s="33"/>
      <c r="KN239" s="33"/>
      <c r="KO239" s="33"/>
      <c r="KP239" s="33"/>
      <c r="KQ239" s="33"/>
      <c r="KR239" s="33"/>
      <c r="KS239" s="33"/>
      <c r="KT239" s="33"/>
      <c r="KU239" s="33"/>
      <c r="KV239" s="33"/>
      <c r="KW239" s="33"/>
      <c r="KX239" s="33"/>
      <c r="KY239" s="33"/>
      <c r="KZ239" s="33"/>
      <c r="LA239" s="33"/>
      <c r="LB239" s="33"/>
      <c r="LC239" s="33"/>
      <c r="LD239" s="33"/>
      <c r="LE239" s="33"/>
      <c r="LF239" s="33"/>
      <c r="LG239" s="33"/>
      <c r="LH239" s="33"/>
      <c r="LI239" s="33"/>
      <c r="LJ239" s="33"/>
      <c r="LK239" s="33"/>
      <c r="LL239" s="33"/>
      <c r="LM239" s="33"/>
      <c r="LN239" s="33"/>
      <c r="LO239" s="33"/>
      <c r="LP239" s="33"/>
      <c r="LQ239" s="33"/>
      <c r="LR239" s="33"/>
      <c r="LS239" s="33"/>
      <c r="LT239" s="33"/>
      <c r="LU239" s="33"/>
      <c r="LV239" s="33"/>
      <c r="LW239" s="33"/>
      <c r="LX239" s="33"/>
      <c r="LY239" s="33"/>
      <c r="LZ239" s="33"/>
      <c r="MA239" s="33"/>
      <c r="MB239" s="33"/>
      <c r="MC239" s="33"/>
      <c r="MD239" s="33"/>
      <c r="ME239" s="33"/>
      <c r="MF239" s="33"/>
      <c r="MG239" s="33"/>
      <c r="MH239" s="33"/>
      <c r="MI239" s="33"/>
      <c r="MJ239" s="33"/>
      <c r="MK239" s="33"/>
      <c r="ML239" s="33"/>
      <c r="MM239" s="33"/>
      <c r="MN239" s="33"/>
      <c r="MO239" s="33"/>
      <c r="MP239" s="33"/>
      <c r="MQ239" s="33"/>
      <c r="MR239" s="33"/>
      <c r="MS239" s="33"/>
      <c r="MT239" s="33"/>
      <c r="MU239" s="33"/>
      <c r="MV239" s="33"/>
      <c r="MW239" s="33"/>
      <c r="MX239" s="33"/>
      <c r="MY239" s="33"/>
      <c r="MZ239" s="33"/>
      <c r="NA239" s="33"/>
      <c r="NB239" s="33"/>
      <c r="NC239" s="33"/>
      <c r="ND239" s="33"/>
      <c r="NE239" s="33"/>
      <c r="NF239" s="33"/>
      <c r="NG239" s="33"/>
      <c r="NH239" s="33"/>
      <c r="NI239" s="33"/>
      <c r="NJ239" s="33"/>
      <c r="NK239" s="33"/>
      <c r="NL239" s="33"/>
      <c r="NM239" s="33"/>
      <c r="NN239" s="33"/>
      <c r="NO239" s="33"/>
      <c r="NP239" s="33"/>
      <c r="NQ239" s="33"/>
      <c r="NR239" s="33"/>
      <c r="NS239" s="33"/>
      <c r="NT239" s="33"/>
      <c r="NU239" s="33"/>
      <c r="NV239" s="33"/>
      <c r="NW239" s="33"/>
      <c r="NX239" s="33"/>
      <c r="NY239" s="33"/>
      <c r="NZ239" s="33"/>
      <c r="OA239" s="33"/>
      <c r="OB239" s="33"/>
      <c r="OC239" s="33"/>
      <c r="OD239" s="33"/>
      <c r="OE239" s="33"/>
      <c r="OF239" s="33"/>
      <c r="OG239" s="33"/>
      <c r="OH239" s="33"/>
      <c r="OI239" s="33"/>
      <c r="OJ239" s="33"/>
      <c r="OK239" s="33"/>
      <c r="OL239" s="33"/>
      <c r="OM239" s="33"/>
      <c r="ON239" s="33"/>
      <c r="OO239" s="33"/>
      <c r="OP239" s="33"/>
      <c r="OQ239" s="33"/>
      <c r="OR239" s="33"/>
      <c r="OS239" s="33"/>
      <c r="OT239" s="33"/>
      <c r="OU239" s="33"/>
      <c r="OV239" s="33"/>
      <c r="OW239" s="33"/>
      <c r="OX239" s="33"/>
      <c r="OY239" s="33"/>
      <c r="OZ239" s="33"/>
      <c r="PA239" s="33"/>
      <c r="PB239" s="33"/>
      <c r="PC239" s="33"/>
      <c r="PD239" s="33"/>
      <c r="PE239" s="33"/>
      <c r="PF239" s="33"/>
      <c r="PG239" s="33"/>
      <c r="PH239" s="33"/>
      <c r="PI239" s="33"/>
      <c r="PJ239" s="33"/>
      <c r="PK239" s="33"/>
      <c r="PL239" s="33"/>
      <c r="PM239" s="33"/>
      <c r="PN239" s="33"/>
      <c r="PO239" s="33"/>
      <c r="PP239" s="33"/>
      <c r="PQ239" s="33"/>
      <c r="PR239" s="33"/>
      <c r="PS239" s="33"/>
      <c r="PT239" s="33"/>
      <c r="PU239" s="33"/>
      <c r="PV239" s="33"/>
      <c r="PW239" s="33"/>
      <c r="PX239" s="33"/>
      <c r="PY239" s="33"/>
      <c r="PZ239" s="33"/>
      <c r="QA239" s="33"/>
      <c r="QB239" s="33"/>
      <c r="QC239" s="33"/>
      <c r="QD239" s="33"/>
      <c r="QE239" s="33"/>
      <c r="QF239" s="33"/>
      <c r="QG239" s="33"/>
      <c r="QH239" s="33"/>
      <c r="QI239" s="33"/>
      <c r="QJ239" s="33"/>
      <c r="QK239" s="33"/>
      <c r="QL239" s="33"/>
      <c r="QM239" s="33"/>
      <c r="QN239" s="33"/>
      <c r="QO239" s="33"/>
      <c r="QP239" s="33"/>
      <c r="QQ239" s="33"/>
      <c r="QR239" s="33"/>
      <c r="QS239" s="33"/>
      <c r="QT239" s="33"/>
      <c r="QU239" s="33"/>
      <c r="QV239" s="33"/>
      <c r="QW239" s="33"/>
      <c r="QX239" s="33"/>
      <c r="QY239" s="33"/>
      <c r="QZ239" s="33"/>
      <c r="RA239" s="33"/>
      <c r="RB239" s="33"/>
      <c r="RC239" s="33"/>
      <c r="RD239" s="33"/>
      <c r="RE239" s="33"/>
      <c r="RF239" s="33"/>
      <c r="RG239" s="33"/>
      <c r="RH239" s="33"/>
      <c r="RI239" s="33"/>
      <c r="RJ239" s="33"/>
      <c r="RK239" s="33"/>
      <c r="RL239" s="33"/>
      <c r="RM239" s="33"/>
      <c r="RN239" s="33"/>
      <c r="RO239" s="33"/>
      <c r="RP239" s="33"/>
      <c r="RQ239" s="33"/>
      <c r="RR239" s="33"/>
      <c r="RS239" s="33"/>
      <c r="RT239" s="33"/>
      <c r="RU239" s="33"/>
      <c r="RV239" s="33"/>
      <c r="RW239" s="33"/>
      <c r="RX239" s="33"/>
      <c r="RY239" s="33"/>
      <c r="RZ239" s="33"/>
      <c r="SA239" s="33"/>
      <c r="SB239" s="33"/>
      <c r="SC239" s="33"/>
      <c r="SD239" s="33"/>
      <c r="SE239" s="33"/>
      <c r="SF239" s="33"/>
      <c r="SG239" s="33"/>
      <c r="SH239" s="33"/>
      <c r="SI239" s="33"/>
      <c r="SJ239" s="33"/>
      <c r="SK239" s="33"/>
      <c r="SL239" s="33"/>
      <c r="SM239" s="33"/>
      <c r="SN239" s="33"/>
      <c r="SO239" s="33"/>
      <c r="SP239" s="33"/>
      <c r="SQ239" s="33"/>
      <c r="SR239" s="33"/>
      <c r="SS239" s="33"/>
      <c r="ST239" s="33"/>
      <c r="SU239" s="33"/>
      <c r="SV239" s="33"/>
      <c r="SW239" s="33"/>
      <c r="SX239" s="33"/>
      <c r="SY239" s="33"/>
      <c r="SZ239" s="33"/>
      <c r="TA239" s="33"/>
      <c r="TB239" s="33"/>
      <c r="TC239" s="33"/>
      <c r="TD239" s="33"/>
      <c r="TE239" s="33"/>
    </row>
    <row r="240" spans="1:525" s="34" customFormat="1" ht="15.75" x14ac:dyDescent="0.25">
      <c r="A240" s="86"/>
      <c r="B240" s="95"/>
      <c r="C240" s="95"/>
      <c r="D240" s="75" t="s">
        <v>413</v>
      </c>
      <c r="E240" s="138">
        <f>E271</f>
        <v>0</v>
      </c>
      <c r="F240" s="138">
        <f t="shared" ref="F240:P240" si="109">F271</f>
        <v>0</v>
      </c>
      <c r="G240" s="138">
        <f t="shared" si="109"/>
        <v>0</v>
      </c>
      <c r="H240" s="138">
        <f t="shared" si="109"/>
        <v>0</v>
      </c>
      <c r="I240" s="138">
        <f t="shared" si="109"/>
        <v>0</v>
      </c>
      <c r="J240" s="138">
        <f t="shared" si="109"/>
        <v>47115000</v>
      </c>
      <c r="K240" s="138">
        <f t="shared" si="109"/>
        <v>47115000</v>
      </c>
      <c r="L240" s="138">
        <f t="shared" si="109"/>
        <v>0</v>
      </c>
      <c r="M240" s="138">
        <f t="shared" si="109"/>
        <v>0</v>
      </c>
      <c r="N240" s="138">
        <f t="shared" si="109"/>
        <v>0</v>
      </c>
      <c r="O240" s="138">
        <f t="shared" si="109"/>
        <v>47115000</v>
      </c>
      <c r="P240" s="138">
        <f t="shared" si="109"/>
        <v>47115000</v>
      </c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  <c r="IW240" s="33"/>
      <c r="IX240" s="33"/>
      <c r="IY240" s="33"/>
      <c r="IZ240" s="33"/>
      <c r="JA240" s="33"/>
      <c r="JB240" s="33"/>
      <c r="JC240" s="33"/>
      <c r="JD240" s="33"/>
      <c r="JE240" s="33"/>
      <c r="JF240" s="33"/>
      <c r="JG240" s="33"/>
      <c r="JH240" s="33"/>
      <c r="JI240" s="33"/>
      <c r="JJ240" s="33"/>
      <c r="JK240" s="33"/>
      <c r="JL240" s="33"/>
      <c r="JM240" s="33"/>
      <c r="JN240" s="33"/>
      <c r="JO240" s="33"/>
      <c r="JP240" s="33"/>
      <c r="JQ240" s="33"/>
      <c r="JR240" s="33"/>
      <c r="JS240" s="33"/>
      <c r="JT240" s="33"/>
      <c r="JU240" s="33"/>
      <c r="JV240" s="33"/>
      <c r="JW240" s="33"/>
      <c r="JX240" s="33"/>
      <c r="JY240" s="33"/>
      <c r="JZ240" s="33"/>
      <c r="KA240" s="33"/>
      <c r="KB240" s="33"/>
      <c r="KC240" s="33"/>
      <c r="KD240" s="33"/>
      <c r="KE240" s="33"/>
      <c r="KF240" s="33"/>
      <c r="KG240" s="33"/>
      <c r="KH240" s="33"/>
      <c r="KI240" s="33"/>
      <c r="KJ240" s="33"/>
      <c r="KK240" s="33"/>
      <c r="KL240" s="33"/>
      <c r="KM240" s="33"/>
      <c r="KN240" s="33"/>
      <c r="KO240" s="33"/>
      <c r="KP240" s="33"/>
      <c r="KQ240" s="33"/>
      <c r="KR240" s="33"/>
      <c r="KS240" s="33"/>
      <c r="KT240" s="33"/>
      <c r="KU240" s="33"/>
      <c r="KV240" s="33"/>
      <c r="KW240" s="33"/>
      <c r="KX240" s="33"/>
      <c r="KY240" s="33"/>
      <c r="KZ240" s="33"/>
      <c r="LA240" s="33"/>
      <c r="LB240" s="33"/>
      <c r="LC240" s="33"/>
      <c r="LD240" s="33"/>
      <c r="LE240" s="33"/>
      <c r="LF240" s="33"/>
      <c r="LG240" s="33"/>
      <c r="LH240" s="33"/>
      <c r="LI240" s="33"/>
      <c r="LJ240" s="33"/>
      <c r="LK240" s="33"/>
      <c r="LL240" s="33"/>
      <c r="LM240" s="33"/>
      <c r="LN240" s="33"/>
      <c r="LO240" s="33"/>
      <c r="LP240" s="33"/>
      <c r="LQ240" s="33"/>
      <c r="LR240" s="33"/>
      <c r="LS240" s="33"/>
      <c r="LT240" s="33"/>
      <c r="LU240" s="33"/>
      <c r="LV240" s="33"/>
      <c r="LW240" s="33"/>
      <c r="LX240" s="33"/>
      <c r="LY240" s="33"/>
      <c r="LZ240" s="33"/>
      <c r="MA240" s="33"/>
      <c r="MB240" s="33"/>
      <c r="MC240" s="33"/>
      <c r="MD240" s="33"/>
      <c r="ME240" s="33"/>
      <c r="MF240" s="33"/>
      <c r="MG240" s="33"/>
      <c r="MH240" s="33"/>
      <c r="MI240" s="33"/>
      <c r="MJ240" s="33"/>
      <c r="MK240" s="33"/>
      <c r="ML240" s="33"/>
      <c r="MM240" s="33"/>
      <c r="MN240" s="33"/>
      <c r="MO240" s="33"/>
      <c r="MP240" s="33"/>
      <c r="MQ240" s="33"/>
      <c r="MR240" s="33"/>
      <c r="MS240" s="33"/>
      <c r="MT240" s="33"/>
      <c r="MU240" s="33"/>
      <c r="MV240" s="33"/>
      <c r="MW240" s="33"/>
      <c r="MX240" s="33"/>
      <c r="MY240" s="33"/>
      <c r="MZ240" s="33"/>
      <c r="NA240" s="33"/>
      <c r="NB240" s="33"/>
      <c r="NC240" s="33"/>
      <c r="ND240" s="33"/>
      <c r="NE240" s="33"/>
      <c r="NF240" s="33"/>
      <c r="NG240" s="33"/>
      <c r="NH240" s="33"/>
      <c r="NI240" s="33"/>
      <c r="NJ240" s="33"/>
      <c r="NK240" s="33"/>
      <c r="NL240" s="33"/>
      <c r="NM240" s="33"/>
      <c r="NN240" s="33"/>
      <c r="NO240" s="33"/>
      <c r="NP240" s="33"/>
      <c r="NQ240" s="33"/>
      <c r="NR240" s="33"/>
      <c r="NS240" s="33"/>
      <c r="NT240" s="33"/>
      <c r="NU240" s="33"/>
      <c r="NV240" s="33"/>
      <c r="NW240" s="33"/>
      <c r="NX240" s="33"/>
      <c r="NY240" s="33"/>
      <c r="NZ240" s="33"/>
      <c r="OA240" s="33"/>
      <c r="OB240" s="33"/>
      <c r="OC240" s="33"/>
      <c r="OD240" s="33"/>
      <c r="OE240" s="33"/>
      <c r="OF240" s="33"/>
      <c r="OG240" s="33"/>
      <c r="OH240" s="33"/>
      <c r="OI240" s="33"/>
      <c r="OJ240" s="33"/>
      <c r="OK240" s="33"/>
      <c r="OL240" s="33"/>
      <c r="OM240" s="33"/>
      <c r="ON240" s="33"/>
      <c r="OO240" s="33"/>
      <c r="OP240" s="33"/>
      <c r="OQ240" s="33"/>
      <c r="OR240" s="33"/>
      <c r="OS240" s="33"/>
      <c r="OT240" s="33"/>
      <c r="OU240" s="33"/>
      <c r="OV240" s="33"/>
      <c r="OW240" s="33"/>
      <c r="OX240" s="33"/>
      <c r="OY240" s="33"/>
      <c r="OZ240" s="33"/>
      <c r="PA240" s="33"/>
      <c r="PB240" s="33"/>
      <c r="PC240" s="33"/>
      <c r="PD240" s="33"/>
      <c r="PE240" s="33"/>
      <c r="PF240" s="33"/>
      <c r="PG240" s="33"/>
      <c r="PH240" s="33"/>
      <c r="PI240" s="33"/>
      <c r="PJ240" s="33"/>
      <c r="PK240" s="33"/>
      <c r="PL240" s="33"/>
      <c r="PM240" s="33"/>
      <c r="PN240" s="33"/>
      <c r="PO240" s="33"/>
      <c r="PP240" s="33"/>
      <c r="PQ240" s="33"/>
      <c r="PR240" s="33"/>
      <c r="PS240" s="33"/>
      <c r="PT240" s="33"/>
      <c r="PU240" s="33"/>
      <c r="PV240" s="33"/>
      <c r="PW240" s="33"/>
      <c r="PX240" s="33"/>
      <c r="PY240" s="33"/>
      <c r="PZ240" s="33"/>
      <c r="QA240" s="33"/>
      <c r="QB240" s="33"/>
      <c r="QC240" s="33"/>
      <c r="QD240" s="33"/>
      <c r="QE240" s="33"/>
      <c r="QF240" s="33"/>
      <c r="QG240" s="33"/>
      <c r="QH240" s="33"/>
      <c r="QI240" s="33"/>
      <c r="QJ240" s="33"/>
      <c r="QK240" s="33"/>
      <c r="QL240" s="33"/>
      <c r="QM240" s="33"/>
      <c r="QN240" s="33"/>
      <c r="QO240" s="33"/>
      <c r="QP240" s="33"/>
      <c r="QQ240" s="33"/>
      <c r="QR240" s="33"/>
      <c r="QS240" s="33"/>
      <c r="QT240" s="33"/>
      <c r="QU240" s="33"/>
      <c r="QV240" s="33"/>
      <c r="QW240" s="33"/>
      <c r="QX240" s="33"/>
      <c r="QY240" s="33"/>
      <c r="QZ240" s="33"/>
      <c r="RA240" s="33"/>
      <c r="RB240" s="33"/>
      <c r="RC240" s="33"/>
      <c r="RD240" s="33"/>
      <c r="RE240" s="33"/>
      <c r="RF240" s="33"/>
      <c r="RG240" s="33"/>
      <c r="RH240" s="33"/>
      <c r="RI240" s="33"/>
      <c r="RJ240" s="33"/>
      <c r="RK240" s="33"/>
      <c r="RL240" s="33"/>
      <c r="RM240" s="33"/>
      <c r="RN240" s="33"/>
      <c r="RO240" s="33"/>
      <c r="RP240" s="33"/>
      <c r="RQ240" s="33"/>
      <c r="RR240" s="33"/>
      <c r="RS240" s="33"/>
      <c r="RT240" s="33"/>
      <c r="RU240" s="33"/>
      <c r="RV240" s="33"/>
      <c r="RW240" s="33"/>
      <c r="RX240" s="33"/>
      <c r="RY240" s="33"/>
      <c r="RZ240" s="33"/>
      <c r="SA240" s="33"/>
      <c r="SB240" s="33"/>
      <c r="SC240" s="33"/>
      <c r="SD240" s="33"/>
      <c r="SE240" s="33"/>
      <c r="SF240" s="33"/>
      <c r="SG240" s="33"/>
      <c r="SH240" s="33"/>
      <c r="SI240" s="33"/>
      <c r="SJ240" s="33"/>
      <c r="SK240" s="33"/>
      <c r="SL240" s="33"/>
      <c r="SM240" s="33"/>
      <c r="SN240" s="33"/>
      <c r="SO240" s="33"/>
      <c r="SP240" s="33"/>
      <c r="SQ240" s="33"/>
      <c r="SR240" s="33"/>
      <c r="SS240" s="33"/>
      <c r="ST240" s="33"/>
      <c r="SU240" s="33"/>
      <c r="SV240" s="33"/>
      <c r="SW240" s="33"/>
      <c r="SX240" s="33"/>
      <c r="SY240" s="33"/>
      <c r="SZ240" s="33"/>
      <c r="TA240" s="33"/>
      <c r="TB240" s="33"/>
      <c r="TC240" s="33"/>
      <c r="TD240" s="33"/>
      <c r="TE240" s="33"/>
    </row>
    <row r="241" spans="1:525" s="22" customFormat="1" ht="47.25" x14ac:dyDescent="0.25">
      <c r="A241" s="56" t="s">
        <v>193</v>
      </c>
      <c r="B241" s="56" t="str">
        <f>'дод 3'!A19</f>
        <v>0160</v>
      </c>
      <c r="C241" s="56" t="str">
        <f>'дод 3'!B19</f>
        <v>0111</v>
      </c>
      <c r="D241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241" s="139">
        <f t="shared" ref="E241:E278" si="110">F241+I241</f>
        <v>14094400</v>
      </c>
      <c r="F241" s="139">
        <f>15256000-1161600</f>
        <v>14094400</v>
      </c>
      <c r="G241" s="139">
        <f>11744100-952100</f>
        <v>10792000</v>
      </c>
      <c r="H241" s="139">
        <v>400800</v>
      </c>
      <c r="I241" s="139"/>
      <c r="J241" s="139">
        <f>L241+O241</f>
        <v>200000</v>
      </c>
      <c r="K241" s="139">
        <v>200000</v>
      </c>
      <c r="L241" s="139"/>
      <c r="M241" s="139"/>
      <c r="N241" s="139"/>
      <c r="O241" s="139">
        <v>200000</v>
      </c>
      <c r="P241" s="139">
        <f t="shared" ref="P241:P278" si="111">E241+J241</f>
        <v>14294400</v>
      </c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</row>
    <row r="242" spans="1:525" s="22" customFormat="1" ht="23.25" hidden="1" customHeight="1" x14ac:dyDescent="0.25">
      <c r="A242" s="56" t="s">
        <v>520</v>
      </c>
      <c r="B242" s="56" t="s">
        <v>44</v>
      </c>
      <c r="C242" s="56" t="s">
        <v>92</v>
      </c>
      <c r="D242" s="85" t="s">
        <v>239</v>
      </c>
      <c r="E242" s="139">
        <f t="shared" si="110"/>
        <v>0</v>
      </c>
      <c r="F242" s="139"/>
      <c r="G242" s="139"/>
      <c r="H242" s="139"/>
      <c r="I242" s="139"/>
      <c r="J242" s="139">
        <f>L242+O242</f>
        <v>0</v>
      </c>
      <c r="K242" s="139"/>
      <c r="L242" s="139"/>
      <c r="M242" s="139"/>
      <c r="N242" s="139"/>
      <c r="O242" s="139"/>
      <c r="P242" s="139">
        <f t="shared" si="111"/>
        <v>0</v>
      </c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</row>
    <row r="243" spans="1:525" s="22" customFormat="1" ht="19.5" customHeight="1" x14ac:dyDescent="0.25">
      <c r="A243" s="89" t="s">
        <v>297</v>
      </c>
      <c r="B243" s="42" t="str">
        <f>'дод 3'!A136</f>
        <v>3210</v>
      </c>
      <c r="C243" s="42" t="str">
        <f>'дод 3'!B136</f>
        <v>1050</v>
      </c>
      <c r="D243" s="36" t="str">
        <f>'дод 3'!C136</f>
        <v>Організація та проведення громадських робіт</v>
      </c>
      <c r="E243" s="139">
        <f t="shared" si="110"/>
        <v>200000</v>
      </c>
      <c r="F243" s="139">
        <v>200000</v>
      </c>
      <c r="G243" s="139"/>
      <c r="H243" s="139"/>
      <c r="I243" s="139"/>
      <c r="J243" s="139">
        <f t="shared" ref="J243:J278" si="112">L243+O243</f>
        <v>0</v>
      </c>
      <c r="K243" s="139"/>
      <c r="L243" s="139"/>
      <c r="M243" s="139"/>
      <c r="N243" s="139"/>
      <c r="O243" s="139"/>
      <c r="P243" s="139">
        <f t="shared" si="111"/>
        <v>200000</v>
      </c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  <c r="OX243" s="23"/>
      <c r="OY243" s="23"/>
      <c r="OZ243" s="23"/>
      <c r="PA243" s="23"/>
      <c r="PB243" s="23"/>
      <c r="PC243" s="23"/>
      <c r="PD243" s="23"/>
      <c r="PE243" s="23"/>
      <c r="PF243" s="23"/>
      <c r="PG243" s="23"/>
      <c r="PH243" s="23"/>
      <c r="PI243" s="23"/>
      <c r="PJ243" s="23"/>
      <c r="PK243" s="23"/>
      <c r="PL243" s="23"/>
      <c r="PM243" s="23"/>
      <c r="PN243" s="23"/>
      <c r="PO243" s="23"/>
      <c r="PP243" s="23"/>
      <c r="PQ243" s="23"/>
      <c r="PR243" s="23"/>
      <c r="PS243" s="23"/>
      <c r="PT243" s="23"/>
      <c r="PU243" s="23"/>
      <c r="PV243" s="23"/>
      <c r="PW243" s="23"/>
      <c r="PX243" s="23"/>
      <c r="PY243" s="23"/>
      <c r="PZ243" s="23"/>
      <c r="QA243" s="23"/>
      <c r="QB243" s="23"/>
      <c r="QC243" s="23"/>
      <c r="QD243" s="23"/>
      <c r="QE243" s="23"/>
      <c r="QF243" s="23"/>
      <c r="QG243" s="23"/>
      <c r="QH243" s="23"/>
      <c r="QI243" s="23"/>
      <c r="QJ243" s="23"/>
      <c r="QK243" s="23"/>
      <c r="QL243" s="23"/>
      <c r="QM243" s="23"/>
      <c r="QN243" s="23"/>
      <c r="QO243" s="23"/>
      <c r="QP243" s="23"/>
      <c r="QQ243" s="23"/>
      <c r="QR243" s="23"/>
      <c r="QS243" s="23"/>
      <c r="QT243" s="23"/>
      <c r="QU243" s="23"/>
      <c r="QV243" s="23"/>
      <c r="QW243" s="23"/>
      <c r="QX243" s="23"/>
      <c r="QY243" s="23"/>
      <c r="QZ243" s="23"/>
      <c r="RA243" s="23"/>
      <c r="RB243" s="23"/>
      <c r="RC243" s="23"/>
      <c r="RD243" s="23"/>
      <c r="RE243" s="23"/>
      <c r="RF243" s="23"/>
      <c r="RG243" s="23"/>
      <c r="RH243" s="23"/>
      <c r="RI243" s="23"/>
      <c r="RJ243" s="23"/>
      <c r="RK243" s="23"/>
      <c r="RL243" s="23"/>
      <c r="RM243" s="23"/>
      <c r="RN243" s="23"/>
      <c r="RO243" s="23"/>
      <c r="RP243" s="23"/>
      <c r="RQ243" s="23"/>
      <c r="RR243" s="23"/>
      <c r="RS243" s="23"/>
      <c r="RT243" s="23"/>
      <c r="RU243" s="23"/>
      <c r="RV243" s="23"/>
      <c r="RW243" s="23"/>
      <c r="RX243" s="23"/>
      <c r="RY243" s="23"/>
      <c r="RZ243" s="23"/>
      <c r="SA243" s="23"/>
      <c r="SB243" s="23"/>
      <c r="SC243" s="23"/>
      <c r="SD243" s="23"/>
      <c r="SE243" s="23"/>
      <c r="SF243" s="23"/>
      <c r="SG243" s="23"/>
      <c r="SH243" s="23"/>
      <c r="SI243" s="23"/>
      <c r="SJ243" s="23"/>
      <c r="SK243" s="23"/>
      <c r="SL243" s="23"/>
      <c r="SM243" s="23"/>
      <c r="SN243" s="23"/>
      <c r="SO243" s="23"/>
      <c r="SP243" s="23"/>
      <c r="SQ243" s="23"/>
      <c r="SR243" s="23"/>
      <c r="SS243" s="23"/>
      <c r="ST243" s="23"/>
      <c r="SU243" s="23"/>
      <c r="SV243" s="23"/>
      <c r="SW243" s="23"/>
      <c r="SX243" s="23"/>
      <c r="SY243" s="23"/>
      <c r="SZ243" s="23"/>
      <c r="TA243" s="23"/>
      <c r="TB243" s="23"/>
      <c r="TC243" s="23"/>
      <c r="TD243" s="23"/>
      <c r="TE243" s="23"/>
    </row>
    <row r="244" spans="1:525" s="22" customFormat="1" ht="33.75" customHeight="1" x14ac:dyDescent="0.25">
      <c r="A244" s="56" t="s">
        <v>194</v>
      </c>
      <c r="B244" s="84" t="str">
        <f>'дод 3'!A162</f>
        <v>6011</v>
      </c>
      <c r="C244" s="84" t="str">
        <f>'дод 3'!B162</f>
        <v>0610</v>
      </c>
      <c r="D244" s="57" t="str">
        <f>'дод 3'!C162</f>
        <v>Експлуатація та технічне обслуговування житлового фонду</v>
      </c>
      <c r="E244" s="139">
        <f t="shared" si="110"/>
        <v>0</v>
      </c>
      <c r="F244" s="139"/>
      <c r="G244" s="139"/>
      <c r="H244" s="139"/>
      <c r="I244" s="139"/>
      <c r="J244" s="139">
        <f t="shared" si="112"/>
        <v>5560000</v>
      </c>
      <c r="K244" s="139">
        <f>6000000+3000000-5000000+700000+860000</f>
        <v>5560000</v>
      </c>
      <c r="L244" s="139"/>
      <c r="M244" s="139"/>
      <c r="N244" s="139"/>
      <c r="O244" s="139">
        <f>6000000+3000000-5000000+700000+860000</f>
        <v>5560000</v>
      </c>
      <c r="P244" s="139">
        <f t="shared" si="111"/>
        <v>5560000</v>
      </c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</row>
    <row r="245" spans="1:525" s="22" customFormat="1" ht="31.5" x14ac:dyDescent="0.25">
      <c r="A245" s="56" t="s">
        <v>195</v>
      </c>
      <c r="B245" s="84" t="str">
        <f>'дод 3'!A163</f>
        <v>6013</v>
      </c>
      <c r="C245" s="84" t="str">
        <f>'дод 3'!B163</f>
        <v>0620</v>
      </c>
      <c r="D245" s="57" t="str">
        <f>'дод 3'!C163</f>
        <v>Забезпечення діяльності водопровідно-каналізаційного господарства</v>
      </c>
      <c r="E245" s="139">
        <f t="shared" si="110"/>
        <v>576000</v>
      </c>
      <c r="F245" s="139">
        <v>376000</v>
      </c>
      <c r="G245" s="139"/>
      <c r="H245" s="139"/>
      <c r="I245" s="139">
        <v>200000</v>
      </c>
      <c r="J245" s="139">
        <f t="shared" si="112"/>
        <v>0</v>
      </c>
      <c r="K245" s="139"/>
      <c r="L245" s="139"/>
      <c r="M245" s="139"/>
      <c r="N245" s="139"/>
      <c r="O245" s="139"/>
      <c r="P245" s="139">
        <f t="shared" si="111"/>
        <v>576000</v>
      </c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</row>
    <row r="246" spans="1:525" s="22" customFormat="1" ht="33" customHeight="1" x14ac:dyDescent="0.25">
      <c r="A246" s="56" t="s">
        <v>256</v>
      </c>
      <c r="B246" s="84" t="str">
        <f>'дод 3'!A164</f>
        <v>6015</v>
      </c>
      <c r="C246" s="84" t="str">
        <f>'дод 3'!B164</f>
        <v>0620</v>
      </c>
      <c r="D246" s="57" t="str">
        <f>'дод 3'!C164</f>
        <v>Забезпечення надійної та безперебійної експлуатації ліфтів</v>
      </c>
      <c r="E246" s="139">
        <f t="shared" si="110"/>
        <v>100000</v>
      </c>
      <c r="F246" s="139">
        <v>100000</v>
      </c>
      <c r="G246" s="139"/>
      <c r="H246" s="139"/>
      <c r="I246" s="139"/>
      <c r="J246" s="139">
        <f t="shared" si="112"/>
        <v>14472274</v>
      </c>
      <c r="K246" s="139">
        <f>7000000+5000000+300000+2080000</f>
        <v>14380000</v>
      </c>
      <c r="L246" s="139"/>
      <c r="M246" s="139"/>
      <c r="N246" s="139"/>
      <c r="O246" s="139">
        <f>7000000+92274+5000000+300000+2080000</f>
        <v>14472274</v>
      </c>
      <c r="P246" s="139">
        <f t="shared" si="111"/>
        <v>14572274</v>
      </c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</row>
    <row r="247" spans="1:525" s="22" customFormat="1" ht="32.25" customHeight="1" x14ac:dyDescent="0.25">
      <c r="A247" s="56" t="s">
        <v>259</v>
      </c>
      <c r="B247" s="84" t="str">
        <f>'дод 3'!A165</f>
        <v>6017</v>
      </c>
      <c r="C247" s="84" t="str">
        <f>'дод 3'!B165</f>
        <v>0620</v>
      </c>
      <c r="D247" s="57" t="str">
        <f>'дод 3'!C165</f>
        <v>Інша діяльність, пов’язана з експлуатацією об’єктів житлово-комунального господарства</v>
      </c>
      <c r="E247" s="139">
        <f t="shared" si="110"/>
        <v>110000</v>
      </c>
      <c r="F247" s="139">
        <v>110000</v>
      </c>
      <c r="G247" s="139"/>
      <c r="H247" s="139"/>
      <c r="I247" s="139"/>
      <c r="J247" s="139">
        <f t="shared" si="112"/>
        <v>0</v>
      </c>
      <c r="K247" s="139"/>
      <c r="L247" s="139"/>
      <c r="M247" s="139"/>
      <c r="N247" s="139"/>
      <c r="O247" s="139"/>
      <c r="P247" s="139">
        <f t="shared" si="111"/>
        <v>110000</v>
      </c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</row>
    <row r="248" spans="1:525" s="22" customFormat="1" ht="47.25" x14ac:dyDescent="0.25">
      <c r="A248" s="56" t="s">
        <v>196</v>
      </c>
      <c r="B248" s="84" t="str">
        <f>'дод 3'!A166</f>
        <v>6020</v>
      </c>
      <c r="C248" s="84" t="str">
        <f>'дод 3'!B166</f>
        <v>0620</v>
      </c>
      <c r="D248" s="57" t="str">
        <f>'дод 3'!C166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8" s="139">
        <f t="shared" si="110"/>
        <v>350000</v>
      </c>
      <c r="F248" s="139"/>
      <c r="G248" s="139"/>
      <c r="H248" s="139"/>
      <c r="I248" s="139">
        <v>350000</v>
      </c>
      <c r="J248" s="139">
        <f t="shared" si="112"/>
        <v>0</v>
      </c>
      <c r="K248" s="139"/>
      <c r="L248" s="139"/>
      <c r="M248" s="139"/>
      <c r="N248" s="139"/>
      <c r="O248" s="139"/>
      <c r="P248" s="139">
        <f t="shared" si="111"/>
        <v>350000</v>
      </c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</row>
    <row r="249" spans="1:525" s="22" customFormat="1" ht="24.75" customHeight="1" x14ac:dyDescent="0.25">
      <c r="A249" s="56" t="s">
        <v>197</v>
      </c>
      <c r="B249" s="84" t="str">
        <f>'дод 3'!A167</f>
        <v>6030</v>
      </c>
      <c r="C249" s="84" t="str">
        <f>'дод 3'!B167</f>
        <v>0620</v>
      </c>
      <c r="D249" s="57" t="str">
        <f>'дод 3'!C167</f>
        <v>Організація благоустрою населених пунктів</v>
      </c>
      <c r="E249" s="139">
        <f t="shared" si="110"/>
        <v>190875000</v>
      </c>
      <c r="F249" s="139">
        <f>265050000-214000+250000+10400000-2690000+2600000-3885000+50000+400000+200000-81500000</f>
        <v>190661000</v>
      </c>
      <c r="G249" s="139"/>
      <c r="H249" s="139">
        <f>43800000+610000</f>
        <v>44410000</v>
      </c>
      <c r="I249" s="139">
        <v>214000</v>
      </c>
      <c r="J249" s="139">
        <f t="shared" si="112"/>
        <v>52950000</v>
      </c>
      <c r="K249" s="139">
        <f>37633000-9250000-5283000+500000+850000+9000000+19800000+750000+9000000+1500000+5000000+650000+10000000-1950000-24350000+1100000-2000000</f>
        <v>52950000</v>
      </c>
      <c r="L249" s="141"/>
      <c r="M249" s="139"/>
      <c r="N249" s="139"/>
      <c r="O249" s="139">
        <f>37633000-9250000-5283000+500000+850000+9000000+19800000+750000+9000000+1500000+5000000+650000+10000000-1950000-24350000+1100000-2000000</f>
        <v>52950000</v>
      </c>
      <c r="P249" s="139">
        <f t="shared" si="111"/>
        <v>243825000</v>
      </c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</row>
    <row r="250" spans="1:525" s="22" customFormat="1" ht="99.75" hidden="1" customHeight="1" x14ac:dyDescent="0.25">
      <c r="A250" s="56" t="s">
        <v>568</v>
      </c>
      <c r="B250" s="84">
        <v>6083</v>
      </c>
      <c r="C250" s="56" t="s">
        <v>67</v>
      </c>
      <c r="D250" s="11" t="s">
        <v>428</v>
      </c>
      <c r="E250" s="139">
        <f>F250+I250</f>
        <v>0</v>
      </c>
      <c r="F250" s="139"/>
      <c r="G250" s="139"/>
      <c r="H250" s="139"/>
      <c r="I250" s="139"/>
      <c r="J250" s="139">
        <f t="shared" si="112"/>
        <v>0</v>
      </c>
      <c r="K250" s="139"/>
      <c r="L250" s="139"/>
      <c r="M250" s="139"/>
      <c r="N250" s="139"/>
      <c r="O250" s="139"/>
      <c r="P250" s="139">
        <f>E250+J250</f>
        <v>0</v>
      </c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</row>
    <row r="251" spans="1:525" s="22" customFormat="1" ht="141.75" hidden="1" customHeight="1" x14ac:dyDescent="0.25">
      <c r="A251" s="76"/>
      <c r="B251" s="97"/>
      <c r="C251" s="76"/>
      <c r="D251" s="82" t="s">
        <v>574</v>
      </c>
      <c r="E251" s="139">
        <f>F251+I251</f>
        <v>0</v>
      </c>
      <c r="F251" s="140"/>
      <c r="G251" s="140"/>
      <c r="H251" s="140"/>
      <c r="I251" s="140"/>
      <c r="J251" s="139">
        <f t="shared" si="112"/>
        <v>0</v>
      </c>
      <c r="K251" s="140"/>
      <c r="L251" s="140"/>
      <c r="M251" s="140"/>
      <c r="N251" s="140"/>
      <c r="O251" s="140"/>
      <c r="P251" s="139">
        <f>E251+J251</f>
        <v>0</v>
      </c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</row>
    <row r="252" spans="1:525" s="22" customFormat="1" ht="104.25" customHeight="1" x14ac:dyDescent="0.25">
      <c r="A252" s="56" t="s">
        <v>583</v>
      </c>
      <c r="B252" s="84">
        <v>6071</v>
      </c>
      <c r="C252" s="56" t="s">
        <v>307</v>
      </c>
      <c r="D252" s="57" t="str">
        <f>'дод 3'!C168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52" s="139">
        <f t="shared" ref="E252" si="113">F252+I252</f>
        <v>180117574</v>
      </c>
      <c r="F252" s="139"/>
      <c r="G252" s="139"/>
      <c r="H252" s="139"/>
      <c r="I252" s="139">
        <v>180117574</v>
      </c>
      <c r="J252" s="139">
        <f t="shared" ref="J252" si="114">L252+O252</f>
        <v>0</v>
      </c>
      <c r="K252" s="139"/>
      <c r="L252" s="141"/>
      <c r="M252" s="139"/>
      <c r="N252" s="139"/>
      <c r="O252" s="139"/>
      <c r="P252" s="139">
        <f t="shared" ref="P252" si="115">E252+J252</f>
        <v>180117574</v>
      </c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</row>
    <row r="253" spans="1:525" s="22" customFormat="1" ht="31.5" customHeight="1" x14ac:dyDescent="0.25">
      <c r="A253" s="56" t="s">
        <v>249</v>
      </c>
      <c r="B253" s="84" t="str">
        <f>'дод 3'!A172</f>
        <v>6090</v>
      </c>
      <c r="C253" s="84" t="str">
        <f>'дод 3'!B172</f>
        <v>0640</v>
      </c>
      <c r="D253" s="57" t="str">
        <f>'дод 3'!C172</f>
        <v>Інша діяльність у сфері житлово-комунального господарства</v>
      </c>
      <c r="E253" s="139">
        <f t="shared" si="110"/>
        <v>28111760</v>
      </c>
      <c r="F253" s="139">
        <f>49111760-100000-21000000</f>
        <v>28011760</v>
      </c>
      <c r="G253" s="139"/>
      <c r="H253" s="139">
        <v>60000</v>
      </c>
      <c r="I253" s="139">
        <v>100000</v>
      </c>
      <c r="J253" s="139">
        <f t="shared" si="112"/>
        <v>1779900</v>
      </c>
      <c r="K253" s="139"/>
      <c r="L253" s="139">
        <v>1779900</v>
      </c>
      <c r="M253" s="139"/>
      <c r="N253" s="139"/>
      <c r="O253" s="139"/>
      <c r="P253" s="139">
        <f t="shared" si="111"/>
        <v>29891660</v>
      </c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</row>
    <row r="254" spans="1:525" s="22" customFormat="1" ht="31.5" x14ac:dyDescent="0.25">
      <c r="A254" s="56" t="s">
        <v>268</v>
      </c>
      <c r="B254" s="84" t="str">
        <f>'дод 3'!A183</f>
        <v>7310</v>
      </c>
      <c r="C254" s="84" t="str">
        <f>'дод 3'!B183</f>
        <v>0443</v>
      </c>
      <c r="D254" s="6" t="str">
        <f>'дод 3'!C183</f>
        <v>Будівництво1 об'єктів житлово-комунального господарства</v>
      </c>
      <c r="E254" s="139">
        <f t="shared" si="110"/>
        <v>0</v>
      </c>
      <c r="F254" s="139"/>
      <c r="G254" s="139"/>
      <c r="H254" s="139"/>
      <c r="I254" s="139"/>
      <c r="J254" s="139">
        <f t="shared" si="112"/>
        <v>143355680</v>
      </c>
      <c r="K254" s="139">
        <f>7300000+1400000+4465000+52390680+81500000-3000000-700000</f>
        <v>143355680</v>
      </c>
      <c r="L254" s="139"/>
      <c r="M254" s="139"/>
      <c r="N254" s="139"/>
      <c r="O254" s="139">
        <f>7300000+1400000+4465000+52390680+81500000-3000000-700000</f>
        <v>143355680</v>
      </c>
      <c r="P254" s="139">
        <f t="shared" si="111"/>
        <v>143355680</v>
      </c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</row>
    <row r="255" spans="1:525" s="22" customFormat="1" ht="30" customHeight="1" x14ac:dyDescent="0.25">
      <c r="A255" s="56" t="s">
        <v>270</v>
      </c>
      <c r="B255" s="84" t="str">
        <f>'дод 3'!A190</f>
        <v>7330</v>
      </c>
      <c r="C255" s="84" t="str">
        <f>'дод 3'!B190</f>
        <v>0443</v>
      </c>
      <c r="D255" s="6" t="str">
        <f>'дод 3'!C190</f>
        <v>Будівництво1 інших об'єктів комунальної власності</v>
      </c>
      <c r="E255" s="139">
        <f t="shared" si="110"/>
        <v>0</v>
      </c>
      <c r="F255" s="139"/>
      <c r="G255" s="139"/>
      <c r="H255" s="139"/>
      <c r="I255" s="139"/>
      <c r="J255" s="139">
        <f t="shared" si="112"/>
        <v>15000000</v>
      </c>
      <c r="K255" s="139">
        <f>500000+60100000+500000+1700000-20000000-1100000-1000000-1100000-400000-200000-24000000</f>
        <v>15000000</v>
      </c>
      <c r="L255" s="139"/>
      <c r="M255" s="139"/>
      <c r="N255" s="139"/>
      <c r="O255" s="139">
        <f>60600000+500000+1700000-20000000-1100000-1000000-1100000-400000-200000-24000000</f>
        <v>15000000</v>
      </c>
      <c r="P255" s="139">
        <f t="shared" si="111"/>
        <v>15000000</v>
      </c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</row>
    <row r="256" spans="1:525" s="22" customFormat="1" ht="33" hidden="1" customHeight="1" x14ac:dyDescent="0.25">
      <c r="A256" s="56" t="s">
        <v>198</v>
      </c>
      <c r="B256" s="84">
        <v>7340</v>
      </c>
      <c r="C256" s="84" t="str">
        <f>'дод 3'!B189</f>
        <v>0443</v>
      </c>
      <c r="D256" s="57" t="str">
        <f>'дод 3'!C191</f>
        <v>Проектування, реставрація та охорона пам'яток архітектури</v>
      </c>
      <c r="E256" s="139">
        <f t="shared" ref="E256" si="116">F256+I256</f>
        <v>0</v>
      </c>
      <c r="F256" s="139"/>
      <c r="G256" s="139"/>
      <c r="H256" s="139"/>
      <c r="I256" s="139"/>
      <c r="J256" s="139">
        <f t="shared" si="112"/>
        <v>0</v>
      </c>
      <c r="K256" s="139"/>
      <c r="L256" s="139"/>
      <c r="M256" s="139"/>
      <c r="N256" s="139"/>
      <c r="O256" s="139"/>
      <c r="P256" s="139">
        <f t="shared" ref="P256" si="117">E256+J256</f>
        <v>0</v>
      </c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</row>
    <row r="257" spans="1:525" s="22" customFormat="1" ht="49.5" hidden="1" customHeight="1" x14ac:dyDescent="0.25">
      <c r="A257" s="56" t="s">
        <v>365</v>
      </c>
      <c r="B257" s="84">
        <f>'дод 3'!A193</f>
        <v>7361</v>
      </c>
      <c r="C257" s="84" t="str">
        <f>'дод 3'!B193</f>
        <v>0490</v>
      </c>
      <c r="D257" s="57" t="str">
        <f>'дод 3'!C193</f>
        <v>Співфінансування інвестиційних проектів, що реалізуються за рахунок коштів державного фонду регіонального розвитку</v>
      </c>
      <c r="E257" s="139">
        <f t="shared" si="110"/>
        <v>0</v>
      </c>
      <c r="F257" s="139"/>
      <c r="G257" s="139"/>
      <c r="H257" s="139"/>
      <c r="I257" s="139"/>
      <c r="J257" s="139">
        <f t="shared" si="112"/>
        <v>0</v>
      </c>
      <c r="K257" s="139"/>
      <c r="L257" s="139"/>
      <c r="M257" s="139"/>
      <c r="N257" s="139"/>
      <c r="O257" s="139"/>
      <c r="P257" s="139">
        <f t="shared" si="111"/>
        <v>0</v>
      </c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</row>
    <row r="258" spans="1:525" s="22" customFormat="1" ht="30" hidden="1" customHeight="1" x14ac:dyDescent="0.25">
      <c r="A258" s="56">
        <v>1217362</v>
      </c>
      <c r="B258" s="84">
        <f>'дод 3'!A194</f>
        <v>7362</v>
      </c>
      <c r="C258" s="84" t="str">
        <f>'дод 3'!B194</f>
        <v>0490</v>
      </c>
      <c r="D258" s="57" t="str">
        <f>'дод 3'!C194</f>
        <v>Виконання інвестиційних проектів в рамках підтримки розвитку об'єднаних територіальних громад</v>
      </c>
      <c r="E258" s="139">
        <f t="shared" si="110"/>
        <v>0</v>
      </c>
      <c r="F258" s="139"/>
      <c r="G258" s="139"/>
      <c r="H258" s="139"/>
      <c r="I258" s="139"/>
      <c r="J258" s="139">
        <f t="shared" si="112"/>
        <v>0</v>
      </c>
      <c r="K258" s="139"/>
      <c r="L258" s="139"/>
      <c r="M258" s="139"/>
      <c r="N258" s="139"/>
      <c r="O258" s="139"/>
      <c r="P258" s="139">
        <f t="shared" si="111"/>
        <v>0</v>
      </c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</row>
    <row r="259" spans="1:525" s="22" customFormat="1" ht="56.25" customHeight="1" x14ac:dyDescent="0.25">
      <c r="A259" s="56" t="s">
        <v>363</v>
      </c>
      <c r="B259" s="84">
        <v>7363</v>
      </c>
      <c r="C259" s="37" t="s">
        <v>81</v>
      </c>
      <c r="D259" s="36" t="s">
        <v>606</v>
      </c>
      <c r="E259" s="139">
        <f t="shared" si="110"/>
        <v>0</v>
      </c>
      <c r="F259" s="139"/>
      <c r="G259" s="139"/>
      <c r="H259" s="139"/>
      <c r="I259" s="139"/>
      <c r="J259" s="139">
        <f t="shared" si="112"/>
        <v>6000000</v>
      </c>
      <c r="K259" s="139">
        <v>6000000</v>
      </c>
      <c r="L259" s="139"/>
      <c r="M259" s="139"/>
      <c r="N259" s="139"/>
      <c r="O259" s="139">
        <v>6000000</v>
      </c>
      <c r="P259" s="139">
        <f t="shared" si="111"/>
        <v>6000000</v>
      </c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</row>
    <row r="260" spans="1:525" s="24" customFormat="1" ht="50.25" hidden="1" customHeight="1" x14ac:dyDescent="0.25">
      <c r="A260" s="76"/>
      <c r="B260" s="97"/>
      <c r="C260" s="97"/>
      <c r="D260" s="79" t="s">
        <v>383</v>
      </c>
      <c r="E260" s="140">
        <f t="shared" si="110"/>
        <v>0</v>
      </c>
      <c r="F260" s="140"/>
      <c r="G260" s="140"/>
      <c r="H260" s="140"/>
      <c r="I260" s="140"/>
      <c r="J260" s="140">
        <f t="shared" si="112"/>
        <v>0</v>
      </c>
      <c r="K260" s="140"/>
      <c r="L260" s="140"/>
      <c r="M260" s="140"/>
      <c r="N260" s="140"/>
      <c r="O260" s="140"/>
      <c r="P260" s="140">
        <f t="shared" si="111"/>
        <v>0</v>
      </c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  <c r="SQ260" s="30"/>
      <c r="SR260" s="30"/>
      <c r="SS260" s="30"/>
      <c r="ST260" s="30"/>
      <c r="SU260" s="30"/>
      <c r="SV260" s="30"/>
      <c r="SW260" s="30"/>
      <c r="SX260" s="30"/>
      <c r="SY260" s="30"/>
      <c r="SZ260" s="30"/>
      <c r="TA260" s="30"/>
      <c r="TB260" s="30"/>
      <c r="TC260" s="30"/>
      <c r="TD260" s="30"/>
      <c r="TE260" s="30"/>
    </row>
    <row r="261" spans="1:525" s="24" customFormat="1" ht="31.5" hidden="1" customHeight="1" x14ac:dyDescent="0.25">
      <c r="A261" s="56" t="s">
        <v>556</v>
      </c>
      <c r="B261" s="84">
        <v>7368</v>
      </c>
      <c r="C261" s="37" t="s">
        <v>81</v>
      </c>
      <c r="D261" s="36" t="s">
        <v>557</v>
      </c>
      <c r="E261" s="139">
        <f t="shared" si="110"/>
        <v>0</v>
      </c>
      <c r="F261" s="140"/>
      <c r="G261" s="140"/>
      <c r="H261" s="140"/>
      <c r="I261" s="140"/>
      <c r="J261" s="139">
        <f t="shared" si="112"/>
        <v>0</v>
      </c>
      <c r="K261" s="139"/>
      <c r="L261" s="139"/>
      <c r="M261" s="139"/>
      <c r="N261" s="139"/>
      <c r="O261" s="139"/>
      <c r="P261" s="139">
        <f t="shared" si="111"/>
        <v>0</v>
      </c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  <c r="LU261" s="30"/>
      <c r="LV261" s="30"/>
      <c r="LW261" s="30"/>
      <c r="LX261" s="30"/>
      <c r="LY261" s="30"/>
      <c r="LZ261" s="30"/>
      <c r="MA261" s="30"/>
      <c r="MB261" s="30"/>
      <c r="MC261" s="30"/>
      <c r="MD261" s="30"/>
      <c r="ME261" s="30"/>
      <c r="MF261" s="30"/>
      <c r="MG261" s="30"/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30"/>
      <c r="MW261" s="30"/>
      <c r="MX261" s="30"/>
      <c r="MY261" s="30"/>
      <c r="MZ261" s="30"/>
      <c r="NA261" s="30"/>
      <c r="NB261" s="30"/>
      <c r="NC261" s="30"/>
      <c r="ND261" s="30"/>
      <c r="NE261" s="30"/>
      <c r="NF261" s="30"/>
      <c r="NG261" s="30"/>
      <c r="NH261" s="30"/>
      <c r="NI261" s="30"/>
      <c r="NJ261" s="30"/>
      <c r="NK261" s="30"/>
      <c r="NL261" s="30"/>
      <c r="NM261" s="30"/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30"/>
      <c r="NY261" s="30"/>
      <c r="NZ261" s="30"/>
      <c r="OA261" s="30"/>
      <c r="OB261" s="30"/>
      <c r="OC261" s="30"/>
      <c r="OD261" s="30"/>
      <c r="OE261" s="30"/>
      <c r="OF261" s="30"/>
      <c r="OG261" s="30"/>
      <c r="OH261" s="30"/>
      <c r="OI261" s="30"/>
      <c r="OJ261" s="30"/>
      <c r="OK261" s="30"/>
      <c r="OL261" s="30"/>
      <c r="OM261" s="30"/>
      <c r="ON261" s="30"/>
      <c r="OO261" s="30"/>
      <c r="OP261" s="30"/>
      <c r="OQ261" s="30"/>
      <c r="OR261" s="30"/>
      <c r="OS261" s="30"/>
      <c r="OT261" s="30"/>
      <c r="OU261" s="30"/>
      <c r="OV261" s="30"/>
      <c r="OW261" s="30"/>
      <c r="OX261" s="30"/>
      <c r="OY261" s="30"/>
      <c r="OZ261" s="30"/>
      <c r="PA261" s="30"/>
      <c r="PB261" s="30"/>
      <c r="PC261" s="30"/>
      <c r="PD261" s="30"/>
      <c r="PE261" s="30"/>
      <c r="PF261" s="30"/>
      <c r="PG261" s="30"/>
      <c r="PH261" s="30"/>
      <c r="PI261" s="30"/>
      <c r="PJ261" s="30"/>
      <c r="PK261" s="30"/>
      <c r="PL261" s="30"/>
      <c r="PM261" s="30"/>
      <c r="PN261" s="30"/>
      <c r="PO261" s="30"/>
      <c r="PP261" s="30"/>
      <c r="PQ261" s="30"/>
      <c r="PR261" s="30"/>
      <c r="PS261" s="30"/>
      <c r="PT261" s="30"/>
      <c r="PU261" s="30"/>
      <c r="PV261" s="30"/>
      <c r="PW261" s="30"/>
      <c r="PX261" s="30"/>
      <c r="PY261" s="30"/>
      <c r="PZ261" s="30"/>
      <c r="QA261" s="30"/>
      <c r="QB261" s="30"/>
      <c r="QC261" s="30"/>
      <c r="QD261" s="30"/>
      <c r="QE261" s="30"/>
      <c r="QF261" s="30"/>
      <c r="QG261" s="30"/>
      <c r="QH261" s="30"/>
      <c r="QI261" s="30"/>
      <c r="QJ261" s="30"/>
      <c r="QK261" s="30"/>
      <c r="QL261" s="30"/>
      <c r="QM261" s="30"/>
      <c r="QN261" s="30"/>
      <c r="QO261" s="30"/>
      <c r="QP261" s="30"/>
      <c r="QQ261" s="30"/>
      <c r="QR261" s="30"/>
      <c r="QS261" s="30"/>
      <c r="QT261" s="30"/>
      <c r="QU261" s="30"/>
      <c r="QV261" s="30"/>
      <c r="QW261" s="30"/>
      <c r="QX261" s="30"/>
      <c r="QY261" s="30"/>
      <c r="QZ261" s="30"/>
      <c r="RA261" s="30"/>
      <c r="RB261" s="30"/>
      <c r="RC261" s="30"/>
      <c r="RD261" s="30"/>
      <c r="RE261" s="30"/>
      <c r="RF261" s="30"/>
      <c r="RG261" s="30"/>
      <c r="RH261" s="30"/>
      <c r="RI261" s="30"/>
      <c r="RJ261" s="30"/>
      <c r="RK261" s="30"/>
      <c r="RL261" s="30"/>
      <c r="RM261" s="30"/>
      <c r="RN261" s="30"/>
      <c r="RO261" s="30"/>
      <c r="RP261" s="30"/>
      <c r="RQ261" s="30"/>
      <c r="RR261" s="30"/>
      <c r="RS261" s="30"/>
      <c r="RT261" s="30"/>
      <c r="RU261" s="30"/>
      <c r="RV261" s="30"/>
      <c r="RW261" s="30"/>
      <c r="RX261" s="30"/>
      <c r="RY261" s="30"/>
      <c r="RZ261" s="30"/>
      <c r="SA261" s="30"/>
      <c r="SB261" s="30"/>
      <c r="SC261" s="30"/>
      <c r="SD261" s="30"/>
      <c r="SE261" s="30"/>
      <c r="SF261" s="30"/>
      <c r="SG261" s="30"/>
      <c r="SH261" s="30"/>
      <c r="SI261" s="30"/>
      <c r="SJ261" s="30"/>
      <c r="SK261" s="30"/>
      <c r="SL261" s="30"/>
      <c r="SM261" s="30"/>
      <c r="SN261" s="30"/>
      <c r="SO261" s="30"/>
      <c r="SP261" s="30"/>
      <c r="SQ261" s="30"/>
      <c r="SR261" s="30"/>
      <c r="SS261" s="30"/>
      <c r="ST261" s="30"/>
      <c r="SU261" s="30"/>
      <c r="SV261" s="30"/>
      <c r="SW261" s="30"/>
      <c r="SX261" s="30"/>
      <c r="SY261" s="30"/>
      <c r="SZ261" s="30"/>
      <c r="TA261" s="30"/>
      <c r="TB261" s="30"/>
      <c r="TC261" s="30"/>
      <c r="TD261" s="30"/>
      <c r="TE261" s="30"/>
    </row>
    <row r="262" spans="1:525" s="24" customFormat="1" ht="15.75" hidden="1" customHeight="1" x14ac:dyDescent="0.25">
      <c r="A262" s="76"/>
      <c r="B262" s="97"/>
      <c r="C262" s="97"/>
      <c r="D262" s="77" t="s">
        <v>388</v>
      </c>
      <c r="E262" s="140">
        <f t="shared" si="110"/>
        <v>0</v>
      </c>
      <c r="F262" s="140"/>
      <c r="G262" s="140"/>
      <c r="H262" s="140"/>
      <c r="I262" s="140"/>
      <c r="J262" s="140">
        <f t="shared" si="112"/>
        <v>0</v>
      </c>
      <c r="K262" s="140"/>
      <c r="L262" s="140"/>
      <c r="M262" s="140"/>
      <c r="N262" s="140"/>
      <c r="O262" s="140"/>
      <c r="P262" s="140">
        <f t="shared" si="111"/>
        <v>0</v>
      </c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30"/>
      <c r="JA262" s="30"/>
      <c r="JB262" s="30"/>
      <c r="JC262" s="30"/>
      <c r="JD262" s="30"/>
      <c r="JE262" s="30"/>
      <c r="JF262" s="30"/>
      <c r="JG262" s="30"/>
      <c r="JH262" s="30"/>
      <c r="JI262" s="30"/>
      <c r="JJ262" s="30"/>
      <c r="JK262" s="30"/>
      <c r="JL262" s="30"/>
      <c r="JM262" s="30"/>
      <c r="JN262" s="30"/>
      <c r="JO262" s="30"/>
      <c r="JP262" s="30"/>
      <c r="JQ262" s="30"/>
      <c r="JR262" s="30"/>
      <c r="JS262" s="30"/>
      <c r="JT262" s="30"/>
      <c r="JU262" s="30"/>
      <c r="JV262" s="30"/>
      <c r="JW262" s="30"/>
      <c r="JX262" s="30"/>
      <c r="JY262" s="30"/>
      <c r="JZ262" s="30"/>
      <c r="KA262" s="30"/>
      <c r="KB262" s="30"/>
      <c r="KC262" s="30"/>
      <c r="KD262" s="30"/>
      <c r="KE262" s="30"/>
      <c r="KF262" s="30"/>
      <c r="KG262" s="30"/>
      <c r="KH262" s="30"/>
      <c r="KI262" s="30"/>
      <c r="KJ262" s="30"/>
      <c r="KK262" s="30"/>
      <c r="KL262" s="30"/>
      <c r="KM262" s="30"/>
      <c r="KN262" s="30"/>
      <c r="KO262" s="30"/>
      <c r="KP262" s="30"/>
      <c r="KQ262" s="30"/>
      <c r="KR262" s="30"/>
      <c r="KS262" s="30"/>
      <c r="KT262" s="30"/>
      <c r="KU262" s="30"/>
      <c r="KV262" s="30"/>
      <c r="KW262" s="30"/>
      <c r="KX262" s="30"/>
      <c r="KY262" s="30"/>
      <c r="KZ262" s="30"/>
      <c r="LA262" s="30"/>
      <c r="LB262" s="30"/>
      <c r="LC262" s="30"/>
      <c r="LD262" s="30"/>
      <c r="LE262" s="30"/>
      <c r="LF262" s="30"/>
      <c r="LG262" s="30"/>
      <c r="LH262" s="30"/>
      <c r="LI262" s="30"/>
      <c r="LJ262" s="30"/>
      <c r="LK262" s="30"/>
      <c r="LL262" s="30"/>
      <c r="LM262" s="30"/>
      <c r="LN262" s="30"/>
      <c r="LO262" s="30"/>
      <c r="LP262" s="30"/>
      <c r="LQ262" s="30"/>
      <c r="LR262" s="30"/>
      <c r="LS262" s="30"/>
      <c r="LT262" s="30"/>
      <c r="LU262" s="30"/>
      <c r="LV262" s="30"/>
      <c r="LW262" s="30"/>
      <c r="LX262" s="30"/>
      <c r="LY262" s="30"/>
      <c r="LZ262" s="30"/>
      <c r="MA262" s="30"/>
      <c r="MB262" s="30"/>
      <c r="MC262" s="30"/>
      <c r="MD262" s="30"/>
      <c r="ME262" s="30"/>
      <c r="MF262" s="30"/>
      <c r="MG262" s="30"/>
      <c r="MH262" s="30"/>
      <c r="MI262" s="30"/>
      <c r="MJ262" s="30"/>
      <c r="MK262" s="30"/>
      <c r="ML262" s="30"/>
      <c r="MM262" s="30"/>
      <c r="MN262" s="30"/>
      <c r="MO262" s="30"/>
      <c r="MP262" s="30"/>
      <c r="MQ262" s="30"/>
      <c r="MR262" s="30"/>
      <c r="MS262" s="30"/>
      <c r="MT262" s="30"/>
      <c r="MU262" s="30"/>
      <c r="MV262" s="30"/>
      <c r="MW262" s="30"/>
      <c r="MX262" s="30"/>
      <c r="MY262" s="30"/>
      <c r="MZ262" s="30"/>
      <c r="NA262" s="30"/>
      <c r="NB262" s="30"/>
      <c r="NC262" s="30"/>
      <c r="ND262" s="30"/>
      <c r="NE262" s="30"/>
      <c r="NF262" s="30"/>
      <c r="NG262" s="30"/>
      <c r="NH262" s="30"/>
      <c r="NI262" s="30"/>
      <c r="NJ262" s="30"/>
      <c r="NK262" s="30"/>
      <c r="NL262" s="30"/>
      <c r="NM262" s="30"/>
      <c r="NN262" s="30"/>
      <c r="NO262" s="30"/>
      <c r="NP262" s="30"/>
      <c r="NQ262" s="30"/>
      <c r="NR262" s="30"/>
      <c r="NS262" s="30"/>
      <c r="NT262" s="30"/>
      <c r="NU262" s="30"/>
      <c r="NV262" s="30"/>
      <c r="NW262" s="30"/>
      <c r="NX262" s="30"/>
      <c r="NY262" s="30"/>
      <c r="NZ262" s="30"/>
      <c r="OA262" s="30"/>
      <c r="OB262" s="30"/>
      <c r="OC262" s="30"/>
      <c r="OD262" s="30"/>
      <c r="OE262" s="30"/>
      <c r="OF262" s="30"/>
      <c r="OG262" s="30"/>
      <c r="OH262" s="30"/>
      <c r="OI262" s="30"/>
      <c r="OJ262" s="30"/>
      <c r="OK262" s="30"/>
      <c r="OL262" s="30"/>
      <c r="OM262" s="30"/>
      <c r="ON262" s="30"/>
      <c r="OO262" s="30"/>
      <c r="OP262" s="30"/>
      <c r="OQ262" s="30"/>
      <c r="OR262" s="30"/>
      <c r="OS262" s="30"/>
      <c r="OT262" s="30"/>
      <c r="OU262" s="30"/>
      <c r="OV262" s="30"/>
      <c r="OW262" s="30"/>
      <c r="OX262" s="30"/>
      <c r="OY262" s="30"/>
      <c r="OZ262" s="30"/>
      <c r="PA262" s="30"/>
      <c r="PB262" s="30"/>
      <c r="PC262" s="30"/>
      <c r="PD262" s="30"/>
      <c r="PE262" s="30"/>
      <c r="PF262" s="30"/>
      <c r="PG262" s="30"/>
      <c r="PH262" s="30"/>
      <c r="PI262" s="30"/>
      <c r="PJ262" s="30"/>
      <c r="PK262" s="30"/>
      <c r="PL262" s="30"/>
      <c r="PM262" s="30"/>
      <c r="PN262" s="30"/>
      <c r="PO262" s="30"/>
      <c r="PP262" s="30"/>
      <c r="PQ262" s="30"/>
      <c r="PR262" s="30"/>
      <c r="PS262" s="30"/>
      <c r="PT262" s="30"/>
      <c r="PU262" s="30"/>
      <c r="PV262" s="30"/>
      <c r="PW262" s="30"/>
      <c r="PX262" s="30"/>
      <c r="PY262" s="30"/>
      <c r="PZ262" s="30"/>
      <c r="QA262" s="30"/>
      <c r="QB262" s="30"/>
      <c r="QC262" s="30"/>
      <c r="QD262" s="30"/>
      <c r="QE262" s="30"/>
      <c r="QF262" s="30"/>
      <c r="QG262" s="30"/>
      <c r="QH262" s="30"/>
      <c r="QI262" s="30"/>
      <c r="QJ262" s="30"/>
      <c r="QK262" s="30"/>
      <c r="QL262" s="30"/>
      <c r="QM262" s="30"/>
      <c r="QN262" s="30"/>
      <c r="QO262" s="30"/>
      <c r="QP262" s="30"/>
      <c r="QQ262" s="30"/>
      <c r="QR262" s="30"/>
      <c r="QS262" s="30"/>
      <c r="QT262" s="30"/>
      <c r="QU262" s="30"/>
      <c r="QV262" s="30"/>
      <c r="QW262" s="30"/>
      <c r="QX262" s="30"/>
      <c r="QY262" s="30"/>
      <c r="QZ262" s="30"/>
      <c r="RA262" s="30"/>
      <c r="RB262" s="30"/>
      <c r="RC262" s="30"/>
      <c r="RD262" s="30"/>
      <c r="RE262" s="30"/>
      <c r="RF262" s="30"/>
      <c r="RG262" s="30"/>
      <c r="RH262" s="30"/>
      <c r="RI262" s="30"/>
      <c r="RJ262" s="30"/>
      <c r="RK262" s="30"/>
      <c r="RL262" s="30"/>
      <c r="RM262" s="30"/>
      <c r="RN262" s="30"/>
      <c r="RO262" s="30"/>
      <c r="RP262" s="30"/>
      <c r="RQ262" s="30"/>
      <c r="RR262" s="30"/>
      <c r="RS262" s="30"/>
      <c r="RT262" s="30"/>
      <c r="RU262" s="30"/>
      <c r="RV262" s="30"/>
      <c r="RW262" s="30"/>
      <c r="RX262" s="30"/>
      <c r="RY262" s="30"/>
      <c r="RZ262" s="30"/>
      <c r="SA262" s="30"/>
      <c r="SB262" s="30"/>
      <c r="SC262" s="30"/>
      <c r="SD262" s="30"/>
      <c r="SE262" s="30"/>
      <c r="SF262" s="30"/>
      <c r="SG262" s="30"/>
      <c r="SH262" s="30"/>
      <c r="SI262" s="30"/>
      <c r="SJ262" s="30"/>
      <c r="SK262" s="30"/>
      <c r="SL262" s="30"/>
      <c r="SM262" s="30"/>
      <c r="SN262" s="30"/>
      <c r="SO262" s="30"/>
      <c r="SP262" s="30"/>
      <c r="SQ262" s="30"/>
      <c r="SR262" s="30"/>
      <c r="SS262" s="30"/>
      <c r="ST262" s="30"/>
      <c r="SU262" s="30"/>
      <c r="SV262" s="30"/>
      <c r="SW262" s="30"/>
      <c r="SX262" s="30"/>
      <c r="SY262" s="30"/>
      <c r="SZ262" s="30"/>
      <c r="TA262" s="30"/>
      <c r="TB262" s="30"/>
      <c r="TC262" s="30"/>
      <c r="TD262" s="30"/>
      <c r="TE262" s="30"/>
    </row>
    <row r="263" spans="1:525" s="22" customFormat="1" ht="47.25" hidden="1" customHeight="1" x14ac:dyDescent="0.25">
      <c r="A263" s="56" t="s">
        <v>369</v>
      </c>
      <c r="B263" s="84">
        <f>'дод 3'!A208</f>
        <v>7462</v>
      </c>
      <c r="C263" s="56" t="s">
        <v>394</v>
      </c>
      <c r="D263" s="99" t="s">
        <v>393</v>
      </c>
      <c r="E263" s="139">
        <f t="shared" ref="E263:E268" si="118">F263+I263</f>
        <v>0</v>
      </c>
      <c r="F263" s="139"/>
      <c r="G263" s="139"/>
      <c r="H263" s="139"/>
      <c r="I263" s="139"/>
      <c r="J263" s="139">
        <f t="shared" ref="J263:J268" si="119">L263+O263</f>
        <v>0</v>
      </c>
      <c r="K263" s="139"/>
      <c r="L263" s="139"/>
      <c r="M263" s="139"/>
      <c r="N263" s="139"/>
      <c r="O263" s="139"/>
      <c r="P263" s="139">
        <f t="shared" ref="P263:P268" si="120">E263+J263</f>
        <v>0</v>
      </c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</row>
    <row r="264" spans="1:525" s="24" customFormat="1" ht="110.25" hidden="1" customHeight="1" x14ac:dyDescent="0.25">
      <c r="A264" s="76"/>
      <c r="B264" s="97"/>
      <c r="C264" s="97"/>
      <c r="D264" s="79" t="s">
        <v>391</v>
      </c>
      <c r="E264" s="140">
        <f t="shared" si="118"/>
        <v>0</v>
      </c>
      <c r="F264" s="140"/>
      <c r="G264" s="140"/>
      <c r="H264" s="140"/>
      <c r="I264" s="140"/>
      <c r="J264" s="140">
        <f t="shared" si="119"/>
        <v>0</v>
      </c>
      <c r="K264" s="140"/>
      <c r="L264" s="140"/>
      <c r="M264" s="140"/>
      <c r="N264" s="140"/>
      <c r="O264" s="140"/>
      <c r="P264" s="140">
        <f t="shared" si="120"/>
        <v>0</v>
      </c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  <c r="IW264" s="30"/>
      <c r="IX264" s="30"/>
      <c r="IY264" s="30"/>
      <c r="IZ264" s="30"/>
      <c r="JA264" s="30"/>
      <c r="JB264" s="30"/>
      <c r="JC264" s="30"/>
      <c r="JD264" s="30"/>
      <c r="JE264" s="30"/>
      <c r="JF264" s="30"/>
      <c r="JG264" s="30"/>
      <c r="JH264" s="30"/>
      <c r="JI264" s="30"/>
      <c r="JJ264" s="30"/>
      <c r="JK264" s="30"/>
      <c r="JL264" s="30"/>
      <c r="JM264" s="30"/>
      <c r="JN264" s="30"/>
      <c r="JO264" s="30"/>
      <c r="JP264" s="30"/>
      <c r="JQ264" s="30"/>
      <c r="JR264" s="30"/>
      <c r="JS264" s="30"/>
      <c r="JT264" s="30"/>
      <c r="JU264" s="30"/>
      <c r="JV264" s="30"/>
      <c r="JW264" s="30"/>
      <c r="JX264" s="30"/>
      <c r="JY264" s="30"/>
      <c r="JZ264" s="30"/>
      <c r="KA264" s="30"/>
      <c r="KB264" s="30"/>
      <c r="KC264" s="30"/>
      <c r="KD264" s="30"/>
      <c r="KE264" s="30"/>
      <c r="KF264" s="30"/>
      <c r="KG264" s="30"/>
      <c r="KH264" s="30"/>
      <c r="KI264" s="30"/>
      <c r="KJ264" s="30"/>
      <c r="KK264" s="30"/>
      <c r="KL264" s="30"/>
      <c r="KM264" s="30"/>
      <c r="KN264" s="30"/>
      <c r="KO264" s="30"/>
      <c r="KP264" s="30"/>
      <c r="KQ264" s="30"/>
      <c r="KR264" s="30"/>
      <c r="KS264" s="30"/>
      <c r="KT264" s="30"/>
      <c r="KU264" s="30"/>
      <c r="KV264" s="30"/>
      <c r="KW264" s="30"/>
      <c r="KX264" s="30"/>
      <c r="KY264" s="30"/>
      <c r="KZ264" s="30"/>
      <c r="LA264" s="30"/>
      <c r="LB264" s="30"/>
      <c r="LC264" s="30"/>
      <c r="LD264" s="30"/>
      <c r="LE264" s="30"/>
      <c r="LF264" s="30"/>
      <c r="LG264" s="30"/>
      <c r="LH264" s="30"/>
      <c r="LI264" s="30"/>
      <c r="LJ264" s="30"/>
      <c r="LK264" s="30"/>
      <c r="LL264" s="30"/>
      <c r="LM264" s="30"/>
      <c r="LN264" s="30"/>
      <c r="LO264" s="30"/>
      <c r="LP264" s="30"/>
      <c r="LQ264" s="30"/>
      <c r="LR264" s="30"/>
      <c r="LS264" s="30"/>
      <c r="LT264" s="30"/>
      <c r="LU264" s="30"/>
      <c r="LV264" s="30"/>
      <c r="LW264" s="30"/>
      <c r="LX264" s="30"/>
      <c r="LY264" s="30"/>
      <c r="LZ264" s="30"/>
      <c r="MA264" s="30"/>
      <c r="MB264" s="30"/>
      <c r="MC264" s="30"/>
      <c r="MD264" s="30"/>
      <c r="ME264" s="30"/>
      <c r="MF264" s="30"/>
      <c r="MG264" s="30"/>
      <c r="MH264" s="30"/>
      <c r="MI264" s="30"/>
      <c r="MJ264" s="30"/>
      <c r="MK264" s="30"/>
      <c r="ML264" s="30"/>
      <c r="MM264" s="30"/>
      <c r="MN264" s="30"/>
      <c r="MO264" s="30"/>
      <c r="MP264" s="30"/>
      <c r="MQ264" s="30"/>
      <c r="MR264" s="30"/>
      <c r="MS264" s="30"/>
      <c r="MT264" s="30"/>
      <c r="MU264" s="30"/>
      <c r="MV264" s="30"/>
      <c r="MW264" s="30"/>
      <c r="MX264" s="30"/>
      <c r="MY264" s="30"/>
      <c r="MZ264" s="30"/>
      <c r="NA264" s="30"/>
      <c r="NB264" s="30"/>
      <c r="NC264" s="30"/>
      <c r="ND264" s="30"/>
      <c r="NE264" s="30"/>
      <c r="NF264" s="30"/>
      <c r="NG264" s="30"/>
      <c r="NH264" s="30"/>
      <c r="NI264" s="30"/>
      <c r="NJ264" s="30"/>
      <c r="NK264" s="30"/>
      <c r="NL264" s="30"/>
      <c r="NM264" s="30"/>
      <c r="NN264" s="30"/>
      <c r="NO264" s="30"/>
      <c r="NP264" s="30"/>
      <c r="NQ264" s="30"/>
      <c r="NR264" s="30"/>
      <c r="NS264" s="30"/>
      <c r="NT264" s="30"/>
      <c r="NU264" s="30"/>
      <c r="NV264" s="30"/>
      <c r="NW264" s="30"/>
      <c r="NX264" s="30"/>
      <c r="NY264" s="30"/>
      <c r="NZ264" s="30"/>
      <c r="OA264" s="30"/>
      <c r="OB264" s="30"/>
      <c r="OC264" s="30"/>
      <c r="OD264" s="30"/>
      <c r="OE264" s="30"/>
      <c r="OF264" s="30"/>
      <c r="OG264" s="30"/>
      <c r="OH264" s="30"/>
      <c r="OI264" s="30"/>
      <c r="OJ264" s="30"/>
      <c r="OK264" s="30"/>
      <c r="OL264" s="30"/>
      <c r="OM264" s="30"/>
      <c r="ON264" s="30"/>
      <c r="OO264" s="30"/>
      <c r="OP264" s="30"/>
      <c r="OQ264" s="30"/>
      <c r="OR264" s="30"/>
      <c r="OS264" s="30"/>
      <c r="OT264" s="30"/>
      <c r="OU264" s="30"/>
      <c r="OV264" s="30"/>
      <c r="OW264" s="30"/>
      <c r="OX264" s="30"/>
      <c r="OY264" s="30"/>
      <c r="OZ264" s="30"/>
      <c r="PA264" s="30"/>
      <c r="PB264" s="30"/>
      <c r="PC264" s="30"/>
      <c r="PD264" s="30"/>
      <c r="PE264" s="30"/>
      <c r="PF264" s="30"/>
      <c r="PG264" s="30"/>
      <c r="PH264" s="30"/>
      <c r="PI264" s="30"/>
      <c r="PJ264" s="30"/>
      <c r="PK264" s="30"/>
      <c r="PL264" s="30"/>
      <c r="PM264" s="30"/>
      <c r="PN264" s="30"/>
      <c r="PO264" s="30"/>
      <c r="PP264" s="30"/>
      <c r="PQ264" s="30"/>
      <c r="PR264" s="30"/>
      <c r="PS264" s="30"/>
      <c r="PT264" s="30"/>
      <c r="PU264" s="30"/>
      <c r="PV264" s="30"/>
      <c r="PW264" s="30"/>
      <c r="PX264" s="30"/>
      <c r="PY264" s="30"/>
      <c r="PZ264" s="30"/>
      <c r="QA264" s="30"/>
      <c r="QB264" s="30"/>
      <c r="QC264" s="30"/>
      <c r="QD264" s="30"/>
      <c r="QE264" s="30"/>
      <c r="QF264" s="30"/>
      <c r="QG264" s="30"/>
      <c r="QH264" s="30"/>
      <c r="QI264" s="30"/>
      <c r="QJ264" s="30"/>
      <c r="QK264" s="30"/>
      <c r="QL264" s="30"/>
      <c r="QM264" s="30"/>
      <c r="QN264" s="30"/>
      <c r="QO264" s="30"/>
      <c r="QP264" s="30"/>
      <c r="QQ264" s="30"/>
      <c r="QR264" s="30"/>
      <c r="QS264" s="30"/>
      <c r="QT264" s="30"/>
      <c r="QU264" s="30"/>
      <c r="QV264" s="30"/>
      <c r="QW264" s="30"/>
      <c r="QX264" s="30"/>
      <c r="QY264" s="30"/>
      <c r="QZ264" s="30"/>
      <c r="RA264" s="30"/>
      <c r="RB264" s="30"/>
      <c r="RC264" s="30"/>
      <c r="RD264" s="30"/>
      <c r="RE264" s="30"/>
      <c r="RF264" s="30"/>
      <c r="RG264" s="30"/>
      <c r="RH264" s="30"/>
      <c r="RI264" s="30"/>
      <c r="RJ264" s="30"/>
      <c r="RK264" s="30"/>
      <c r="RL264" s="30"/>
      <c r="RM264" s="30"/>
      <c r="RN264" s="30"/>
      <c r="RO264" s="30"/>
      <c r="RP264" s="30"/>
      <c r="RQ264" s="30"/>
      <c r="RR264" s="30"/>
      <c r="RS264" s="30"/>
      <c r="RT264" s="30"/>
      <c r="RU264" s="30"/>
      <c r="RV264" s="30"/>
      <c r="RW264" s="30"/>
      <c r="RX264" s="30"/>
      <c r="RY264" s="30"/>
      <c r="RZ264" s="30"/>
      <c r="SA264" s="30"/>
      <c r="SB264" s="30"/>
      <c r="SC264" s="30"/>
      <c r="SD264" s="30"/>
      <c r="SE264" s="30"/>
      <c r="SF264" s="30"/>
      <c r="SG264" s="30"/>
      <c r="SH264" s="30"/>
      <c r="SI264" s="30"/>
      <c r="SJ264" s="30"/>
      <c r="SK264" s="30"/>
      <c r="SL264" s="30"/>
      <c r="SM264" s="30"/>
      <c r="SN264" s="30"/>
      <c r="SO264" s="30"/>
      <c r="SP264" s="30"/>
      <c r="SQ264" s="30"/>
      <c r="SR264" s="30"/>
      <c r="SS264" s="30"/>
      <c r="ST264" s="30"/>
      <c r="SU264" s="30"/>
      <c r="SV264" s="30"/>
      <c r="SW264" s="30"/>
      <c r="SX264" s="30"/>
      <c r="SY264" s="30"/>
      <c r="SZ264" s="30"/>
      <c r="TA264" s="30"/>
      <c r="TB264" s="30"/>
      <c r="TC264" s="30"/>
      <c r="TD264" s="30"/>
      <c r="TE264" s="30"/>
    </row>
    <row r="265" spans="1:525" s="24" customFormat="1" ht="87" hidden="1" customHeight="1" x14ac:dyDescent="0.25">
      <c r="A265" s="76"/>
      <c r="B265" s="97"/>
      <c r="C265" s="76"/>
      <c r="D265" s="79" t="s">
        <v>517</v>
      </c>
      <c r="E265" s="140">
        <f t="shared" si="118"/>
        <v>0</v>
      </c>
      <c r="F265" s="140"/>
      <c r="G265" s="140"/>
      <c r="H265" s="140"/>
      <c r="I265" s="140"/>
      <c r="J265" s="140">
        <f t="shared" si="119"/>
        <v>0</v>
      </c>
      <c r="K265" s="140"/>
      <c r="L265" s="140"/>
      <c r="M265" s="140"/>
      <c r="N265" s="140"/>
      <c r="O265" s="140"/>
      <c r="P265" s="140">
        <f t="shared" si="120"/>
        <v>0</v>
      </c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  <c r="IW265" s="30"/>
      <c r="IX265" s="30"/>
      <c r="IY265" s="30"/>
      <c r="IZ265" s="30"/>
      <c r="JA265" s="30"/>
      <c r="JB265" s="30"/>
      <c r="JC265" s="30"/>
      <c r="JD265" s="30"/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30"/>
      <c r="KD265" s="30"/>
      <c r="KE265" s="30"/>
      <c r="KF265" s="30"/>
      <c r="KG265" s="30"/>
      <c r="KH265" s="30"/>
      <c r="KI265" s="30"/>
      <c r="KJ265" s="30"/>
      <c r="KK265" s="30"/>
      <c r="KL265" s="30"/>
      <c r="KM265" s="30"/>
      <c r="KN265" s="30"/>
      <c r="KO265" s="30"/>
      <c r="KP265" s="30"/>
      <c r="KQ265" s="30"/>
      <c r="KR265" s="30"/>
      <c r="KS265" s="30"/>
      <c r="KT265" s="30"/>
      <c r="KU265" s="30"/>
      <c r="KV265" s="30"/>
      <c r="KW265" s="30"/>
      <c r="KX265" s="30"/>
      <c r="KY265" s="30"/>
      <c r="KZ265" s="30"/>
      <c r="LA265" s="30"/>
      <c r="LB265" s="30"/>
      <c r="LC265" s="30"/>
      <c r="LD265" s="30"/>
      <c r="LE265" s="30"/>
      <c r="LF265" s="30"/>
      <c r="LG265" s="30"/>
      <c r="LH265" s="30"/>
      <c r="LI265" s="30"/>
      <c r="LJ265" s="30"/>
      <c r="LK265" s="30"/>
      <c r="LL265" s="30"/>
      <c r="LM265" s="30"/>
      <c r="LN265" s="30"/>
      <c r="LO265" s="30"/>
      <c r="LP265" s="30"/>
      <c r="LQ265" s="30"/>
      <c r="LR265" s="30"/>
      <c r="LS265" s="30"/>
      <c r="LT265" s="30"/>
      <c r="LU265" s="30"/>
      <c r="LV265" s="30"/>
      <c r="LW265" s="30"/>
      <c r="LX265" s="30"/>
      <c r="LY265" s="30"/>
      <c r="LZ265" s="30"/>
      <c r="MA265" s="30"/>
      <c r="MB265" s="30"/>
      <c r="MC265" s="30"/>
      <c r="MD265" s="30"/>
      <c r="ME265" s="30"/>
      <c r="MF265" s="30"/>
      <c r="MG265" s="30"/>
      <c r="MH265" s="30"/>
      <c r="MI265" s="30"/>
      <c r="MJ265" s="30"/>
      <c r="MK265" s="30"/>
      <c r="ML265" s="30"/>
      <c r="MM265" s="30"/>
      <c r="MN265" s="30"/>
      <c r="MO265" s="30"/>
      <c r="MP265" s="30"/>
      <c r="MQ265" s="30"/>
      <c r="MR265" s="30"/>
      <c r="MS265" s="30"/>
      <c r="MT265" s="30"/>
      <c r="MU265" s="30"/>
      <c r="MV265" s="30"/>
      <c r="MW265" s="30"/>
      <c r="MX265" s="30"/>
      <c r="MY265" s="30"/>
      <c r="MZ265" s="30"/>
      <c r="NA265" s="30"/>
      <c r="NB265" s="30"/>
      <c r="NC265" s="30"/>
      <c r="ND265" s="30"/>
      <c r="NE265" s="30"/>
      <c r="NF265" s="30"/>
      <c r="NG265" s="30"/>
      <c r="NH265" s="30"/>
      <c r="NI265" s="30"/>
      <c r="NJ265" s="30"/>
      <c r="NK265" s="30"/>
      <c r="NL265" s="30"/>
      <c r="NM265" s="30"/>
      <c r="NN265" s="30"/>
      <c r="NO265" s="30"/>
      <c r="NP265" s="30"/>
      <c r="NQ265" s="30"/>
      <c r="NR265" s="30"/>
      <c r="NS265" s="30"/>
      <c r="NT265" s="30"/>
      <c r="NU265" s="30"/>
      <c r="NV265" s="30"/>
      <c r="NW265" s="30"/>
      <c r="NX265" s="30"/>
      <c r="NY265" s="30"/>
      <c r="NZ265" s="30"/>
      <c r="OA265" s="30"/>
      <c r="OB265" s="30"/>
      <c r="OC265" s="30"/>
      <c r="OD265" s="30"/>
      <c r="OE265" s="30"/>
      <c r="OF265" s="30"/>
      <c r="OG265" s="30"/>
      <c r="OH265" s="30"/>
      <c r="OI265" s="30"/>
      <c r="OJ265" s="30"/>
      <c r="OK265" s="30"/>
      <c r="OL265" s="30"/>
      <c r="OM265" s="30"/>
      <c r="ON265" s="30"/>
      <c r="OO265" s="30"/>
      <c r="OP265" s="30"/>
      <c r="OQ265" s="30"/>
      <c r="OR265" s="30"/>
      <c r="OS265" s="30"/>
      <c r="OT265" s="30"/>
      <c r="OU265" s="30"/>
      <c r="OV265" s="30"/>
      <c r="OW265" s="30"/>
      <c r="OX265" s="30"/>
      <c r="OY265" s="30"/>
      <c r="OZ265" s="30"/>
      <c r="PA265" s="30"/>
      <c r="PB265" s="30"/>
      <c r="PC265" s="30"/>
      <c r="PD265" s="30"/>
      <c r="PE265" s="30"/>
      <c r="PF265" s="30"/>
      <c r="PG265" s="30"/>
      <c r="PH265" s="30"/>
      <c r="PI265" s="30"/>
      <c r="PJ265" s="30"/>
      <c r="PK265" s="30"/>
      <c r="PL265" s="30"/>
      <c r="PM265" s="30"/>
      <c r="PN265" s="30"/>
      <c r="PO265" s="30"/>
      <c r="PP265" s="30"/>
      <c r="PQ265" s="30"/>
      <c r="PR265" s="30"/>
      <c r="PS265" s="30"/>
      <c r="PT265" s="30"/>
      <c r="PU265" s="30"/>
      <c r="PV265" s="30"/>
      <c r="PW265" s="30"/>
      <c r="PX265" s="30"/>
      <c r="PY265" s="30"/>
      <c r="PZ265" s="30"/>
      <c r="QA265" s="30"/>
      <c r="QB265" s="30"/>
      <c r="QC265" s="30"/>
      <c r="QD265" s="30"/>
      <c r="QE265" s="30"/>
      <c r="QF265" s="30"/>
      <c r="QG265" s="30"/>
      <c r="QH265" s="30"/>
      <c r="QI265" s="30"/>
      <c r="QJ265" s="30"/>
      <c r="QK265" s="30"/>
      <c r="QL265" s="30"/>
      <c r="QM265" s="30"/>
      <c r="QN265" s="30"/>
      <c r="QO265" s="30"/>
      <c r="QP265" s="30"/>
      <c r="QQ265" s="30"/>
      <c r="QR265" s="30"/>
      <c r="QS265" s="30"/>
      <c r="QT265" s="30"/>
      <c r="QU265" s="30"/>
      <c r="QV265" s="30"/>
      <c r="QW265" s="30"/>
      <c r="QX265" s="30"/>
      <c r="QY265" s="30"/>
      <c r="QZ265" s="30"/>
      <c r="RA265" s="30"/>
      <c r="RB265" s="30"/>
      <c r="RC265" s="30"/>
      <c r="RD265" s="30"/>
      <c r="RE265" s="30"/>
      <c r="RF265" s="30"/>
      <c r="RG265" s="30"/>
      <c r="RH265" s="30"/>
      <c r="RI265" s="30"/>
      <c r="RJ265" s="30"/>
      <c r="RK265" s="30"/>
      <c r="RL265" s="30"/>
      <c r="RM265" s="30"/>
      <c r="RN265" s="30"/>
      <c r="RO265" s="30"/>
      <c r="RP265" s="30"/>
      <c r="RQ265" s="30"/>
      <c r="RR265" s="30"/>
      <c r="RS265" s="30"/>
      <c r="RT265" s="30"/>
      <c r="RU265" s="30"/>
      <c r="RV265" s="30"/>
      <c r="RW265" s="30"/>
      <c r="RX265" s="30"/>
      <c r="RY265" s="30"/>
      <c r="RZ265" s="30"/>
      <c r="SA265" s="30"/>
      <c r="SB265" s="30"/>
      <c r="SC265" s="30"/>
      <c r="SD265" s="30"/>
      <c r="SE265" s="30"/>
      <c r="SF265" s="30"/>
      <c r="SG265" s="30"/>
      <c r="SH265" s="30"/>
      <c r="SI265" s="30"/>
      <c r="SJ265" s="30"/>
      <c r="SK265" s="30"/>
      <c r="SL265" s="30"/>
      <c r="SM265" s="30"/>
      <c r="SN265" s="30"/>
      <c r="SO265" s="30"/>
      <c r="SP265" s="30"/>
      <c r="SQ265" s="30"/>
      <c r="SR265" s="30"/>
      <c r="SS265" s="30"/>
      <c r="ST265" s="30"/>
      <c r="SU265" s="30"/>
      <c r="SV265" s="30"/>
      <c r="SW265" s="30"/>
      <c r="SX265" s="30"/>
      <c r="SY265" s="30"/>
      <c r="SZ265" s="30"/>
      <c r="TA265" s="30"/>
      <c r="TB265" s="30"/>
      <c r="TC265" s="30"/>
      <c r="TD265" s="30"/>
      <c r="TE265" s="30"/>
    </row>
    <row r="266" spans="1:525" s="24" customFormat="1" ht="63.75" hidden="1" customHeight="1" x14ac:dyDescent="0.25">
      <c r="A266" s="56" t="s">
        <v>554</v>
      </c>
      <c r="B266" s="84">
        <v>7463</v>
      </c>
      <c r="C266" s="56" t="s">
        <v>394</v>
      </c>
      <c r="D266" s="99" t="s">
        <v>555</v>
      </c>
      <c r="E266" s="139">
        <f t="shared" si="118"/>
        <v>0</v>
      </c>
      <c r="F266" s="139"/>
      <c r="G266" s="140"/>
      <c r="H266" s="140"/>
      <c r="I266" s="140"/>
      <c r="J266" s="139">
        <f t="shared" si="119"/>
        <v>0</v>
      </c>
      <c r="K266" s="140"/>
      <c r="L266" s="140"/>
      <c r="M266" s="140"/>
      <c r="N266" s="140"/>
      <c r="O266" s="140"/>
      <c r="P266" s="139">
        <f t="shared" si="120"/>
        <v>0</v>
      </c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  <c r="IV266" s="30"/>
      <c r="IW266" s="30"/>
      <c r="IX266" s="30"/>
      <c r="IY266" s="30"/>
      <c r="IZ266" s="30"/>
      <c r="JA266" s="30"/>
      <c r="JB266" s="30"/>
      <c r="JC266" s="30"/>
      <c r="JD266" s="30"/>
      <c r="JE266" s="30"/>
      <c r="JF266" s="30"/>
      <c r="JG266" s="30"/>
      <c r="JH266" s="30"/>
      <c r="JI266" s="30"/>
      <c r="JJ266" s="30"/>
      <c r="JK266" s="30"/>
      <c r="JL266" s="30"/>
      <c r="JM266" s="30"/>
      <c r="JN266" s="30"/>
      <c r="JO266" s="30"/>
      <c r="JP266" s="30"/>
      <c r="JQ266" s="30"/>
      <c r="JR266" s="30"/>
      <c r="JS266" s="30"/>
      <c r="JT266" s="30"/>
      <c r="JU266" s="30"/>
      <c r="JV266" s="30"/>
      <c r="JW266" s="30"/>
      <c r="JX266" s="30"/>
      <c r="JY266" s="30"/>
      <c r="JZ266" s="30"/>
      <c r="KA266" s="30"/>
      <c r="KB266" s="30"/>
      <c r="KC266" s="30"/>
      <c r="KD266" s="30"/>
      <c r="KE266" s="30"/>
      <c r="KF266" s="30"/>
      <c r="KG266" s="30"/>
      <c r="KH266" s="30"/>
      <c r="KI266" s="30"/>
      <c r="KJ266" s="30"/>
      <c r="KK266" s="30"/>
      <c r="KL266" s="30"/>
      <c r="KM266" s="30"/>
      <c r="KN266" s="30"/>
      <c r="KO266" s="30"/>
      <c r="KP266" s="30"/>
      <c r="KQ266" s="30"/>
      <c r="KR266" s="30"/>
      <c r="KS266" s="30"/>
      <c r="KT266" s="30"/>
      <c r="KU266" s="30"/>
      <c r="KV266" s="30"/>
      <c r="KW266" s="30"/>
      <c r="KX266" s="30"/>
      <c r="KY266" s="30"/>
      <c r="KZ266" s="30"/>
      <c r="LA266" s="30"/>
      <c r="LB266" s="30"/>
      <c r="LC266" s="30"/>
      <c r="LD266" s="30"/>
      <c r="LE266" s="30"/>
      <c r="LF266" s="30"/>
      <c r="LG266" s="30"/>
      <c r="LH266" s="30"/>
      <c r="LI266" s="30"/>
      <c r="LJ266" s="30"/>
      <c r="LK266" s="30"/>
      <c r="LL266" s="30"/>
      <c r="LM266" s="30"/>
      <c r="LN266" s="30"/>
      <c r="LO266" s="30"/>
      <c r="LP266" s="30"/>
      <c r="LQ266" s="30"/>
      <c r="LR266" s="30"/>
      <c r="LS266" s="30"/>
      <c r="LT266" s="30"/>
      <c r="LU266" s="30"/>
      <c r="LV266" s="30"/>
      <c r="LW266" s="30"/>
      <c r="LX266" s="30"/>
      <c r="LY266" s="30"/>
      <c r="LZ266" s="30"/>
      <c r="MA266" s="30"/>
      <c r="MB266" s="30"/>
      <c r="MC266" s="30"/>
      <c r="MD266" s="30"/>
      <c r="ME266" s="30"/>
      <c r="MF266" s="30"/>
      <c r="MG266" s="30"/>
      <c r="MH266" s="30"/>
      <c r="MI266" s="30"/>
      <c r="MJ266" s="30"/>
      <c r="MK266" s="30"/>
      <c r="ML266" s="30"/>
      <c r="MM266" s="30"/>
      <c r="MN266" s="30"/>
      <c r="MO266" s="30"/>
      <c r="MP266" s="30"/>
      <c r="MQ266" s="30"/>
      <c r="MR266" s="30"/>
      <c r="MS266" s="30"/>
      <c r="MT266" s="30"/>
      <c r="MU266" s="30"/>
      <c r="MV266" s="30"/>
      <c r="MW266" s="30"/>
      <c r="MX266" s="30"/>
      <c r="MY266" s="30"/>
      <c r="MZ266" s="30"/>
      <c r="NA266" s="30"/>
      <c r="NB266" s="30"/>
      <c r="NC266" s="30"/>
      <c r="ND266" s="30"/>
      <c r="NE266" s="30"/>
      <c r="NF266" s="30"/>
      <c r="NG266" s="30"/>
      <c r="NH266" s="30"/>
      <c r="NI266" s="30"/>
      <c r="NJ266" s="30"/>
      <c r="NK266" s="30"/>
      <c r="NL266" s="30"/>
      <c r="NM266" s="30"/>
      <c r="NN266" s="30"/>
      <c r="NO266" s="30"/>
      <c r="NP266" s="30"/>
      <c r="NQ266" s="30"/>
      <c r="NR266" s="30"/>
      <c r="NS266" s="30"/>
      <c r="NT266" s="30"/>
      <c r="NU266" s="30"/>
      <c r="NV266" s="30"/>
      <c r="NW266" s="30"/>
      <c r="NX266" s="30"/>
      <c r="NY266" s="30"/>
      <c r="NZ266" s="30"/>
      <c r="OA266" s="30"/>
      <c r="OB266" s="30"/>
      <c r="OC266" s="30"/>
      <c r="OD266" s="30"/>
      <c r="OE266" s="30"/>
      <c r="OF266" s="30"/>
      <c r="OG266" s="30"/>
      <c r="OH266" s="30"/>
      <c r="OI266" s="30"/>
      <c r="OJ266" s="30"/>
      <c r="OK266" s="30"/>
      <c r="OL266" s="30"/>
      <c r="OM266" s="30"/>
      <c r="ON266" s="30"/>
      <c r="OO266" s="30"/>
      <c r="OP266" s="30"/>
      <c r="OQ266" s="30"/>
      <c r="OR266" s="30"/>
      <c r="OS266" s="30"/>
      <c r="OT266" s="30"/>
      <c r="OU266" s="30"/>
      <c r="OV266" s="30"/>
      <c r="OW266" s="30"/>
      <c r="OX266" s="30"/>
      <c r="OY266" s="30"/>
      <c r="OZ266" s="30"/>
      <c r="PA266" s="30"/>
      <c r="PB266" s="30"/>
      <c r="PC266" s="30"/>
      <c r="PD266" s="30"/>
      <c r="PE266" s="30"/>
      <c r="PF266" s="30"/>
      <c r="PG266" s="30"/>
      <c r="PH266" s="30"/>
      <c r="PI266" s="30"/>
      <c r="PJ266" s="30"/>
      <c r="PK266" s="30"/>
      <c r="PL266" s="30"/>
      <c r="PM266" s="30"/>
      <c r="PN266" s="30"/>
      <c r="PO266" s="30"/>
      <c r="PP266" s="30"/>
      <c r="PQ266" s="30"/>
      <c r="PR266" s="30"/>
      <c r="PS266" s="30"/>
      <c r="PT266" s="30"/>
      <c r="PU266" s="30"/>
      <c r="PV266" s="30"/>
      <c r="PW266" s="30"/>
      <c r="PX266" s="30"/>
      <c r="PY266" s="30"/>
      <c r="PZ266" s="30"/>
      <c r="QA266" s="30"/>
      <c r="QB266" s="30"/>
      <c r="QC266" s="30"/>
      <c r="QD266" s="30"/>
      <c r="QE266" s="30"/>
      <c r="QF266" s="30"/>
      <c r="QG266" s="30"/>
      <c r="QH266" s="30"/>
      <c r="QI266" s="30"/>
      <c r="QJ266" s="30"/>
      <c r="QK266" s="30"/>
      <c r="QL266" s="30"/>
      <c r="QM266" s="30"/>
      <c r="QN266" s="30"/>
      <c r="QO266" s="30"/>
      <c r="QP266" s="30"/>
      <c r="QQ266" s="30"/>
      <c r="QR266" s="30"/>
      <c r="QS266" s="30"/>
      <c r="QT266" s="30"/>
      <c r="QU266" s="30"/>
      <c r="QV266" s="30"/>
      <c r="QW266" s="30"/>
      <c r="QX266" s="30"/>
      <c r="QY266" s="30"/>
      <c r="QZ266" s="30"/>
      <c r="RA266" s="30"/>
      <c r="RB266" s="30"/>
      <c r="RC266" s="30"/>
      <c r="RD266" s="30"/>
      <c r="RE266" s="30"/>
      <c r="RF266" s="30"/>
      <c r="RG266" s="30"/>
      <c r="RH266" s="30"/>
      <c r="RI266" s="30"/>
      <c r="RJ266" s="30"/>
      <c r="RK266" s="30"/>
      <c r="RL266" s="30"/>
      <c r="RM266" s="30"/>
      <c r="RN266" s="30"/>
      <c r="RO266" s="30"/>
      <c r="RP266" s="30"/>
      <c r="RQ266" s="30"/>
      <c r="RR266" s="30"/>
      <c r="RS266" s="30"/>
      <c r="RT266" s="30"/>
      <c r="RU266" s="30"/>
      <c r="RV266" s="30"/>
      <c r="RW266" s="30"/>
      <c r="RX266" s="30"/>
      <c r="RY266" s="30"/>
      <c r="RZ266" s="30"/>
      <c r="SA266" s="30"/>
      <c r="SB266" s="30"/>
      <c r="SC266" s="30"/>
      <c r="SD266" s="30"/>
      <c r="SE266" s="30"/>
      <c r="SF266" s="30"/>
      <c r="SG266" s="30"/>
      <c r="SH266" s="30"/>
      <c r="SI266" s="30"/>
      <c r="SJ266" s="30"/>
      <c r="SK266" s="30"/>
      <c r="SL266" s="30"/>
      <c r="SM266" s="30"/>
      <c r="SN266" s="30"/>
      <c r="SO266" s="30"/>
      <c r="SP266" s="30"/>
      <c r="SQ266" s="30"/>
      <c r="SR266" s="30"/>
      <c r="SS266" s="30"/>
      <c r="ST266" s="30"/>
      <c r="SU266" s="30"/>
      <c r="SV266" s="30"/>
      <c r="SW266" s="30"/>
      <c r="SX266" s="30"/>
      <c r="SY266" s="30"/>
      <c r="SZ266" s="30"/>
      <c r="TA266" s="30"/>
      <c r="TB266" s="30"/>
      <c r="TC266" s="30"/>
      <c r="TD266" s="30"/>
      <c r="TE266" s="30"/>
    </row>
    <row r="267" spans="1:525" s="24" customFormat="1" ht="15.75" hidden="1" customHeight="1" x14ac:dyDescent="0.25">
      <c r="A267" s="76"/>
      <c r="B267" s="97"/>
      <c r="C267" s="76"/>
      <c r="D267" s="77" t="s">
        <v>388</v>
      </c>
      <c r="E267" s="140">
        <f t="shared" si="118"/>
        <v>0</v>
      </c>
      <c r="F267" s="140"/>
      <c r="G267" s="140"/>
      <c r="H267" s="140"/>
      <c r="I267" s="140"/>
      <c r="J267" s="140">
        <f t="shared" si="119"/>
        <v>0</v>
      </c>
      <c r="K267" s="140"/>
      <c r="L267" s="140"/>
      <c r="M267" s="140"/>
      <c r="N267" s="140"/>
      <c r="O267" s="140"/>
      <c r="P267" s="140">
        <f t="shared" si="120"/>
        <v>0</v>
      </c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  <c r="IV267" s="30"/>
      <c r="IW267" s="30"/>
      <c r="IX267" s="30"/>
      <c r="IY267" s="30"/>
      <c r="IZ267" s="30"/>
      <c r="JA267" s="30"/>
      <c r="JB267" s="30"/>
      <c r="JC267" s="30"/>
      <c r="JD267" s="30"/>
      <c r="JE267" s="30"/>
      <c r="JF267" s="30"/>
      <c r="JG267" s="30"/>
      <c r="JH267" s="30"/>
      <c r="JI267" s="30"/>
      <c r="JJ267" s="30"/>
      <c r="JK267" s="30"/>
      <c r="JL267" s="30"/>
      <c r="JM267" s="30"/>
      <c r="JN267" s="30"/>
      <c r="JO267" s="30"/>
      <c r="JP267" s="30"/>
      <c r="JQ267" s="30"/>
      <c r="JR267" s="30"/>
      <c r="JS267" s="30"/>
      <c r="JT267" s="30"/>
      <c r="JU267" s="30"/>
      <c r="JV267" s="30"/>
      <c r="JW267" s="30"/>
      <c r="JX267" s="30"/>
      <c r="JY267" s="30"/>
      <c r="JZ267" s="30"/>
      <c r="KA267" s="30"/>
      <c r="KB267" s="30"/>
      <c r="KC267" s="30"/>
      <c r="KD267" s="30"/>
      <c r="KE267" s="30"/>
      <c r="KF267" s="30"/>
      <c r="KG267" s="30"/>
      <c r="KH267" s="30"/>
      <c r="KI267" s="30"/>
      <c r="KJ267" s="30"/>
      <c r="KK267" s="30"/>
      <c r="KL267" s="30"/>
      <c r="KM267" s="30"/>
      <c r="KN267" s="30"/>
      <c r="KO267" s="30"/>
      <c r="KP267" s="30"/>
      <c r="KQ267" s="30"/>
      <c r="KR267" s="30"/>
      <c r="KS267" s="30"/>
      <c r="KT267" s="30"/>
      <c r="KU267" s="30"/>
      <c r="KV267" s="30"/>
      <c r="KW267" s="30"/>
      <c r="KX267" s="30"/>
      <c r="KY267" s="30"/>
      <c r="KZ267" s="30"/>
      <c r="LA267" s="30"/>
      <c r="LB267" s="30"/>
      <c r="LC267" s="30"/>
      <c r="LD267" s="30"/>
      <c r="LE267" s="30"/>
      <c r="LF267" s="30"/>
      <c r="LG267" s="30"/>
      <c r="LH267" s="30"/>
      <c r="LI267" s="30"/>
      <c r="LJ267" s="30"/>
      <c r="LK267" s="30"/>
      <c r="LL267" s="30"/>
      <c r="LM267" s="30"/>
      <c r="LN267" s="30"/>
      <c r="LO267" s="30"/>
      <c r="LP267" s="30"/>
      <c r="LQ267" s="30"/>
      <c r="LR267" s="30"/>
      <c r="LS267" s="30"/>
      <c r="LT267" s="30"/>
      <c r="LU267" s="30"/>
      <c r="LV267" s="30"/>
      <c r="LW267" s="30"/>
      <c r="LX267" s="30"/>
      <c r="LY267" s="30"/>
      <c r="LZ267" s="30"/>
      <c r="MA267" s="30"/>
      <c r="MB267" s="30"/>
      <c r="MC267" s="30"/>
      <c r="MD267" s="30"/>
      <c r="ME267" s="30"/>
      <c r="MF267" s="30"/>
      <c r="MG267" s="30"/>
      <c r="MH267" s="30"/>
      <c r="MI267" s="30"/>
      <c r="MJ267" s="30"/>
      <c r="MK267" s="30"/>
      <c r="ML267" s="30"/>
      <c r="MM267" s="30"/>
      <c r="MN267" s="30"/>
      <c r="MO267" s="30"/>
      <c r="MP267" s="30"/>
      <c r="MQ267" s="30"/>
      <c r="MR267" s="30"/>
      <c r="MS267" s="30"/>
      <c r="MT267" s="30"/>
      <c r="MU267" s="30"/>
      <c r="MV267" s="30"/>
      <c r="MW267" s="30"/>
      <c r="MX267" s="30"/>
      <c r="MY267" s="30"/>
      <c r="MZ267" s="30"/>
      <c r="NA267" s="30"/>
      <c r="NB267" s="30"/>
      <c r="NC267" s="30"/>
      <c r="ND267" s="30"/>
      <c r="NE267" s="30"/>
      <c r="NF267" s="30"/>
      <c r="NG267" s="30"/>
      <c r="NH267" s="30"/>
      <c r="NI267" s="30"/>
      <c r="NJ267" s="30"/>
      <c r="NK267" s="30"/>
      <c r="NL267" s="30"/>
      <c r="NM267" s="30"/>
      <c r="NN267" s="30"/>
      <c r="NO267" s="30"/>
      <c r="NP267" s="30"/>
      <c r="NQ267" s="30"/>
      <c r="NR267" s="30"/>
      <c r="NS267" s="30"/>
      <c r="NT267" s="30"/>
      <c r="NU267" s="30"/>
      <c r="NV267" s="30"/>
      <c r="NW267" s="30"/>
      <c r="NX267" s="30"/>
      <c r="NY267" s="30"/>
      <c r="NZ267" s="30"/>
      <c r="OA267" s="30"/>
      <c r="OB267" s="30"/>
      <c r="OC267" s="30"/>
      <c r="OD267" s="30"/>
      <c r="OE267" s="30"/>
      <c r="OF267" s="30"/>
      <c r="OG267" s="30"/>
      <c r="OH267" s="30"/>
      <c r="OI267" s="30"/>
      <c r="OJ267" s="30"/>
      <c r="OK267" s="30"/>
      <c r="OL267" s="30"/>
      <c r="OM267" s="30"/>
      <c r="ON267" s="30"/>
      <c r="OO267" s="30"/>
      <c r="OP267" s="30"/>
      <c r="OQ267" s="30"/>
      <c r="OR267" s="30"/>
      <c r="OS267" s="30"/>
      <c r="OT267" s="30"/>
      <c r="OU267" s="30"/>
      <c r="OV267" s="30"/>
      <c r="OW267" s="30"/>
      <c r="OX267" s="30"/>
      <c r="OY267" s="30"/>
      <c r="OZ267" s="30"/>
      <c r="PA267" s="30"/>
      <c r="PB267" s="30"/>
      <c r="PC267" s="30"/>
      <c r="PD267" s="30"/>
      <c r="PE267" s="30"/>
      <c r="PF267" s="30"/>
      <c r="PG267" s="30"/>
      <c r="PH267" s="30"/>
      <c r="PI267" s="30"/>
      <c r="PJ267" s="30"/>
      <c r="PK267" s="30"/>
      <c r="PL267" s="30"/>
      <c r="PM267" s="30"/>
      <c r="PN267" s="30"/>
      <c r="PO267" s="30"/>
      <c r="PP267" s="30"/>
      <c r="PQ267" s="30"/>
      <c r="PR267" s="30"/>
      <c r="PS267" s="30"/>
      <c r="PT267" s="30"/>
      <c r="PU267" s="30"/>
      <c r="PV267" s="30"/>
      <c r="PW267" s="30"/>
      <c r="PX267" s="30"/>
      <c r="PY267" s="30"/>
      <c r="PZ267" s="30"/>
      <c r="QA267" s="30"/>
      <c r="QB267" s="30"/>
      <c r="QC267" s="30"/>
      <c r="QD267" s="30"/>
      <c r="QE267" s="30"/>
      <c r="QF267" s="30"/>
      <c r="QG267" s="30"/>
      <c r="QH267" s="30"/>
      <c r="QI267" s="30"/>
      <c r="QJ267" s="30"/>
      <c r="QK267" s="30"/>
      <c r="QL267" s="30"/>
      <c r="QM267" s="30"/>
      <c r="QN267" s="30"/>
      <c r="QO267" s="30"/>
      <c r="QP267" s="30"/>
      <c r="QQ267" s="30"/>
      <c r="QR267" s="30"/>
      <c r="QS267" s="30"/>
      <c r="QT267" s="30"/>
      <c r="QU267" s="30"/>
      <c r="QV267" s="30"/>
      <c r="QW267" s="30"/>
      <c r="QX267" s="30"/>
      <c r="QY267" s="30"/>
      <c r="QZ267" s="30"/>
      <c r="RA267" s="30"/>
      <c r="RB267" s="30"/>
      <c r="RC267" s="30"/>
      <c r="RD267" s="30"/>
      <c r="RE267" s="30"/>
      <c r="RF267" s="30"/>
      <c r="RG267" s="30"/>
      <c r="RH267" s="30"/>
      <c r="RI267" s="30"/>
      <c r="RJ267" s="30"/>
      <c r="RK267" s="30"/>
      <c r="RL267" s="30"/>
      <c r="RM267" s="30"/>
      <c r="RN267" s="30"/>
      <c r="RO267" s="30"/>
      <c r="RP267" s="30"/>
      <c r="RQ267" s="30"/>
      <c r="RR267" s="30"/>
      <c r="RS267" s="30"/>
      <c r="RT267" s="30"/>
      <c r="RU267" s="30"/>
      <c r="RV267" s="30"/>
      <c r="RW267" s="30"/>
      <c r="RX267" s="30"/>
      <c r="RY267" s="30"/>
      <c r="RZ267" s="30"/>
      <c r="SA267" s="30"/>
      <c r="SB267" s="30"/>
      <c r="SC267" s="30"/>
      <c r="SD267" s="30"/>
      <c r="SE267" s="30"/>
      <c r="SF267" s="30"/>
      <c r="SG267" s="30"/>
      <c r="SH267" s="30"/>
      <c r="SI267" s="30"/>
      <c r="SJ267" s="30"/>
      <c r="SK267" s="30"/>
      <c r="SL267" s="30"/>
      <c r="SM267" s="30"/>
      <c r="SN267" s="30"/>
      <c r="SO267" s="30"/>
      <c r="SP267" s="30"/>
      <c r="SQ267" s="30"/>
      <c r="SR267" s="30"/>
      <c r="SS267" s="30"/>
      <c r="ST267" s="30"/>
      <c r="SU267" s="30"/>
      <c r="SV267" s="30"/>
      <c r="SW267" s="30"/>
      <c r="SX267" s="30"/>
      <c r="SY267" s="30"/>
      <c r="SZ267" s="30"/>
      <c r="TA267" s="30"/>
      <c r="TB267" s="30"/>
      <c r="TC267" s="30"/>
      <c r="TD267" s="30"/>
      <c r="TE267" s="30"/>
    </row>
    <row r="268" spans="1:525" s="24" customFormat="1" ht="31.5" hidden="1" customHeight="1" x14ac:dyDescent="0.25">
      <c r="A268" s="56" t="s">
        <v>419</v>
      </c>
      <c r="B268" s="84">
        <v>7530</v>
      </c>
      <c r="C268" s="56" t="s">
        <v>233</v>
      </c>
      <c r="D268" s="85" t="s">
        <v>231</v>
      </c>
      <c r="E268" s="139">
        <f t="shared" si="118"/>
        <v>0</v>
      </c>
      <c r="F268" s="139"/>
      <c r="G268" s="140"/>
      <c r="H268" s="140"/>
      <c r="I268" s="140"/>
      <c r="J268" s="139">
        <f t="shared" si="119"/>
        <v>0</v>
      </c>
      <c r="K268" s="139"/>
      <c r="L268" s="139"/>
      <c r="M268" s="139"/>
      <c r="N268" s="139"/>
      <c r="O268" s="139"/>
      <c r="P268" s="139">
        <f t="shared" si="120"/>
        <v>0</v>
      </c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  <c r="IW268" s="30"/>
      <c r="IX268" s="30"/>
      <c r="IY268" s="30"/>
      <c r="IZ268" s="30"/>
      <c r="JA268" s="30"/>
      <c r="JB268" s="30"/>
      <c r="JC268" s="30"/>
      <c r="JD268" s="30"/>
      <c r="JE268" s="30"/>
      <c r="JF268" s="30"/>
      <c r="JG268" s="30"/>
      <c r="JH268" s="30"/>
      <c r="JI268" s="30"/>
      <c r="JJ268" s="30"/>
      <c r="JK268" s="30"/>
      <c r="JL268" s="30"/>
      <c r="JM268" s="30"/>
      <c r="JN268" s="30"/>
      <c r="JO268" s="30"/>
      <c r="JP268" s="30"/>
      <c r="JQ268" s="30"/>
      <c r="JR268" s="30"/>
      <c r="JS268" s="30"/>
      <c r="JT268" s="30"/>
      <c r="JU268" s="30"/>
      <c r="JV268" s="30"/>
      <c r="JW268" s="30"/>
      <c r="JX268" s="30"/>
      <c r="JY268" s="30"/>
      <c r="JZ268" s="30"/>
      <c r="KA268" s="30"/>
      <c r="KB268" s="30"/>
      <c r="KC268" s="30"/>
      <c r="KD268" s="30"/>
      <c r="KE268" s="30"/>
      <c r="KF268" s="30"/>
      <c r="KG268" s="30"/>
      <c r="KH268" s="30"/>
      <c r="KI268" s="30"/>
      <c r="KJ268" s="30"/>
      <c r="KK268" s="30"/>
      <c r="KL268" s="30"/>
      <c r="KM268" s="30"/>
      <c r="KN268" s="30"/>
      <c r="KO268" s="30"/>
      <c r="KP268" s="30"/>
      <c r="KQ268" s="30"/>
      <c r="KR268" s="30"/>
      <c r="KS268" s="30"/>
      <c r="KT268" s="30"/>
      <c r="KU268" s="30"/>
      <c r="KV268" s="30"/>
      <c r="KW268" s="30"/>
      <c r="KX268" s="30"/>
      <c r="KY268" s="30"/>
      <c r="KZ268" s="30"/>
      <c r="LA268" s="30"/>
      <c r="LB268" s="30"/>
      <c r="LC268" s="30"/>
      <c r="LD268" s="30"/>
      <c r="LE268" s="30"/>
      <c r="LF268" s="30"/>
      <c r="LG268" s="30"/>
      <c r="LH268" s="30"/>
      <c r="LI268" s="30"/>
      <c r="LJ268" s="30"/>
      <c r="LK268" s="30"/>
      <c r="LL268" s="30"/>
      <c r="LM268" s="30"/>
      <c r="LN268" s="30"/>
      <c r="LO268" s="30"/>
      <c r="LP268" s="30"/>
      <c r="LQ268" s="30"/>
      <c r="LR268" s="30"/>
      <c r="LS268" s="30"/>
      <c r="LT268" s="30"/>
      <c r="LU268" s="30"/>
      <c r="LV268" s="30"/>
      <c r="LW268" s="30"/>
      <c r="LX268" s="30"/>
      <c r="LY268" s="30"/>
      <c r="LZ268" s="30"/>
      <c r="MA268" s="30"/>
      <c r="MB268" s="30"/>
      <c r="MC268" s="30"/>
      <c r="MD268" s="30"/>
      <c r="ME268" s="30"/>
      <c r="MF268" s="30"/>
      <c r="MG268" s="30"/>
      <c r="MH268" s="30"/>
      <c r="MI268" s="30"/>
      <c r="MJ268" s="30"/>
      <c r="MK268" s="30"/>
      <c r="ML268" s="30"/>
      <c r="MM268" s="30"/>
      <c r="MN268" s="30"/>
      <c r="MO268" s="30"/>
      <c r="MP268" s="30"/>
      <c r="MQ268" s="30"/>
      <c r="MR268" s="30"/>
      <c r="MS268" s="30"/>
      <c r="MT268" s="30"/>
      <c r="MU268" s="30"/>
      <c r="MV268" s="30"/>
      <c r="MW268" s="30"/>
      <c r="MX268" s="30"/>
      <c r="MY268" s="30"/>
      <c r="MZ268" s="30"/>
      <c r="NA268" s="30"/>
      <c r="NB268" s="30"/>
      <c r="NC268" s="30"/>
      <c r="ND268" s="30"/>
      <c r="NE268" s="30"/>
      <c r="NF268" s="30"/>
      <c r="NG268" s="30"/>
      <c r="NH268" s="30"/>
      <c r="NI268" s="30"/>
      <c r="NJ268" s="30"/>
      <c r="NK268" s="30"/>
      <c r="NL268" s="30"/>
      <c r="NM268" s="30"/>
      <c r="NN268" s="30"/>
      <c r="NO268" s="30"/>
      <c r="NP268" s="30"/>
      <c r="NQ268" s="30"/>
      <c r="NR268" s="30"/>
      <c r="NS268" s="30"/>
      <c r="NT268" s="30"/>
      <c r="NU268" s="30"/>
      <c r="NV268" s="30"/>
      <c r="NW268" s="30"/>
      <c r="NX268" s="30"/>
      <c r="NY268" s="30"/>
      <c r="NZ268" s="30"/>
      <c r="OA268" s="30"/>
      <c r="OB268" s="30"/>
      <c r="OC268" s="30"/>
      <c r="OD268" s="30"/>
      <c r="OE268" s="30"/>
      <c r="OF268" s="30"/>
      <c r="OG268" s="30"/>
      <c r="OH268" s="30"/>
      <c r="OI268" s="30"/>
      <c r="OJ268" s="30"/>
      <c r="OK268" s="30"/>
      <c r="OL268" s="30"/>
      <c r="OM268" s="30"/>
      <c r="ON268" s="30"/>
      <c r="OO268" s="30"/>
      <c r="OP268" s="30"/>
      <c r="OQ268" s="30"/>
      <c r="OR268" s="30"/>
      <c r="OS268" s="30"/>
      <c r="OT268" s="30"/>
      <c r="OU268" s="30"/>
      <c r="OV268" s="30"/>
      <c r="OW268" s="30"/>
      <c r="OX268" s="30"/>
      <c r="OY268" s="30"/>
      <c r="OZ268" s="30"/>
      <c r="PA268" s="30"/>
      <c r="PB268" s="30"/>
      <c r="PC268" s="30"/>
      <c r="PD268" s="30"/>
      <c r="PE268" s="30"/>
      <c r="PF268" s="30"/>
      <c r="PG268" s="30"/>
      <c r="PH268" s="30"/>
      <c r="PI268" s="30"/>
      <c r="PJ268" s="30"/>
      <c r="PK268" s="30"/>
      <c r="PL268" s="30"/>
      <c r="PM268" s="30"/>
      <c r="PN268" s="30"/>
      <c r="PO268" s="30"/>
      <c r="PP268" s="30"/>
      <c r="PQ268" s="30"/>
      <c r="PR268" s="30"/>
      <c r="PS268" s="30"/>
      <c r="PT268" s="30"/>
      <c r="PU268" s="30"/>
      <c r="PV268" s="30"/>
      <c r="PW268" s="30"/>
      <c r="PX268" s="30"/>
      <c r="PY268" s="30"/>
      <c r="PZ268" s="30"/>
      <c r="QA268" s="30"/>
      <c r="QB268" s="30"/>
      <c r="QC268" s="30"/>
      <c r="QD268" s="30"/>
      <c r="QE268" s="30"/>
      <c r="QF268" s="30"/>
      <c r="QG268" s="30"/>
      <c r="QH268" s="30"/>
      <c r="QI268" s="30"/>
      <c r="QJ268" s="30"/>
      <c r="QK268" s="30"/>
      <c r="QL268" s="30"/>
      <c r="QM268" s="30"/>
      <c r="QN268" s="30"/>
      <c r="QO268" s="30"/>
      <c r="QP268" s="30"/>
      <c r="QQ268" s="30"/>
      <c r="QR268" s="30"/>
      <c r="QS268" s="30"/>
      <c r="QT268" s="30"/>
      <c r="QU268" s="30"/>
      <c r="QV268" s="30"/>
      <c r="QW268" s="30"/>
      <c r="QX268" s="30"/>
      <c r="QY268" s="30"/>
      <c r="QZ268" s="30"/>
      <c r="RA268" s="30"/>
      <c r="RB268" s="30"/>
      <c r="RC268" s="30"/>
      <c r="RD268" s="30"/>
      <c r="RE268" s="30"/>
      <c r="RF268" s="30"/>
      <c r="RG268" s="30"/>
      <c r="RH268" s="30"/>
      <c r="RI268" s="30"/>
      <c r="RJ268" s="30"/>
      <c r="RK268" s="30"/>
      <c r="RL268" s="30"/>
      <c r="RM268" s="30"/>
      <c r="RN268" s="30"/>
      <c r="RO268" s="30"/>
      <c r="RP268" s="30"/>
      <c r="RQ268" s="30"/>
      <c r="RR268" s="30"/>
      <c r="RS268" s="30"/>
      <c r="RT268" s="30"/>
      <c r="RU268" s="30"/>
      <c r="RV268" s="30"/>
      <c r="RW268" s="30"/>
      <c r="RX268" s="30"/>
      <c r="RY268" s="30"/>
      <c r="RZ268" s="30"/>
      <c r="SA268" s="30"/>
      <c r="SB268" s="30"/>
      <c r="SC268" s="30"/>
      <c r="SD268" s="30"/>
      <c r="SE268" s="30"/>
      <c r="SF268" s="30"/>
      <c r="SG268" s="30"/>
      <c r="SH268" s="30"/>
      <c r="SI268" s="30"/>
      <c r="SJ268" s="30"/>
      <c r="SK268" s="30"/>
      <c r="SL268" s="30"/>
      <c r="SM268" s="30"/>
      <c r="SN268" s="30"/>
      <c r="SO268" s="30"/>
      <c r="SP268" s="30"/>
      <c r="SQ268" s="30"/>
      <c r="SR268" s="30"/>
      <c r="SS268" s="30"/>
      <c r="ST268" s="30"/>
      <c r="SU268" s="30"/>
      <c r="SV268" s="30"/>
      <c r="SW268" s="30"/>
      <c r="SX268" s="30"/>
      <c r="SY268" s="30"/>
      <c r="SZ268" s="30"/>
      <c r="TA268" s="30"/>
      <c r="TB268" s="30"/>
      <c r="TC268" s="30"/>
      <c r="TD268" s="30"/>
      <c r="TE268" s="30"/>
    </row>
    <row r="269" spans="1:525" s="22" customFormat="1" ht="20.25" customHeight="1" x14ac:dyDescent="0.25">
      <c r="A269" s="56" t="s">
        <v>199</v>
      </c>
      <c r="B269" s="84" t="str">
        <f>'дод 3'!A221</f>
        <v>7640</v>
      </c>
      <c r="C269" s="56" t="str">
        <f>'дод 3'!B221</f>
        <v>0470</v>
      </c>
      <c r="D269" s="57" t="s">
        <v>416</v>
      </c>
      <c r="E269" s="139">
        <f t="shared" si="110"/>
        <v>2900000</v>
      </c>
      <c r="F269" s="139">
        <v>500000</v>
      </c>
      <c r="G269" s="139"/>
      <c r="H269" s="139"/>
      <c r="I269" s="139">
        <v>2400000</v>
      </c>
      <c r="J269" s="139">
        <f t="shared" si="112"/>
        <v>0</v>
      </c>
      <c r="K269" s="139"/>
      <c r="L269" s="139"/>
      <c r="M269" s="139"/>
      <c r="N269" s="139"/>
      <c r="O269" s="139"/>
      <c r="P269" s="139">
        <f t="shared" si="111"/>
        <v>2900000</v>
      </c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</row>
    <row r="270" spans="1:525" s="22" customFormat="1" ht="39" customHeight="1" x14ac:dyDescent="0.25">
      <c r="A270" s="56" t="s">
        <v>326</v>
      </c>
      <c r="B270" s="84" t="str">
        <f>'дод 3'!A225</f>
        <v>7670</v>
      </c>
      <c r="C270" s="56" t="str">
        <f>'дод 3'!B225</f>
        <v>0490</v>
      </c>
      <c r="D270" s="57" t="str">
        <f>'дод 3'!C225</f>
        <v>Внески до статутного капіталу суб'єктів господарювання, у т. ч. за рахунок:</v>
      </c>
      <c r="E270" s="139">
        <f t="shared" si="110"/>
        <v>0</v>
      </c>
      <c r="F270" s="139"/>
      <c r="G270" s="139"/>
      <c r="H270" s="139"/>
      <c r="I270" s="139"/>
      <c r="J270" s="139">
        <f t="shared" si="112"/>
        <v>52115000</v>
      </c>
      <c r="K270" s="139">
        <f>47115000+5000000</f>
        <v>52115000</v>
      </c>
      <c r="L270" s="139"/>
      <c r="M270" s="139"/>
      <c r="N270" s="139"/>
      <c r="O270" s="139">
        <f>47115000+5000000</f>
        <v>52115000</v>
      </c>
      <c r="P270" s="139">
        <f t="shared" si="111"/>
        <v>52115000</v>
      </c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</row>
    <row r="271" spans="1:525" s="24" customFormat="1" ht="18.75" customHeight="1" x14ac:dyDescent="0.25">
      <c r="A271" s="76"/>
      <c r="B271" s="97"/>
      <c r="C271" s="97"/>
      <c r="D271" s="77" t="s">
        <v>413</v>
      </c>
      <c r="E271" s="140">
        <f t="shared" si="110"/>
        <v>0</v>
      </c>
      <c r="F271" s="140"/>
      <c r="G271" s="140"/>
      <c r="H271" s="140"/>
      <c r="I271" s="140"/>
      <c r="J271" s="140">
        <f t="shared" si="112"/>
        <v>47115000</v>
      </c>
      <c r="K271" s="140">
        <v>47115000</v>
      </c>
      <c r="L271" s="140"/>
      <c r="M271" s="140"/>
      <c r="N271" s="140"/>
      <c r="O271" s="140">
        <v>47115000</v>
      </c>
      <c r="P271" s="140">
        <f t="shared" si="111"/>
        <v>47115000</v>
      </c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  <c r="IW271" s="30"/>
      <c r="IX271" s="30"/>
      <c r="IY271" s="30"/>
      <c r="IZ271" s="30"/>
      <c r="JA271" s="30"/>
      <c r="JB271" s="30"/>
      <c r="JC271" s="30"/>
      <c r="JD271" s="30"/>
      <c r="JE271" s="30"/>
      <c r="JF271" s="30"/>
      <c r="JG271" s="30"/>
      <c r="JH271" s="30"/>
      <c r="JI271" s="30"/>
      <c r="JJ271" s="30"/>
      <c r="JK271" s="30"/>
      <c r="JL271" s="30"/>
      <c r="JM271" s="30"/>
      <c r="JN271" s="30"/>
      <c r="JO271" s="30"/>
      <c r="JP271" s="30"/>
      <c r="JQ271" s="30"/>
      <c r="JR271" s="30"/>
      <c r="JS271" s="30"/>
      <c r="JT271" s="30"/>
      <c r="JU271" s="30"/>
      <c r="JV271" s="30"/>
      <c r="JW271" s="30"/>
      <c r="JX271" s="30"/>
      <c r="JY271" s="30"/>
      <c r="JZ271" s="30"/>
      <c r="KA271" s="30"/>
      <c r="KB271" s="30"/>
      <c r="KC271" s="30"/>
      <c r="KD271" s="30"/>
      <c r="KE271" s="30"/>
      <c r="KF271" s="30"/>
      <c r="KG271" s="30"/>
      <c r="KH271" s="30"/>
      <c r="KI271" s="30"/>
      <c r="KJ271" s="30"/>
      <c r="KK271" s="30"/>
      <c r="KL271" s="30"/>
      <c r="KM271" s="30"/>
      <c r="KN271" s="30"/>
      <c r="KO271" s="30"/>
      <c r="KP271" s="30"/>
      <c r="KQ271" s="30"/>
      <c r="KR271" s="30"/>
      <c r="KS271" s="30"/>
      <c r="KT271" s="30"/>
      <c r="KU271" s="30"/>
      <c r="KV271" s="30"/>
      <c r="KW271" s="30"/>
      <c r="KX271" s="30"/>
      <c r="KY271" s="30"/>
      <c r="KZ271" s="30"/>
      <c r="LA271" s="30"/>
      <c r="LB271" s="30"/>
      <c r="LC271" s="30"/>
      <c r="LD271" s="30"/>
      <c r="LE271" s="30"/>
      <c r="LF271" s="30"/>
      <c r="LG271" s="30"/>
      <c r="LH271" s="30"/>
      <c r="LI271" s="30"/>
      <c r="LJ271" s="30"/>
      <c r="LK271" s="30"/>
      <c r="LL271" s="30"/>
      <c r="LM271" s="30"/>
      <c r="LN271" s="30"/>
      <c r="LO271" s="30"/>
      <c r="LP271" s="30"/>
      <c r="LQ271" s="30"/>
      <c r="LR271" s="30"/>
      <c r="LS271" s="30"/>
      <c r="LT271" s="30"/>
      <c r="LU271" s="30"/>
      <c r="LV271" s="30"/>
      <c r="LW271" s="30"/>
      <c r="LX271" s="30"/>
      <c r="LY271" s="30"/>
      <c r="LZ271" s="30"/>
      <c r="MA271" s="30"/>
      <c r="MB271" s="30"/>
      <c r="MC271" s="30"/>
      <c r="MD271" s="30"/>
      <c r="ME271" s="30"/>
      <c r="MF271" s="30"/>
      <c r="MG271" s="30"/>
      <c r="MH271" s="30"/>
      <c r="MI271" s="30"/>
      <c r="MJ271" s="30"/>
      <c r="MK271" s="30"/>
      <c r="ML271" s="30"/>
      <c r="MM271" s="30"/>
      <c r="MN271" s="30"/>
      <c r="MO271" s="30"/>
      <c r="MP271" s="30"/>
      <c r="MQ271" s="30"/>
      <c r="MR271" s="30"/>
      <c r="MS271" s="30"/>
      <c r="MT271" s="30"/>
      <c r="MU271" s="30"/>
      <c r="MV271" s="30"/>
      <c r="MW271" s="30"/>
      <c r="MX271" s="30"/>
      <c r="MY271" s="30"/>
      <c r="MZ271" s="30"/>
      <c r="NA271" s="30"/>
      <c r="NB271" s="30"/>
      <c r="NC271" s="30"/>
      <c r="ND271" s="30"/>
      <c r="NE271" s="30"/>
      <c r="NF271" s="30"/>
      <c r="NG271" s="30"/>
      <c r="NH271" s="30"/>
      <c r="NI271" s="30"/>
      <c r="NJ271" s="30"/>
      <c r="NK271" s="30"/>
      <c r="NL271" s="30"/>
      <c r="NM271" s="30"/>
      <c r="NN271" s="30"/>
      <c r="NO271" s="30"/>
      <c r="NP271" s="30"/>
      <c r="NQ271" s="30"/>
      <c r="NR271" s="30"/>
      <c r="NS271" s="30"/>
      <c r="NT271" s="30"/>
      <c r="NU271" s="30"/>
      <c r="NV271" s="30"/>
      <c r="NW271" s="30"/>
      <c r="NX271" s="30"/>
      <c r="NY271" s="30"/>
      <c r="NZ271" s="30"/>
      <c r="OA271" s="30"/>
      <c r="OB271" s="30"/>
      <c r="OC271" s="30"/>
      <c r="OD271" s="30"/>
      <c r="OE271" s="30"/>
      <c r="OF271" s="30"/>
      <c r="OG271" s="30"/>
      <c r="OH271" s="30"/>
      <c r="OI271" s="30"/>
      <c r="OJ271" s="30"/>
      <c r="OK271" s="30"/>
      <c r="OL271" s="30"/>
      <c r="OM271" s="30"/>
      <c r="ON271" s="30"/>
      <c r="OO271" s="30"/>
      <c r="OP271" s="30"/>
      <c r="OQ271" s="30"/>
      <c r="OR271" s="30"/>
      <c r="OS271" s="30"/>
      <c r="OT271" s="30"/>
      <c r="OU271" s="30"/>
      <c r="OV271" s="30"/>
      <c r="OW271" s="30"/>
      <c r="OX271" s="30"/>
      <c r="OY271" s="30"/>
      <c r="OZ271" s="30"/>
      <c r="PA271" s="30"/>
      <c r="PB271" s="30"/>
      <c r="PC271" s="30"/>
      <c r="PD271" s="30"/>
      <c r="PE271" s="30"/>
      <c r="PF271" s="30"/>
      <c r="PG271" s="30"/>
      <c r="PH271" s="30"/>
      <c r="PI271" s="30"/>
      <c r="PJ271" s="30"/>
      <c r="PK271" s="30"/>
      <c r="PL271" s="30"/>
      <c r="PM271" s="30"/>
      <c r="PN271" s="30"/>
      <c r="PO271" s="30"/>
      <c r="PP271" s="30"/>
      <c r="PQ271" s="30"/>
      <c r="PR271" s="30"/>
      <c r="PS271" s="30"/>
      <c r="PT271" s="30"/>
      <c r="PU271" s="30"/>
      <c r="PV271" s="30"/>
      <c r="PW271" s="30"/>
      <c r="PX271" s="30"/>
      <c r="PY271" s="30"/>
      <c r="PZ271" s="30"/>
      <c r="QA271" s="30"/>
      <c r="QB271" s="30"/>
      <c r="QC271" s="30"/>
      <c r="QD271" s="30"/>
      <c r="QE271" s="30"/>
      <c r="QF271" s="30"/>
      <c r="QG271" s="30"/>
      <c r="QH271" s="30"/>
      <c r="QI271" s="30"/>
      <c r="QJ271" s="30"/>
      <c r="QK271" s="30"/>
      <c r="QL271" s="30"/>
      <c r="QM271" s="30"/>
      <c r="QN271" s="30"/>
      <c r="QO271" s="30"/>
      <c r="QP271" s="30"/>
      <c r="QQ271" s="30"/>
      <c r="QR271" s="30"/>
      <c r="QS271" s="30"/>
      <c r="QT271" s="30"/>
      <c r="QU271" s="30"/>
      <c r="QV271" s="30"/>
      <c r="QW271" s="30"/>
      <c r="QX271" s="30"/>
      <c r="QY271" s="30"/>
      <c r="QZ271" s="30"/>
      <c r="RA271" s="30"/>
      <c r="RB271" s="30"/>
      <c r="RC271" s="30"/>
      <c r="RD271" s="30"/>
      <c r="RE271" s="30"/>
      <c r="RF271" s="30"/>
      <c r="RG271" s="30"/>
      <c r="RH271" s="30"/>
      <c r="RI271" s="30"/>
      <c r="RJ271" s="30"/>
      <c r="RK271" s="30"/>
      <c r="RL271" s="30"/>
      <c r="RM271" s="30"/>
      <c r="RN271" s="30"/>
      <c r="RO271" s="30"/>
      <c r="RP271" s="30"/>
      <c r="RQ271" s="30"/>
      <c r="RR271" s="30"/>
      <c r="RS271" s="30"/>
      <c r="RT271" s="30"/>
      <c r="RU271" s="30"/>
      <c r="RV271" s="30"/>
      <c r="RW271" s="30"/>
      <c r="RX271" s="30"/>
      <c r="RY271" s="30"/>
      <c r="RZ271" s="30"/>
      <c r="SA271" s="30"/>
      <c r="SB271" s="30"/>
      <c r="SC271" s="30"/>
      <c r="SD271" s="30"/>
      <c r="SE271" s="30"/>
      <c r="SF271" s="30"/>
      <c r="SG271" s="30"/>
      <c r="SH271" s="30"/>
      <c r="SI271" s="30"/>
      <c r="SJ271" s="30"/>
      <c r="SK271" s="30"/>
      <c r="SL271" s="30"/>
      <c r="SM271" s="30"/>
      <c r="SN271" s="30"/>
      <c r="SO271" s="30"/>
      <c r="SP271" s="30"/>
      <c r="SQ271" s="30"/>
      <c r="SR271" s="30"/>
      <c r="SS271" s="30"/>
      <c r="ST271" s="30"/>
      <c r="SU271" s="30"/>
      <c r="SV271" s="30"/>
      <c r="SW271" s="30"/>
      <c r="SX271" s="30"/>
      <c r="SY271" s="30"/>
      <c r="SZ271" s="30"/>
      <c r="TA271" s="30"/>
      <c r="TB271" s="30"/>
      <c r="TC271" s="30"/>
      <c r="TD271" s="30"/>
      <c r="TE271" s="30"/>
    </row>
    <row r="272" spans="1:525" s="22" customFormat="1" ht="120.75" customHeight="1" x14ac:dyDescent="0.25">
      <c r="A272" s="89" t="s">
        <v>295</v>
      </c>
      <c r="B272" s="42">
        <v>7691</v>
      </c>
      <c r="C272" s="42" t="s">
        <v>81</v>
      </c>
      <c r="D272" s="36" t="str">
        <f>'дод 3'!C228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72" s="139">
        <f t="shared" si="110"/>
        <v>0</v>
      </c>
      <c r="F272" s="139"/>
      <c r="G272" s="139"/>
      <c r="H272" s="139"/>
      <c r="I272" s="139"/>
      <c r="J272" s="139">
        <f t="shared" si="112"/>
        <v>2208261</v>
      </c>
      <c r="K272" s="139"/>
      <c r="L272" s="139">
        <v>300661</v>
      </c>
      <c r="M272" s="139"/>
      <c r="N272" s="139"/>
      <c r="O272" s="139">
        <v>1907600</v>
      </c>
      <c r="P272" s="139">
        <f t="shared" si="111"/>
        <v>2208261</v>
      </c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  <c r="KQ272" s="23"/>
      <c r="KR272" s="23"/>
      <c r="KS272" s="23"/>
      <c r="KT272" s="23"/>
      <c r="KU272" s="23"/>
      <c r="KV272" s="23"/>
      <c r="KW272" s="23"/>
      <c r="KX272" s="23"/>
      <c r="KY272" s="23"/>
      <c r="KZ272" s="23"/>
      <c r="LA272" s="23"/>
      <c r="LB272" s="23"/>
      <c r="LC272" s="23"/>
      <c r="LD272" s="23"/>
      <c r="LE272" s="23"/>
      <c r="LF272" s="23"/>
      <c r="LG272" s="23"/>
      <c r="LH272" s="23"/>
      <c r="LI272" s="23"/>
      <c r="LJ272" s="23"/>
      <c r="LK272" s="23"/>
      <c r="LL272" s="23"/>
      <c r="LM272" s="23"/>
      <c r="LN272" s="23"/>
      <c r="LO272" s="23"/>
      <c r="LP272" s="23"/>
      <c r="LQ272" s="23"/>
      <c r="LR272" s="23"/>
      <c r="LS272" s="23"/>
      <c r="LT272" s="23"/>
      <c r="LU272" s="23"/>
      <c r="LV272" s="23"/>
      <c r="LW272" s="23"/>
      <c r="LX272" s="23"/>
      <c r="LY272" s="23"/>
      <c r="LZ272" s="23"/>
      <c r="MA272" s="23"/>
      <c r="MB272" s="23"/>
      <c r="MC272" s="23"/>
      <c r="MD272" s="23"/>
      <c r="ME272" s="23"/>
      <c r="MF272" s="23"/>
      <c r="MG272" s="23"/>
      <c r="MH272" s="23"/>
      <c r="MI272" s="23"/>
      <c r="MJ272" s="23"/>
      <c r="MK272" s="23"/>
      <c r="ML272" s="23"/>
      <c r="MM272" s="23"/>
      <c r="MN272" s="23"/>
      <c r="MO272" s="23"/>
      <c r="MP272" s="23"/>
      <c r="MQ272" s="23"/>
      <c r="MR272" s="23"/>
      <c r="MS272" s="23"/>
      <c r="MT272" s="23"/>
      <c r="MU272" s="23"/>
      <c r="MV272" s="23"/>
      <c r="MW272" s="23"/>
      <c r="MX272" s="23"/>
      <c r="MY272" s="23"/>
      <c r="MZ272" s="23"/>
      <c r="NA272" s="23"/>
      <c r="NB272" s="23"/>
      <c r="NC272" s="23"/>
      <c r="ND272" s="23"/>
      <c r="NE272" s="23"/>
      <c r="NF272" s="23"/>
      <c r="NG272" s="23"/>
      <c r="NH272" s="23"/>
      <c r="NI272" s="23"/>
      <c r="NJ272" s="23"/>
      <c r="NK272" s="23"/>
      <c r="NL272" s="23"/>
      <c r="NM272" s="23"/>
      <c r="NN272" s="23"/>
      <c r="NO272" s="23"/>
      <c r="NP272" s="23"/>
      <c r="NQ272" s="23"/>
      <c r="NR272" s="23"/>
      <c r="NS272" s="23"/>
      <c r="NT272" s="23"/>
      <c r="NU272" s="23"/>
      <c r="NV272" s="23"/>
      <c r="NW272" s="23"/>
      <c r="NX272" s="23"/>
      <c r="NY272" s="23"/>
      <c r="NZ272" s="23"/>
      <c r="OA272" s="23"/>
      <c r="OB272" s="23"/>
      <c r="OC272" s="23"/>
      <c r="OD272" s="23"/>
      <c r="OE272" s="23"/>
      <c r="OF272" s="23"/>
      <c r="OG272" s="23"/>
      <c r="OH272" s="23"/>
      <c r="OI272" s="23"/>
      <c r="OJ272" s="23"/>
      <c r="OK272" s="23"/>
      <c r="OL272" s="23"/>
      <c r="OM272" s="23"/>
      <c r="ON272" s="23"/>
      <c r="OO272" s="23"/>
      <c r="OP272" s="23"/>
      <c r="OQ272" s="23"/>
      <c r="OR272" s="23"/>
      <c r="OS272" s="23"/>
      <c r="OT272" s="23"/>
      <c r="OU272" s="23"/>
      <c r="OV272" s="23"/>
      <c r="OW272" s="23"/>
      <c r="OX272" s="23"/>
      <c r="OY272" s="23"/>
      <c r="OZ272" s="23"/>
      <c r="PA272" s="23"/>
      <c r="PB272" s="23"/>
      <c r="PC272" s="23"/>
      <c r="PD272" s="23"/>
      <c r="PE272" s="23"/>
      <c r="PF272" s="23"/>
      <c r="PG272" s="23"/>
      <c r="PH272" s="23"/>
      <c r="PI272" s="23"/>
      <c r="PJ272" s="23"/>
      <c r="PK272" s="23"/>
      <c r="PL272" s="23"/>
      <c r="PM272" s="23"/>
      <c r="PN272" s="23"/>
      <c r="PO272" s="23"/>
      <c r="PP272" s="23"/>
      <c r="PQ272" s="23"/>
      <c r="PR272" s="23"/>
      <c r="PS272" s="23"/>
      <c r="PT272" s="23"/>
      <c r="PU272" s="23"/>
      <c r="PV272" s="23"/>
      <c r="PW272" s="23"/>
      <c r="PX272" s="23"/>
      <c r="PY272" s="23"/>
      <c r="PZ272" s="23"/>
      <c r="QA272" s="23"/>
      <c r="QB272" s="23"/>
      <c r="QC272" s="23"/>
      <c r="QD272" s="23"/>
      <c r="QE272" s="23"/>
      <c r="QF272" s="23"/>
      <c r="QG272" s="23"/>
      <c r="QH272" s="23"/>
      <c r="QI272" s="23"/>
      <c r="QJ272" s="23"/>
      <c r="QK272" s="23"/>
      <c r="QL272" s="23"/>
      <c r="QM272" s="23"/>
      <c r="QN272" s="23"/>
      <c r="QO272" s="23"/>
      <c r="QP272" s="23"/>
      <c r="QQ272" s="23"/>
      <c r="QR272" s="23"/>
      <c r="QS272" s="23"/>
      <c r="QT272" s="23"/>
      <c r="QU272" s="23"/>
      <c r="QV272" s="23"/>
      <c r="QW272" s="23"/>
      <c r="QX272" s="23"/>
      <c r="QY272" s="23"/>
      <c r="QZ272" s="23"/>
      <c r="RA272" s="23"/>
      <c r="RB272" s="23"/>
      <c r="RC272" s="23"/>
      <c r="RD272" s="23"/>
      <c r="RE272" s="23"/>
      <c r="RF272" s="23"/>
      <c r="RG272" s="23"/>
      <c r="RH272" s="23"/>
      <c r="RI272" s="23"/>
      <c r="RJ272" s="23"/>
      <c r="RK272" s="23"/>
      <c r="RL272" s="23"/>
      <c r="RM272" s="23"/>
      <c r="RN272" s="23"/>
      <c r="RO272" s="23"/>
      <c r="RP272" s="23"/>
      <c r="RQ272" s="23"/>
      <c r="RR272" s="23"/>
      <c r="RS272" s="23"/>
      <c r="RT272" s="23"/>
      <c r="RU272" s="23"/>
      <c r="RV272" s="23"/>
      <c r="RW272" s="23"/>
      <c r="RX272" s="23"/>
      <c r="RY272" s="23"/>
      <c r="RZ272" s="23"/>
      <c r="SA272" s="23"/>
      <c r="SB272" s="23"/>
      <c r="SC272" s="23"/>
      <c r="SD272" s="23"/>
      <c r="SE272" s="23"/>
      <c r="SF272" s="23"/>
      <c r="SG272" s="23"/>
      <c r="SH272" s="23"/>
      <c r="SI272" s="23"/>
      <c r="SJ272" s="23"/>
      <c r="SK272" s="23"/>
      <c r="SL272" s="23"/>
      <c r="SM272" s="23"/>
      <c r="SN272" s="23"/>
      <c r="SO272" s="23"/>
      <c r="SP272" s="23"/>
      <c r="SQ272" s="23"/>
      <c r="SR272" s="23"/>
      <c r="SS272" s="23"/>
      <c r="ST272" s="23"/>
      <c r="SU272" s="23"/>
      <c r="SV272" s="23"/>
      <c r="SW272" s="23"/>
      <c r="SX272" s="23"/>
      <c r="SY272" s="23"/>
      <c r="SZ272" s="23"/>
      <c r="TA272" s="23"/>
      <c r="TB272" s="23"/>
      <c r="TC272" s="23"/>
      <c r="TD272" s="23"/>
      <c r="TE272" s="23"/>
    </row>
    <row r="273" spans="1:525" s="22" customFormat="1" ht="31.5" hidden="1" customHeight="1" x14ac:dyDescent="0.25">
      <c r="A273" s="89" t="s">
        <v>375</v>
      </c>
      <c r="B273" s="42" t="str">
        <f>'дод 3'!A236</f>
        <v>8110</v>
      </c>
      <c r="C273" s="42" t="str">
        <f>'дод 3'!B236</f>
        <v>0320</v>
      </c>
      <c r="D273" s="90" t="str">
        <f>'дод 3'!C236</f>
        <v>Заходи із запобігання та ліквідації надзвичайних ситуацій та наслідків стихійного лиха</v>
      </c>
      <c r="E273" s="139">
        <f t="shared" ref="E273" si="121">F273+I273</f>
        <v>0</v>
      </c>
      <c r="F273" s="139"/>
      <c r="G273" s="139"/>
      <c r="H273" s="139"/>
      <c r="I273" s="139"/>
      <c r="J273" s="139">
        <f t="shared" ref="J273" si="122">L273+O273</f>
        <v>0</v>
      </c>
      <c r="K273" s="139"/>
      <c r="L273" s="139"/>
      <c r="M273" s="139"/>
      <c r="N273" s="139"/>
      <c r="O273" s="139"/>
      <c r="P273" s="139">
        <f t="shared" ref="P273" si="123">E273+J273</f>
        <v>0</v>
      </c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</row>
    <row r="274" spans="1:525" s="22" customFormat="1" ht="15.75" hidden="1" customHeight="1" x14ac:dyDescent="0.25">
      <c r="A274" s="89" t="s">
        <v>374</v>
      </c>
      <c r="B274" s="42" t="str">
        <f>'дод 3'!A240</f>
        <v>8230</v>
      </c>
      <c r="C274" s="42" t="str">
        <f>'дод 3'!B240</f>
        <v>0380</v>
      </c>
      <c r="D274" s="90" t="str">
        <f>'дод 3'!C240</f>
        <v>Інші заходи громадського порядку та безпеки</v>
      </c>
      <c r="E274" s="139">
        <f t="shared" ref="E274" si="124">F274+I274</f>
        <v>0</v>
      </c>
      <c r="F274" s="139"/>
      <c r="G274" s="139"/>
      <c r="H274" s="139"/>
      <c r="I274" s="139"/>
      <c r="J274" s="139">
        <f t="shared" ref="J274" si="125">L274+O274</f>
        <v>0</v>
      </c>
      <c r="K274" s="139"/>
      <c r="L274" s="139"/>
      <c r="M274" s="139"/>
      <c r="N274" s="139"/>
      <c r="O274" s="139"/>
      <c r="P274" s="139">
        <f t="shared" ref="P274" si="126">E274+J274</f>
        <v>0</v>
      </c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</row>
    <row r="275" spans="1:525" s="22" customFormat="1" ht="35.25" customHeight="1" x14ac:dyDescent="0.25">
      <c r="A275" s="56" t="s">
        <v>200</v>
      </c>
      <c r="B275" s="84" t="str">
        <f>'дод 3'!A243</f>
        <v>8340</v>
      </c>
      <c r="C275" s="84" t="str">
        <f>'дод 3'!B243</f>
        <v>0540</v>
      </c>
      <c r="D275" s="57" t="str">
        <f>'дод 3'!C243</f>
        <v>Природоохоронні заходи за рахунок цільових фондів</v>
      </c>
      <c r="E275" s="139">
        <f t="shared" si="110"/>
        <v>0</v>
      </c>
      <c r="F275" s="139"/>
      <c r="G275" s="139"/>
      <c r="H275" s="139"/>
      <c r="I275" s="139"/>
      <c r="J275" s="139">
        <f t="shared" si="112"/>
        <v>3591000</v>
      </c>
      <c r="K275" s="139"/>
      <c r="L275" s="139">
        <f>3591000-310000</f>
        <v>3281000</v>
      </c>
      <c r="M275" s="139"/>
      <c r="N275" s="139"/>
      <c r="O275" s="139">
        <v>310000</v>
      </c>
      <c r="P275" s="139">
        <f t="shared" si="111"/>
        <v>3591000</v>
      </c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  <c r="KQ275" s="23"/>
      <c r="KR275" s="23"/>
      <c r="KS275" s="23"/>
      <c r="KT275" s="23"/>
      <c r="KU275" s="23"/>
      <c r="KV275" s="23"/>
      <c r="KW275" s="23"/>
      <c r="KX275" s="23"/>
      <c r="KY275" s="23"/>
      <c r="KZ275" s="23"/>
      <c r="LA275" s="23"/>
      <c r="LB275" s="23"/>
      <c r="LC275" s="23"/>
      <c r="LD275" s="23"/>
      <c r="LE275" s="23"/>
      <c r="LF275" s="23"/>
      <c r="LG275" s="23"/>
      <c r="LH275" s="23"/>
      <c r="LI275" s="23"/>
      <c r="LJ275" s="23"/>
      <c r="LK275" s="23"/>
      <c r="LL275" s="23"/>
      <c r="LM275" s="23"/>
      <c r="LN275" s="23"/>
      <c r="LO275" s="23"/>
      <c r="LP275" s="23"/>
      <c r="LQ275" s="23"/>
      <c r="LR275" s="23"/>
      <c r="LS275" s="23"/>
      <c r="LT275" s="23"/>
      <c r="LU275" s="23"/>
      <c r="LV275" s="23"/>
      <c r="LW275" s="23"/>
      <c r="LX275" s="23"/>
      <c r="LY275" s="23"/>
      <c r="LZ275" s="23"/>
      <c r="MA275" s="23"/>
      <c r="MB275" s="23"/>
      <c r="MC275" s="23"/>
      <c r="MD275" s="23"/>
      <c r="ME275" s="23"/>
      <c r="MF275" s="23"/>
      <c r="MG275" s="23"/>
      <c r="MH275" s="23"/>
      <c r="MI275" s="23"/>
      <c r="MJ275" s="23"/>
      <c r="MK275" s="23"/>
      <c r="ML275" s="23"/>
      <c r="MM275" s="23"/>
      <c r="MN275" s="23"/>
      <c r="MO275" s="23"/>
      <c r="MP275" s="23"/>
      <c r="MQ275" s="23"/>
      <c r="MR275" s="23"/>
      <c r="MS275" s="23"/>
      <c r="MT275" s="23"/>
      <c r="MU275" s="23"/>
      <c r="MV275" s="23"/>
      <c r="MW275" s="23"/>
      <c r="MX275" s="23"/>
      <c r="MY275" s="23"/>
      <c r="MZ275" s="23"/>
      <c r="NA275" s="23"/>
      <c r="NB275" s="23"/>
      <c r="NC275" s="23"/>
      <c r="ND275" s="23"/>
      <c r="NE275" s="23"/>
      <c r="NF275" s="23"/>
      <c r="NG275" s="23"/>
      <c r="NH275" s="23"/>
      <c r="NI275" s="23"/>
      <c r="NJ275" s="23"/>
      <c r="NK275" s="23"/>
      <c r="NL275" s="23"/>
      <c r="NM275" s="23"/>
      <c r="NN275" s="23"/>
      <c r="NO275" s="23"/>
      <c r="NP275" s="23"/>
      <c r="NQ275" s="23"/>
      <c r="NR275" s="23"/>
      <c r="NS275" s="23"/>
      <c r="NT275" s="23"/>
      <c r="NU275" s="23"/>
      <c r="NV275" s="23"/>
      <c r="NW275" s="23"/>
      <c r="NX275" s="23"/>
      <c r="NY275" s="23"/>
      <c r="NZ275" s="23"/>
      <c r="OA275" s="23"/>
      <c r="OB275" s="23"/>
      <c r="OC275" s="23"/>
      <c r="OD275" s="23"/>
      <c r="OE275" s="23"/>
      <c r="OF275" s="23"/>
      <c r="OG275" s="23"/>
      <c r="OH275" s="23"/>
      <c r="OI275" s="23"/>
      <c r="OJ275" s="23"/>
      <c r="OK275" s="23"/>
      <c r="OL275" s="23"/>
      <c r="OM275" s="23"/>
      <c r="ON275" s="23"/>
      <c r="OO275" s="23"/>
      <c r="OP275" s="23"/>
      <c r="OQ275" s="23"/>
      <c r="OR275" s="23"/>
      <c r="OS275" s="23"/>
      <c r="OT275" s="23"/>
      <c r="OU275" s="23"/>
      <c r="OV275" s="23"/>
      <c r="OW275" s="23"/>
      <c r="OX275" s="23"/>
      <c r="OY275" s="23"/>
      <c r="OZ275" s="23"/>
      <c r="PA275" s="23"/>
      <c r="PB275" s="23"/>
      <c r="PC275" s="23"/>
      <c r="PD275" s="23"/>
      <c r="PE275" s="23"/>
      <c r="PF275" s="23"/>
      <c r="PG275" s="23"/>
      <c r="PH275" s="23"/>
      <c r="PI275" s="23"/>
      <c r="PJ275" s="23"/>
      <c r="PK275" s="23"/>
      <c r="PL275" s="23"/>
      <c r="PM275" s="23"/>
      <c r="PN275" s="23"/>
      <c r="PO275" s="23"/>
      <c r="PP275" s="23"/>
      <c r="PQ275" s="23"/>
      <c r="PR275" s="23"/>
      <c r="PS275" s="23"/>
      <c r="PT275" s="23"/>
      <c r="PU275" s="23"/>
      <c r="PV275" s="23"/>
      <c r="PW275" s="23"/>
      <c r="PX275" s="23"/>
      <c r="PY275" s="23"/>
      <c r="PZ275" s="23"/>
      <c r="QA275" s="23"/>
      <c r="QB275" s="23"/>
      <c r="QC275" s="23"/>
      <c r="QD275" s="23"/>
      <c r="QE275" s="23"/>
      <c r="QF275" s="23"/>
      <c r="QG275" s="23"/>
      <c r="QH275" s="23"/>
      <c r="QI275" s="23"/>
      <c r="QJ275" s="23"/>
      <c r="QK275" s="23"/>
      <c r="QL275" s="23"/>
      <c r="QM275" s="23"/>
      <c r="QN275" s="23"/>
      <c r="QO275" s="23"/>
      <c r="QP275" s="23"/>
      <c r="QQ275" s="23"/>
      <c r="QR275" s="23"/>
      <c r="QS275" s="23"/>
      <c r="QT275" s="23"/>
      <c r="QU275" s="23"/>
      <c r="QV275" s="23"/>
      <c r="QW275" s="23"/>
      <c r="QX275" s="23"/>
      <c r="QY275" s="23"/>
      <c r="QZ275" s="23"/>
      <c r="RA275" s="23"/>
      <c r="RB275" s="23"/>
      <c r="RC275" s="23"/>
      <c r="RD275" s="23"/>
      <c r="RE275" s="23"/>
      <c r="RF275" s="23"/>
      <c r="RG275" s="23"/>
      <c r="RH275" s="23"/>
      <c r="RI275" s="23"/>
      <c r="RJ275" s="23"/>
      <c r="RK275" s="23"/>
      <c r="RL275" s="23"/>
      <c r="RM275" s="23"/>
      <c r="RN275" s="23"/>
      <c r="RO275" s="23"/>
      <c r="RP275" s="23"/>
      <c r="RQ275" s="23"/>
      <c r="RR275" s="23"/>
      <c r="RS275" s="23"/>
      <c r="RT275" s="23"/>
      <c r="RU275" s="23"/>
      <c r="RV275" s="23"/>
      <c r="RW275" s="23"/>
      <c r="RX275" s="23"/>
      <c r="RY275" s="23"/>
      <c r="RZ275" s="23"/>
      <c r="SA275" s="23"/>
      <c r="SB275" s="23"/>
      <c r="SC275" s="23"/>
      <c r="SD275" s="23"/>
      <c r="SE275" s="23"/>
      <c r="SF275" s="23"/>
      <c r="SG275" s="23"/>
      <c r="SH275" s="23"/>
      <c r="SI275" s="23"/>
      <c r="SJ275" s="23"/>
      <c r="SK275" s="23"/>
      <c r="SL275" s="23"/>
      <c r="SM275" s="23"/>
      <c r="SN275" s="23"/>
      <c r="SO275" s="23"/>
      <c r="SP275" s="23"/>
      <c r="SQ275" s="23"/>
      <c r="SR275" s="23"/>
      <c r="SS275" s="23"/>
      <c r="ST275" s="23"/>
      <c r="SU275" s="23"/>
      <c r="SV275" s="23"/>
      <c r="SW275" s="23"/>
      <c r="SX275" s="23"/>
      <c r="SY275" s="23"/>
      <c r="SZ275" s="23"/>
      <c r="TA275" s="23"/>
      <c r="TB275" s="23"/>
      <c r="TC275" s="23"/>
      <c r="TD275" s="23"/>
      <c r="TE275" s="23"/>
    </row>
    <row r="276" spans="1:525" s="22" customFormat="1" ht="78.75" hidden="1" x14ac:dyDescent="0.25">
      <c r="A276" s="56" t="s">
        <v>547</v>
      </c>
      <c r="B276" s="84">
        <v>9730</v>
      </c>
      <c r="C276" s="56" t="s">
        <v>44</v>
      </c>
      <c r="D276" s="57" t="s">
        <v>548</v>
      </c>
      <c r="E276" s="139">
        <f t="shared" si="110"/>
        <v>0</v>
      </c>
      <c r="F276" s="139"/>
      <c r="G276" s="139"/>
      <c r="H276" s="139"/>
      <c r="I276" s="139"/>
      <c r="J276" s="139">
        <f t="shared" si="112"/>
        <v>0</v>
      </c>
      <c r="K276" s="139"/>
      <c r="L276" s="139"/>
      <c r="M276" s="139"/>
      <c r="N276" s="139"/>
      <c r="O276" s="139"/>
      <c r="P276" s="139">
        <f t="shared" si="111"/>
        <v>0</v>
      </c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  <c r="IW276" s="23"/>
      <c r="IX276" s="23"/>
      <c r="IY276" s="23"/>
      <c r="IZ276" s="23"/>
      <c r="JA276" s="23"/>
      <c r="JB276" s="23"/>
      <c r="JC276" s="23"/>
      <c r="JD276" s="23"/>
      <c r="JE276" s="23"/>
      <c r="JF276" s="23"/>
      <c r="JG276" s="23"/>
      <c r="JH276" s="23"/>
      <c r="JI276" s="23"/>
      <c r="JJ276" s="23"/>
      <c r="JK276" s="23"/>
      <c r="JL276" s="23"/>
      <c r="JM276" s="23"/>
      <c r="JN276" s="23"/>
      <c r="JO276" s="23"/>
      <c r="JP276" s="23"/>
      <c r="JQ276" s="23"/>
      <c r="JR276" s="23"/>
      <c r="JS276" s="23"/>
      <c r="JT276" s="23"/>
      <c r="JU276" s="23"/>
      <c r="JV276" s="23"/>
      <c r="JW276" s="23"/>
      <c r="JX276" s="23"/>
      <c r="JY276" s="23"/>
      <c r="JZ276" s="23"/>
      <c r="KA276" s="23"/>
      <c r="KB276" s="23"/>
      <c r="KC276" s="23"/>
      <c r="KD276" s="23"/>
      <c r="KE276" s="23"/>
      <c r="KF276" s="23"/>
      <c r="KG276" s="23"/>
      <c r="KH276" s="23"/>
      <c r="KI276" s="23"/>
      <c r="KJ276" s="23"/>
      <c r="KK276" s="23"/>
      <c r="KL276" s="23"/>
      <c r="KM276" s="23"/>
      <c r="KN276" s="23"/>
      <c r="KO276" s="23"/>
      <c r="KP276" s="23"/>
      <c r="KQ276" s="23"/>
      <c r="KR276" s="23"/>
      <c r="KS276" s="23"/>
      <c r="KT276" s="23"/>
      <c r="KU276" s="23"/>
      <c r="KV276" s="23"/>
      <c r="KW276" s="23"/>
      <c r="KX276" s="23"/>
      <c r="KY276" s="23"/>
      <c r="KZ276" s="23"/>
      <c r="LA276" s="23"/>
      <c r="LB276" s="23"/>
      <c r="LC276" s="23"/>
      <c r="LD276" s="23"/>
      <c r="LE276" s="23"/>
      <c r="LF276" s="23"/>
      <c r="LG276" s="23"/>
      <c r="LH276" s="23"/>
      <c r="LI276" s="23"/>
      <c r="LJ276" s="23"/>
      <c r="LK276" s="23"/>
      <c r="LL276" s="23"/>
      <c r="LM276" s="23"/>
      <c r="LN276" s="23"/>
      <c r="LO276" s="23"/>
      <c r="LP276" s="23"/>
      <c r="LQ276" s="23"/>
      <c r="LR276" s="23"/>
      <c r="LS276" s="23"/>
      <c r="LT276" s="23"/>
      <c r="LU276" s="23"/>
      <c r="LV276" s="23"/>
      <c r="LW276" s="23"/>
      <c r="LX276" s="23"/>
      <c r="LY276" s="23"/>
      <c r="LZ276" s="23"/>
      <c r="MA276" s="23"/>
      <c r="MB276" s="23"/>
      <c r="MC276" s="23"/>
      <c r="MD276" s="23"/>
      <c r="ME276" s="23"/>
      <c r="MF276" s="23"/>
      <c r="MG276" s="23"/>
      <c r="MH276" s="23"/>
      <c r="MI276" s="23"/>
      <c r="MJ276" s="23"/>
      <c r="MK276" s="23"/>
      <c r="ML276" s="23"/>
      <c r="MM276" s="23"/>
      <c r="MN276" s="23"/>
      <c r="MO276" s="23"/>
      <c r="MP276" s="23"/>
      <c r="MQ276" s="23"/>
      <c r="MR276" s="23"/>
      <c r="MS276" s="23"/>
      <c r="MT276" s="23"/>
      <c r="MU276" s="23"/>
      <c r="MV276" s="23"/>
      <c r="MW276" s="23"/>
      <c r="MX276" s="23"/>
      <c r="MY276" s="23"/>
      <c r="MZ276" s="23"/>
      <c r="NA276" s="23"/>
      <c r="NB276" s="23"/>
      <c r="NC276" s="23"/>
      <c r="ND276" s="23"/>
      <c r="NE276" s="23"/>
      <c r="NF276" s="23"/>
      <c r="NG276" s="23"/>
      <c r="NH276" s="23"/>
      <c r="NI276" s="23"/>
      <c r="NJ276" s="23"/>
      <c r="NK276" s="23"/>
      <c r="NL276" s="23"/>
      <c r="NM276" s="23"/>
      <c r="NN276" s="23"/>
      <c r="NO276" s="23"/>
      <c r="NP276" s="23"/>
      <c r="NQ276" s="23"/>
      <c r="NR276" s="23"/>
      <c r="NS276" s="23"/>
      <c r="NT276" s="23"/>
      <c r="NU276" s="23"/>
      <c r="NV276" s="23"/>
      <c r="NW276" s="23"/>
      <c r="NX276" s="23"/>
      <c r="NY276" s="23"/>
      <c r="NZ276" s="23"/>
      <c r="OA276" s="23"/>
      <c r="OB276" s="23"/>
      <c r="OC276" s="23"/>
      <c r="OD276" s="23"/>
      <c r="OE276" s="23"/>
      <c r="OF276" s="23"/>
      <c r="OG276" s="23"/>
      <c r="OH276" s="23"/>
      <c r="OI276" s="23"/>
      <c r="OJ276" s="23"/>
      <c r="OK276" s="23"/>
      <c r="OL276" s="23"/>
      <c r="OM276" s="23"/>
      <c r="ON276" s="23"/>
      <c r="OO276" s="23"/>
      <c r="OP276" s="23"/>
      <c r="OQ276" s="23"/>
      <c r="OR276" s="23"/>
      <c r="OS276" s="23"/>
      <c r="OT276" s="23"/>
      <c r="OU276" s="23"/>
      <c r="OV276" s="23"/>
      <c r="OW276" s="23"/>
      <c r="OX276" s="23"/>
      <c r="OY276" s="23"/>
      <c r="OZ276" s="23"/>
      <c r="PA276" s="23"/>
      <c r="PB276" s="23"/>
      <c r="PC276" s="23"/>
      <c r="PD276" s="23"/>
      <c r="PE276" s="23"/>
      <c r="PF276" s="23"/>
      <c r="PG276" s="23"/>
      <c r="PH276" s="23"/>
      <c r="PI276" s="23"/>
      <c r="PJ276" s="23"/>
      <c r="PK276" s="23"/>
      <c r="PL276" s="23"/>
      <c r="PM276" s="23"/>
      <c r="PN276" s="23"/>
      <c r="PO276" s="23"/>
      <c r="PP276" s="23"/>
      <c r="PQ276" s="23"/>
      <c r="PR276" s="23"/>
      <c r="PS276" s="23"/>
      <c r="PT276" s="23"/>
      <c r="PU276" s="23"/>
      <c r="PV276" s="23"/>
      <c r="PW276" s="23"/>
      <c r="PX276" s="23"/>
      <c r="PY276" s="23"/>
      <c r="PZ276" s="23"/>
      <c r="QA276" s="23"/>
      <c r="QB276" s="23"/>
      <c r="QC276" s="23"/>
      <c r="QD276" s="23"/>
      <c r="QE276" s="23"/>
      <c r="QF276" s="23"/>
      <c r="QG276" s="23"/>
      <c r="QH276" s="23"/>
      <c r="QI276" s="23"/>
      <c r="QJ276" s="23"/>
      <c r="QK276" s="23"/>
      <c r="QL276" s="23"/>
      <c r="QM276" s="23"/>
      <c r="QN276" s="23"/>
      <c r="QO276" s="23"/>
      <c r="QP276" s="23"/>
      <c r="QQ276" s="23"/>
      <c r="QR276" s="23"/>
      <c r="QS276" s="23"/>
      <c r="QT276" s="23"/>
      <c r="QU276" s="23"/>
      <c r="QV276" s="23"/>
      <c r="QW276" s="23"/>
      <c r="QX276" s="23"/>
      <c r="QY276" s="23"/>
      <c r="QZ276" s="23"/>
      <c r="RA276" s="23"/>
      <c r="RB276" s="23"/>
      <c r="RC276" s="23"/>
      <c r="RD276" s="23"/>
      <c r="RE276" s="23"/>
      <c r="RF276" s="23"/>
      <c r="RG276" s="23"/>
      <c r="RH276" s="23"/>
      <c r="RI276" s="23"/>
      <c r="RJ276" s="23"/>
      <c r="RK276" s="23"/>
      <c r="RL276" s="23"/>
      <c r="RM276" s="23"/>
      <c r="RN276" s="23"/>
      <c r="RO276" s="23"/>
      <c r="RP276" s="23"/>
      <c r="RQ276" s="23"/>
      <c r="RR276" s="23"/>
      <c r="RS276" s="23"/>
      <c r="RT276" s="23"/>
      <c r="RU276" s="23"/>
      <c r="RV276" s="23"/>
      <c r="RW276" s="23"/>
      <c r="RX276" s="23"/>
      <c r="RY276" s="23"/>
      <c r="RZ276" s="23"/>
      <c r="SA276" s="23"/>
      <c r="SB276" s="23"/>
      <c r="SC276" s="23"/>
      <c r="SD276" s="23"/>
      <c r="SE276" s="23"/>
      <c r="SF276" s="23"/>
      <c r="SG276" s="23"/>
      <c r="SH276" s="23"/>
      <c r="SI276" s="23"/>
      <c r="SJ276" s="23"/>
      <c r="SK276" s="23"/>
      <c r="SL276" s="23"/>
      <c r="SM276" s="23"/>
      <c r="SN276" s="23"/>
      <c r="SO276" s="23"/>
      <c r="SP276" s="23"/>
      <c r="SQ276" s="23"/>
      <c r="SR276" s="23"/>
      <c r="SS276" s="23"/>
      <c r="ST276" s="23"/>
      <c r="SU276" s="23"/>
      <c r="SV276" s="23"/>
      <c r="SW276" s="23"/>
      <c r="SX276" s="23"/>
      <c r="SY276" s="23"/>
      <c r="SZ276" s="23"/>
      <c r="TA276" s="23"/>
      <c r="TB276" s="23"/>
      <c r="TC276" s="23"/>
      <c r="TD276" s="23"/>
      <c r="TE276" s="23"/>
    </row>
    <row r="277" spans="1:525" s="22" customFormat="1" ht="36" customHeight="1" x14ac:dyDescent="0.25">
      <c r="A277" s="56" t="s">
        <v>608</v>
      </c>
      <c r="B277" s="84">
        <v>9750</v>
      </c>
      <c r="C277" s="56" t="s">
        <v>44</v>
      </c>
      <c r="D277" s="57" t="s">
        <v>508</v>
      </c>
      <c r="E277" s="139">
        <f t="shared" ref="E277" si="127">F277+I277</f>
        <v>0</v>
      </c>
      <c r="F277" s="139"/>
      <c r="G277" s="139"/>
      <c r="H277" s="139"/>
      <c r="I277" s="139"/>
      <c r="J277" s="139">
        <f t="shared" ref="J277" si="128">L277+O277</f>
        <v>800000</v>
      </c>
      <c r="K277" s="139">
        <v>800000</v>
      </c>
      <c r="L277" s="139"/>
      <c r="M277" s="139"/>
      <c r="N277" s="139"/>
      <c r="O277" s="139">
        <v>800000</v>
      </c>
      <c r="P277" s="139">
        <f t="shared" si="111"/>
        <v>800000</v>
      </c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</row>
    <row r="278" spans="1:525" s="22" customFormat="1" ht="20.25" customHeight="1" x14ac:dyDescent="0.25">
      <c r="A278" s="56" t="s">
        <v>201</v>
      </c>
      <c r="B278" s="84" t="str">
        <f>'дод 3'!A261</f>
        <v>9770</v>
      </c>
      <c r="C278" s="84" t="str">
        <f>'дод 3'!B261</f>
        <v>0180</v>
      </c>
      <c r="D278" s="57" t="str">
        <f>'дод 3'!C261</f>
        <v>Інші субвенції з місцевого бюджету</v>
      </c>
      <c r="E278" s="139">
        <f t="shared" si="110"/>
        <v>8896240</v>
      </c>
      <c r="F278" s="139">
        <v>8896240</v>
      </c>
      <c r="G278" s="139"/>
      <c r="H278" s="139"/>
      <c r="I278" s="139"/>
      <c r="J278" s="139">
        <f t="shared" si="112"/>
        <v>3103760</v>
      </c>
      <c r="K278" s="139">
        <v>3103760</v>
      </c>
      <c r="L278" s="139"/>
      <c r="M278" s="139"/>
      <c r="N278" s="139"/>
      <c r="O278" s="139">
        <v>3103760</v>
      </c>
      <c r="P278" s="139">
        <f t="shared" si="111"/>
        <v>12000000</v>
      </c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</row>
    <row r="279" spans="1:525" s="27" customFormat="1" ht="33.75" customHeight="1" x14ac:dyDescent="0.25">
      <c r="A279" s="96" t="s">
        <v>26</v>
      </c>
      <c r="B279" s="98"/>
      <c r="C279" s="98"/>
      <c r="D279" s="93" t="s">
        <v>33</v>
      </c>
      <c r="E279" s="137">
        <f>E280</f>
        <v>3433200</v>
      </c>
      <c r="F279" s="137">
        <f t="shared" ref="F279:J280" si="129">F280</f>
        <v>3433200</v>
      </c>
      <c r="G279" s="137">
        <f t="shared" si="129"/>
        <v>2493300</v>
      </c>
      <c r="H279" s="137">
        <f t="shared" si="129"/>
        <v>164100</v>
      </c>
      <c r="I279" s="137">
        <f t="shared" si="129"/>
        <v>0</v>
      </c>
      <c r="J279" s="137">
        <f t="shared" si="129"/>
        <v>0</v>
      </c>
      <c r="K279" s="137">
        <f t="shared" ref="K279:K280" si="130">K280</f>
        <v>0</v>
      </c>
      <c r="L279" s="137">
        <f t="shared" ref="L279:L280" si="131">L280</f>
        <v>0</v>
      </c>
      <c r="M279" s="137">
        <f t="shared" ref="M279:M280" si="132">M280</f>
        <v>0</v>
      </c>
      <c r="N279" s="137">
        <f t="shared" ref="N279:N280" si="133">N280</f>
        <v>0</v>
      </c>
      <c r="O279" s="137">
        <f t="shared" ref="O279:P280" si="134">O280</f>
        <v>0</v>
      </c>
      <c r="P279" s="137">
        <f t="shared" si="134"/>
        <v>3433200</v>
      </c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/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  <c r="FK279" s="32"/>
      <c r="FL279" s="32"/>
      <c r="FM279" s="32"/>
      <c r="FN279" s="32"/>
      <c r="FO279" s="32"/>
      <c r="FP279" s="32"/>
      <c r="FQ279" s="32"/>
      <c r="FR279" s="32"/>
      <c r="FS279" s="32"/>
      <c r="FT279" s="32"/>
      <c r="FU279" s="32"/>
      <c r="FV279" s="32"/>
      <c r="FW279" s="32"/>
      <c r="FX279" s="32"/>
      <c r="FY279" s="32"/>
      <c r="FZ279" s="32"/>
      <c r="GA279" s="32"/>
      <c r="GB279" s="32"/>
      <c r="GC279" s="32"/>
      <c r="GD279" s="32"/>
      <c r="GE279" s="32"/>
      <c r="GF279" s="32"/>
      <c r="GG279" s="32"/>
      <c r="GH279" s="32"/>
      <c r="GI279" s="32"/>
      <c r="GJ279" s="32"/>
      <c r="GK279" s="32"/>
      <c r="GL279" s="32"/>
      <c r="GM279" s="32"/>
      <c r="GN279" s="32"/>
      <c r="GO279" s="32"/>
      <c r="GP279" s="32"/>
      <c r="GQ279" s="32"/>
      <c r="GR279" s="32"/>
      <c r="GS279" s="32"/>
      <c r="GT279" s="32"/>
      <c r="GU279" s="32"/>
      <c r="GV279" s="32"/>
      <c r="GW279" s="32"/>
      <c r="GX279" s="32"/>
      <c r="GY279" s="32"/>
      <c r="GZ279" s="32"/>
      <c r="HA279" s="32"/>
      <c r="HB279" s="32"/>
      <c r="HC279" s="32"/>
      <c r="HD279" s="32"/>
      <c r="HE279" s="32"/>
      <c r="HF279" s="32"/>
      <c r="HG279" s="32"/>
      <c r="HH279" s="32"/>
      <c r="HI279" s="32"/>
      <c r="HJ279" s="32"/>
      <c r="HK279" s="32"/>
      <c r="HL279" s="32"/>
      <c r="HM279" s="32"/>
      <c r="HN279" s="32"/>
      <c r="HO279" s="32"/>
      <c r="HP279" s="32"/>
      <c r="HQ279" s="32"/>
      <c r="HR279" s="32"/>
      <c r="HS279" s="32"/>
      <c r="HT279" s="32"/>
      <c r="HU279" s="32"/>
      <c r="HV279" s="32"/>
      <c r="HW279" s="32"/>
      <c r="HX279" s="32"/>
      <c r="HY279" s="32"/>
      <c r="HZ279" s="32"/>
      <c r="IA279" s="32"/>
      <c r="IB279" s="32"/>
      <c r="IC279" s="32"/>
      <c r="ID279" s="32"/>
      <c r="IE279" s="32"/>
      <c r="IF279" s="32"/>
      <c r="IG279" s="32"/>
      <c r="IH279" s="32"/>
      <c r="II279" s="32"/>
      <c r="IJ279" s="32"/>
      <c r="IK279" s="32"/>
      <c r="IL279" s="32"/>
      <c r="IM279" s="32"/>
      <c r="IN279" s="32"/>
      <c r="IO279" s="32"/>
      <c r="IP279" s="32"/>
      <c r="IQ279" s="32"/>
      <c r="IR279" s="32"/>
      <c r="IS279" s="32"/>
      <c r="IT279" s="32"/>
      <c r="IU279" s="32"/>
      <c r="IV279" s="32"/>
      <c r="IW279" s="32"/>
      <c r="IX279" s="32"/>
      <c r="IY279" s="32"/>
      <c r="IZ279" s="32"/>
      <c r="JA279" s="32"/>
      <c r="JB279" s="32"/>
      <c r="JC279" s="32"/>
      <c r="JD279" s="32"/>
      <c r="JE279" s="32"/>
      <c r="JF279" s="32"/>
      <c r="JG279" s="32"/>
      <c r="JH279" s="32"/>
      <c r="JI279" s="32"/>
      <c r="JJ279" s="32"/>
      <c r="JK279" s="32"/>
      <c r="JL279" s="32"/>
      <c r="JM279" s="32"/>
      <c r="JN279" s="32"/>
      <c r="JO279" s="32"/>
      <c r="JP279" s="32"/>
      <c r="JQ279" s="32"/>
      <c r="JR279" s="32"/>
      <c r="JS279" s="32"/>
      <c r="JT279" s="32"/>
      <c r="JU279" s="32"/>
      <c r="JV279" s="32"/>
      <c r="JW279" s="32"/>
      <c r="JX279" s="32"/>
      <c r="JY279" s="32"/>
      <c r="JZ279" s="32"/>
      <c r="KA279" s="32"/>
      <c r="KB279" s="32"/>
      <c r="KC279" s="32"/>
      <c r="KD279" s="32"/>
      <c r="KE279" s="32"/>
      <c r="KF279" s="32"/>
      <c r="KG279" s="32"/>
      <c r="KH279" s="32"/>
      <c r="KI279" s="32"/>
      <c r="KJ279" s="32"/>
      <c r="KK279" s="32"/>
      <c r="KL279" s="32"/>
      <c r="KM279" s="32"/>
      <c r="KN279" s="32"/>
      <c r="KO279" s="32"/>
      <c r="KP279" s="32"/>
      <c r="KQ279" s="32"/>
      <c r="KR279" s="32"/>
      <c r="KS279" s="32"/>
      <c r="KT279" s="32"/>
      <c r="KU279" s="32"/>
      <c r="KV279" s="32"/>
      <c r="KW279" s="32"/>
      <c r="KX279" s="32"/>
      <c r="KY279" s="32"/>
      <c r="KZ279" s="32"/>
      <c r="LA279" s="32"/>
      <c r="LB279" s="32"/>
      <c r="LC279" s="32"/>
      <c r="LD279" s="32"/>
      <c r="LE279" s="32"/>
      <c r="LF279" s="32"/>
      <c r="LG279" s="32"/>
      <c r="LH279" s="32"/>
      <c r="LI279" s="32"/>
      <c r="LJ279" s="32"/>
      <c r="LK279" s="32"/>
      <c r="LL279" s="32"/>
      <c r="LM279" s="32"/>
      <c r="LN279" s="32"/>
      <c r="LO279" s="32"/>
      <c r="LP279" s="32"/>
      <c r="LQ279" s="32"/>
      <c r="LR279" s="32"/>
      <c r="LS279" s="32"/>
      <c r="LT279" s="32"/>
      <c r="LU279" s="32"/>
      <c r="LV279" s="32"/>
      <c r="LW279" s="32"/>
      <c r="LX279" s="32"/>
      <c r="LY279" s="32"/>
      <c r="LZ279" s="32"/>
      <c r="MA279" s="32"/>
      <c r="MB279" s="32"/>
      <c r="MC279" s="32"/>
      <c r="MD279" s="32"/>
      <c r="ME279" s="32"/>
      <c r="MF279" s="32"/>
      <c r="MG279" s="32"/>
      <c r="MH279" s="32"/>
      <c r="MI279" s="32"/>
      <c r="MJ279" s="32"/>
      <c r="MK279" s="32"/>
      <c r="ML279" s="32"/>
      <c r="MM279" s="32"/>
      <c r="MN279" s="32"/>
      <c r="MO279" s="32"/>
      <c r="MP279" s="32"/>
      <c r="MQ279" s="32"/>
      <c r="MR279" s="32"/>
      <c r="MS279" s="32"/>
      <c r="MT279" s="32"/>
      <c r="MU279" s="32"/>
      <c r="MV279" s="32"/>
      <c r="MW279" s="32"/>
      <c r="MX279" s="32"/>
      <c r="MY279" s="32"/>
      <c r="MZ279" s="32"/>
      <c r="NA279" s="32"/>
      <c r="NB279" s="32"/>
      <c r="NC279" s="32"/>
      <c r="ND279" s="32"/>
      <c r="NE279" s="32"/>
      <c r="NF279" s="32"/>
      <c r="NG279" s="32"/>
      <c r="NH279" s="32"/>
      <c r="NI279" s="32"/>
      <c r="NJ279" s="32"/>
      <c r="NK279" s="32"/>
      <c r="NL279" s="32"/>
      <c r="NM279" s="32"/>
      <c r="NN279" s="32"/>
      <c r="NO279" s="32"/>
      <c r="NP279" s="32"/>
      <c r="NQ279" s="32"/>
      <c r="NR279" s="32"/>
      <c r="NS279" s="32"/>
      <c r="NT279" s="32"/>
      <c r="NU279" s="32"/>
      <c r="NV279" s="32"/>
      <c r="NW279" s="32"/>
      <c r="NX279" s="32"/>
      <c r="NY279" s="32"/>
      <c r="NZ279" s="32"/>
      <c r="OA279" s="32"/>
      <c r="OB279" s="32"/>
      <c r="OC279" s="32"/>
      <c r="OD279" s="32"/>
      <c r="OE279" s="32"/>
      <c r="OF279" s="32"/>
      <c r="OG279" s="32"/>
      <c r="OH279" s="32"/>
      <c r="OI279" s="32"/>
      <c r="OJ279" s="32"/>
      <c r="OK279" s="32"/>
      <c r="OL279" s="32"/>
      <c r="OM279" s="32"/>
      <c r="ON279" s="32"/>
      <c r="OO279" s="32"/>
      <c r="OP279" s="32"/>
      <c r="OQ279" s="32"/>
      <c r="OR279" s="32"/>
      <c r="OS279" s="32"/>
      <c r="OT279" s="32"/>
      <c r="OU279" s="32"/>
      <c r="OV279" s="32"/>
      <c r="OW279" s="32"/>
      <c r="OX279" s="32"/>
      <c r="OY279" s="32"/>
      <c r="OZ279" s="32"/>
      <c r="PA279" s="32"/>
      <c r="PB279" s="32"/>
      <c r="PC279" s="32"/>
      <c r="PD279" s="32"/>
      <c r="PE279" s="32"/>
      <c r="PF279" s="32"/>
      <c r="PG279" s="32"/>
      <c r="PH279" s="32"/>
      <c r="PI279" s="32"/>
      <c r="PJ279" s="32"/>
      <c r="PK279" s="32"/>
      <c r="PL279" s="32"/>
      <c r="PM279" s="32"/>
      <c r="PN279" s="32"/>
      <c r="PO279" s="32"/>
      <c r="PP279" s="32"/>
      <c r="PQ279" s="32"/>
      <c r="PR279" s="32"/>
      <c r="PS279" s="32"/>
      <c r="PT279" s="32"/>
      <c r="PU279" s="32"/>
      <c r="PV279" s="32"/>
      <c r="PW279" s="32"/>
      <c r="PX279" s="32"/>
      <c r="PY279" s="32"/>
      <c r="PZ279" s="32"/>
      <c r="QA279" s="32"/>
      <c r="QB279" s="32"/>
      <c r="QC279" s="32"/>
      <c r="QD279" s="32"/>
      <c r="QE279" s="32"/>
      <c r="QF279" s="32"/>
      <c r="QG279" s="32"/>
      <c r="QH279" s="32"/>
      <c r="QI279" s="32"/>
      <c r="QJ279" s="32"/>
      <c r="QK279" s="32"/>
      <c r="QL279" s="32"/>
      <c r="QM279" s="32"/>
      <c r="QN279" s="32"/>
      <c r="QO279" s="32"/>
      <c r="QP279" s="32"/>
      <c r="QQ279" s="32"/>
      <c r="QR279" s="32"/>
      <c r="QS279" s="32"/>
      <c r="QT279" s="32"/>
      <c r="QU279" s="32"/>
      <c r="QV279" s="32"/>
      <c r="QW279" s="32"/>
      <c r="QX279" s="32"/>
      <c r="QY279" s="32"/>
      <c r="QZ279" s="32"/>
      <c r="RA279" s="32"/>
      <c r="RB279" s="32"/>
      <c r="RC279" s="32"/>
      <c r="RD279" s="32"/>
      <c r="RE279" s="32"/>
      <c r="RF279" s="32"/>
      <c r="RG279" s="32"/>
      <c r="RH279" s="32"/>
      <c r="RI279" s="32"/>
      <c r="RJ279" s="32"/>
      <c r="RK279" s="32"/>
      <c r="RL279" s="32"/>
      <c r="RM279" s="32"/>
      <c r="RN279" s="32"/>
      <c r="RO279" s="32"/>
      <c r="RP279" s="32"/>
      <c r="RQ279" s="32"/>
      <c r="RR279" s="32"/>
      <c r="RS279" s="32"/>
      <c r="RT279" s="32"/>
      <c r="RU279" s="32"/>
      <c r="RV279" s="32"/>
      <c r="RW279" s="32"/>
      <c r="RX279" s="32"/>
      <c r="RY279" s="32"/>
      <c r="RZ279" s="32"/>
      <c r="SA279" s="32"/>
      <c r="SB279" s="32"/>
      <c r="SC279" s="32"/>
      <c r="SD279" s="32"/>
      <c r="SE279" s="32"/>
      <c r="SF279" s="32"/>
      <c r="SG279" s="32"/>
      <c r="SH279" s="32"/>
      <c r="SI279" s="32"/>
      <c r="SJ279" s="32"/>
      <c r="SK279" s="32"/>
      <c r="SL279" s="32"/>
      <c r="SM279" s="32"/>
      <c r="SN279" s="32"/>
      <c r="SO279" s="32"/>
      <c r="SP279" s="32"/>
      <c r="SQ279" s="32"/>
      <c r="SR279" s="32"/>
      <c r="SS279" s="32"/>
      <c r="ST279" s="32"/>
      <c r="SU279" s="32"/>
      <c r="SV279" s="32"/>
      <c r="SW279" s="32"/>
      <c r="SX279" s="32"/>
      <c r="SY279" s="32"/>
      <c r="SZ279" s="32"/>
      <c r="TA279" s="32"/>
      <c r="TB279" s="32"/>
      <c r="TC279" s="32"/>
      <c r="TD279" s="32"/>
      <c r="TE279" s="32"/>
    </row>
    <row r="280" spans="1:525" s="34" customFormat="1" ht="36.75" customHeight="1" x14ac:dyDescent="0.25">
      <c r="A280" s="86" t="s">
        <v>116</v>
      </c>
      <c r="B280" s="95"/>
      <c r="C280" s="95"/>
      <c r="D280" s="70" t="s">
        <v>33</v>
      </c>
      <c r="E280" s="138">
        <f>E281</f>
        <v>3433200</v>
      </c>
      <c r="F280" s="138">
        <f t="shared" si="129"/>
        <v>3433200</v>
      </c>
      <c r="G280" s="138">
        <f t="shared" si="129"/>
        <v>2493300</v>
      </c>
      <c r="H280" s="138">
        <f t="shared" si="129"/>
        <v>164100</v>
      </c>
      <c r="I280" s="138">
        <f t="shared" si="129"/>
        <v>0</v>
      </c>
      <c r="J280" s="138">
        <f t="shared" si="129"/>
        <v>0</v>
      </c>
      <c r="K280" s="138">
        <f t="shared" si="130"/>
        <v>0</v>
      </c>
      <c r="L280" s="138">
        <f t="shared" si="131"/>
        <v>0</v>
      </c>
      <c r="M280" s="138">
        <f t="shared" si="132"/>
        <v>0</v>
      </c>
      <c r="N280" s="138">
        <f t="shared" si="133"/>
        <v>0</v>
      </c>
      <c r="O280" s="138">
        <f t="shared" si="134"/>
        <v>0</v>
      </c>
      <c r="P280" s="138">
        <f t="shared" si="134"/>
        <v>3433200</v>
      </c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  <c r="IW280" s="33"/>
      <c r="IX280" s="33"/>
      <c r="IY280" s="33"/>
      <c r="IZ280" s="33"/>
      <c r="JA280" s="33"/>
      <c r="JB280" s="33"/>
      <c r="JC280" s="33"/>
      <c r="JD280" s="33"/>
      <c r="JE280" s="33"/>
      <c r="JF280" s="33"/>
      <c r="JG280" s="33"/>
      <c r="JH280" s="33"/>
      <c r="JI280" s="33"/>
      <c r="JJ280" s="33"/>
      <c r="JK280" s="33"/>
      <c r="JL280" s="33"/>
      <c r="JM280" s="33"/>
      <c r="JN280" s="33"/>
      <c r="JO280" s="33"/>
      <c r="JP280" s="33"/>
      <c r="JQ280" s="33"/>
      <c r="JR280" s="33"/>
      <c r="JS280" s="33"/>
      <c r="JT280" s="33"/>
      <c r="JU280" s="33"/>
      <c r="JV280" s="33"/>
      <c r="JW280" s="33"/>
      <c r="JX280" s="33"/>
      <c r="JY280" s="33"/>
      <c r="JZ280" s="33"/>
      <c r="KA280" s="33"/>
      <c r="KB280" s="33"/>
      <c r="KC280" s="33"/>
      <c r="KD280" s="33"/>
      <c r="KE280" s="33"/>
      <c r="KF280" s="33"/>
      <c r="KG280" s="33"/>
      <c r="KH280" s="33"/>
      <c r="KI280" s="33"/>
      <c r="KJ280" s="33"/>
      <c r="KK280" s="33"/>
      <c r="KL280" s="33"/>
      <c r="KM280" s="33"/>
      <c r="KN280" s="33"/>
      <c r="KO280" s="33"/>
      <c r="KP280" s="33"/>
      <c r="KQ280" s="33"/>
      <c r="KR280" s="33"/>
      <c r="KS280" s="33"/>
      <c r="KT280" s="33"/>
      <c r="KU280" s="33"/>
      <c r="KV280" s="33"/>
      <c r="KW280" s="33"/>
      <c r="KX280" s="33"/>
      <c r="KY280" s="33"/>
      <c r="KZ280" s="33"/>
      <c r="LA280" s="33"/>
      <c r="LB280" s="33"/>
      <c r="LC280" s="33"/>
      <c r="LD280" s="33"/>
      <c r="LE280" s="33"/>
      <c r="LF280" s="33"/>
      <c r="LG280" s="33"/>
      <c r="LH280" s="33"/>
      <c r="LI280" s="33"/>
      <c r="LJ280" s="33"/>
      <c r="LK280" s="33"/>
      <c r="LL280" s="33"/>
      <c r="LM280" s="33"/>
      <c r="LN280" s="33"/>
      <c r="LO280" s="33"/>
      <c r="LP280" s="33"/>
      <c r="LQ280" s="33"/>
      <c r="LR280" s="33"/>
      <c r="LS280" s="33"/>
      <c r="LT280" s="33"/>
      <c r="LU280" s="33"/>
      <c r="LV280" s="33"/>
      <c r="LW280" s="33"/>
      <c r="LX280" s="33"/>
      <c r="LY280" s="33"/>
      <c r="LZ280" s="33"/>
      <c r="MA280" s="33"/>
      <c r="MB280" s="33"/>
      <c r="MC280" s="33"/>
      <c r="MD280" s="33"/>
      <c r="ME280" s="33"/>
      <c r="MF280" s="33"/>
      <c r="MG280" s="33"/>
      <c r="MH280" s="33"/>
      <c r="MI280" s="33"/>
      <c r="MJ280" s="33"/>
      <c r="MK280" s="33"/>
      <c r="ML280" s="33"/>
      <c r="MM280" s="33"/>
      <c r="MN280" s="33"/>
      <c r="MO280" s="33"/>
      <c r="MP280" s="33"/>
      <c r="MQ280" s="33"/>
      <c r="MR280" s="33"/>
      <c r="MS280" s="33"/>
      <c r="MT280" s="33"/>
      <c r="MU280" s="33"/>
      <c r="MV280" s="33"/>
      <c r="MW280" s="33"/>
      <c r="MX280" s="33"/>
      <c r="MY280" s="33"/>
      <c r="MZ280" s="33"/>
      <c r="NA280" s="33"/>
      <c r="NB280" s="33"/>
      <c r="NC280" s="33"/>
      <c r="ND280" s="33"/>
      <c r="NE280" s="33"/>
      <c r="NF280" s="33"/>
      <c r="NG280" s="33"/>
      <c r="NH280" s="33"/>
      <c r="NI280" s="33"/>
      <c r="NJ280" s="33"/>
      <c r="NK280" s="33"/>
      <c r="NL280" s="33"/>
      <c r="NM280" s="33"/>
      <c r="NN280" s="33"/>
      <c r="NO280" s="33"/>
      <c r="NP280" s="33"/>
      <c r="NQ280" s="33"/>
      <c r="NR280" s="33"/>
      <c r="NS280" s="33"/>
      <c r="NT280" s="33"/>
      <c r="NU280" s="33"/>
      <c r="NV280" s="33"/>
      <c r="NW280" s="33"/>
      <c r="NX280" s="33"/>
      <c r="NY280" s="33"/>
      <c r="NZ280" s="33"/>
      <c r="OA280" s="33"/>
      <c r="OB280" s="33"/>
      <c r="OC280" s="33"/>
      <c r="OD280" s="33"/>
      <c r="OE280" s="33"/>
      <c r="OF280" s="33"/>
      <c r="OG280" s="33"/>
      <c r="OH280" s="33"/>
      <c r="OI280" s="33"/>
      <c r="OJ280" s="33"/>
      <c r="OK280" s="33"/>
      <c r="OL280" s="33"/>
      <c r="OM280" s="33"/>
      <c r="ON280" s="33"/>
      <c r="OO280" s="33"/>
      <c r="OP280" s="33"/>
      <c r="OQ280" s="33"/>
      <c r="OR280" s="33"/>
      <c r="OS280" s="33"/>
      <c r="OT280" s="33"/>
      <c r="OU280" s="33"/>
      <c r="OV280" s="33"/>
      <c r="OW280" s="33"/>
      <c r="OX280" s="33"/>
      <c r="OY280" s="33"/>
      <c r="OZ280" s="33"/>
      <c r="PA280" s="33"/>
      <c r="PB280" s="33"/>
      <c r="PC280" s="33"/>
      <c r="PD280" s="33"/>
      <c r="PE280" s="33"/>
      <c r="PF280" s="33"/>
      <c r="PG280" s="33"/>
      <c r="PH280" s="33"/>
      <c r="PI280" s="33"/>
      <c r="PJ280" s="33"/>
      <c r="PK280" s="33"/>
      <c r="PL280" s="33"/>
      <c r="PM280" s="33"/>
      <c r="PN280" s="33"/>
      <c r="PO280" s="33"/>
      <c r="PP280" s="33"/>
      <c r="PQ280" s="33"/>
      <c r="PR280" s="33"/>
      <c r="PS280" s="33"/>
      <c r="PT280" s="33"/>
      <c r="PU280" s="33"/>
      <c r="PV280" s="33"/>
      <c r="PW280" s="33"/>
      <c r="PX280" s="33"/>
      <c r="PY280" s="33"/>
      <c r="PZ280" s="33"/>
      <c r="QA280" s="33"/>
      <c r="QB280" s="33"/>
      <c r="QC280" s="33"/>
      <c r="QD280" s="33"/>
      <c r="QE280" s="33"/>
      <c r="QF280" s="33"/>
      <c r="QG280" s="33"/>
      <c r="QH280" s="33"/>
      <c r="QI280" s="33"/>
      <c r="QJ280" s="33"/>
      <c r="QK280" s="33"/>
      <c r="QL280" s="33"/>
      <c r="QM280" s="33"/>
      <c r="QN280" s="33"/>
      <c r="QO280" s="33"/>
      <c r="QP280" s="33"/>
      <c r="QQ280" s="33"/>
      <c r="QR280" s="33"/>
      <c r="QS280" s="33"/>
      <c r="QT280" s="33"/>
      <c r="QU280" s="33"/>
      <c r="QV280" s="33"/>
      <c r="QW280" s="33"/>
      <c r="QX280" s="33"/>
      <c r="QY280" s="33"/>
      <c r="QZ280" s="33"/>
      <c r="RA280" s="33"/>
      <c r="RB280" s="33"/>
      <c r="RC280" s="33"/>
      <c r="RD280" s="33"/>
      <c r="RE280" s="33"/>
      <c r="RF280" s="33"/>
      <c r="RG280" s="33"/>
      <c r="RH280" s="33"/>
      <c r="RI280" s="33"/>
      <c r="RJ280" s="33"/>
      <c r="RK280" s="33"/>
      <c r="RL280" s="33"/>
      <c r="RM280" s="33"/>
      <c r="RN280" s="33"/>
      <c r="RO280" s="33"/>
      <c r="RP280" s="33"/>
      <c r="RQ280" s="33"/>
      <c r="RR280" s="33"/>
      <c r="RS280" s="33"/>
      <c r="RT280" s="33"/>
      <c r="RU280" s="33"/>
      <c r="RV280" s="33"/>
      <c r="RW280" s="33"/>
      <c r="RX280" s="33"/>
      <c r="RY280" s="33"/>
      <c r="RZ280" s="33"/>
      <c r="SA280" s="33"/>
      <c r="SB280" s="33"/>
      <c r="SC280" s="33"/>
      <c r="SD280" s="33"/>
      <c r="SE280" s="33"/>
      <c r="SF280" s="33"/>
      <c r="SG280" s="33"/>
      <c r="SH280" s="33"/>
      <c r="SI280" s="33"/>
      <c r="SJ280" s="33"/>
      <c r="SK280" s="33"/>
      <c r="SL280" s="33"/>
      <c r="SM280" s="33"/>
      <c r="SN280" s="33"/>
      <c r="SO280" s="33"/>
      <c r="SP280" s="33"/>
      <c r="SQ280" s="33"/>
      <c r="SR280" s="33"/>
      <c r="SS280" s="33"/>
      <c r="ST280" s="33"/>
      <c r="SU280" s="33"/>
      <c r="SV280" s="33"/>
      <c r="SW280" s="33"/>
      <c r="SX280" s="33"/>
      <c r="SY280" s="33"/>
      <c r="SZ280" s="33"/>
      <c r="TA280" s="33"/>
      <c r="TB280" s="33"/>
      <c r="TC280" s="33"/>
      <c r="TD280" s="33"/>
      <c r="TE280" s="33"/>
    </row>
    <row r="281" spans="1:525" s="22" customFormat="1" ht="40.5" customHeight="1" x14ac:dyDescent="0.25">
      <c r="A281" s="56" t="s">
        <v>0</v>
      </c>
      <c r="B281" s="84" t="str">
        <f>'дод 3'!A19</f>
        <v>0160</v>
      </c>
      <c r="C281" s="84" t="str">
        <f>'дод 3'!B19</f>
        <v>0111</v>
      </c>
      <c r="D281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281" s="139">
        <f>F281+I281</f>
        <v>3433200</v>
      </c>
      <c r="F281" s="139">
        <f>7018700-3585500</f>
        <v>3433200</v>
      </c>
      <c r="G281" s="139">
        <f>5432200-2938900</f>
        <v>2493300</v>
      </c>
      <c r="H281" s="139">
        <v>164100</v>
      </c>
      <c r="I281" s="139"/>
      <c r="J281" s="139">
        <f>L281+O281</f>
        <v>0</v>
      </c>
      <c r="K281" s="139">
        <f>8000-8000</f>
        <v>0</v>
      </c>
      <c r="L281" s="139"/>
      <c r="M281" s="139"/>
      <c r="N281" s="139"/>
      <c r="O281" s="139">
        <f>8000-8000</f>
        <v>0</v>
      </c>
      <c r="P281" s="139">
        <f>E281+J281</f>
        <v>3433200</v>
      </c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</row>
    <row r="282" spans="1:525" s="27" customFormat="1" ht="52.5" customHeight="1" x14ac:dyDescent="0.25">
      <c r="A282" s="96" t="s">
        <v>27</v>
      </c>
      <c r="B282" s="98"/>
      <c r="C282" s="98"/>
      <c r="D282" s="93" t="s">
        <v>32</v>
      </c>
      <c r="E282" s="137">
        <f>E283</f>
        <v>5132838</v>
      </c>
      <c r="F282" s="137">
        <f t="shared" ref="F282:J282" si="135">F283</f>
        <v>5132838</v>
      </c>
      <c r="G282" s="137">
        <f t="shared" si="135"/>
        <v>3599700</v>
      </c>
      <c r="H282" s="137">
        <f t="shared" si="135"/>
        <v>0</v>
      </c>
      <c r="I282" s="137">
        <f t="shared" si="135"/>
        <v>0</v>
      </c>
      <c r="J282" s="137">
        <f t="shared" si="135"/>
        <v>358501886</v>
      </c>
      <c r="K282" s="137">
        <f t="shared" ref="K282" si="136">K283</f>
        <v>352596117</v>
      </c>
      <c r="L282" s="137">
        <f t="shared" ref="L282" si="137">L283</f>
        <v>1752000</v>
      </c>
      <c r="M282" s="137">
        <f t="shared" ref="M282" si="138">M283</f>
        <v>1106600</v>
      </c>
      <c r="N282" s="137">
        <f t="shared" ref="N282" si="139">N283</f>
        <v>157500</v>
      </c>
      <c r="O282" s="137">
        <f t="shared" ref="O282:P282" si="140">O283</f>
        <v>356749886</v>
      </c>
      <c r="P282" s="137">
        <f t="shared" si="140"/>
        <v>363634724</v>
      </c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  <c r="IQ282" s="32"/>
      <c r="IR282" s="32"/>
      <c r="IS282" s="32"/>
      <c r="IT282" s="32"/>
      <c r="IU282" s="32"/>
      <c r="IV282" s="32"/>
      <c r="IW282" s="32"/>
      <c r="IX282" s="32"/>
      <c r="IY282" s="32"/>
      <c r="IZ282" s="32"/>
      <c r="JA282" s="32"/>
      <c r="JB282" s="32"/>
      <c r="JC282" s="32"/>
      <c r="JD282" s="32"/>
      <c r="JE282" s="32"/>
      <c r="JF282" s="32"/>
      <c r="JG282" s="32"/>
      <c r="JH282" s="32"/>
      <c r="JI282" s="32"/>
      <c r="JJ282" s="32"/>
      <c r="JK282" s="32"/>
      <c r="JL282" s="32"/>
      <c r="JM282" s="32"/>
      <c r="JN282" s="32"/>
      <c r="JO282" s="32"/>
      <c r="JP282" s="32"/>
      <c r="JQ282" s="32"/>
      <c r="JR282" s="32"/>
      <c r="JS282" s="32"/>
      <c r="JT282" s="32"/>
      <c r="JU282" s="32"/>
      <c r="JV282" s="32"/>
      <c r="JW282" s="32"/>
      <c r="JX282" s="32"/>
      <c r="JY282" s="32"/>
      <c r="JZ282" s="32"/>
      <c r="KA282" s="32"/>
      <c r="KB282" s="32"/>
      <c r="KC282" s="32"/>
      <c r="KD282" s="32"/>
      <c r="KE282" s="32"/>
      <c r="KF282" s="32"/>
      <c r="KG282" s="32"/>
      <c r="KH282" s="32"/>
      <c r="KI282" s="32"/>
      <c r="KJ282" s="32"/>
      <c r="KK282" s="32"/>
      <c r="KL282" s="32"/>
      <c r="KM282" s="32"/>
      <c r="KN282" s="32"/>
      <c r="KO282" s="32"/>
      <c r="KP282" s="32"/>
      <c r="KQ282" s="32"/>
      <c r="KR282" s="32"/>
      <c r="KS282" s="32"/>
      <c r="KT282" s="32"/>
      <c r="KU282" s="32"/>
      <c r="KV282" s="32"/>
      <c r="KW282" s="32"/>
      <c r="KX282" s="32"/>
      <c r="KY282" s="32"/>
      <c r="KZ282" s="32"/>
      <c r="LA282" s="32"/>
      <c r="LB282" s="32"/>
      <c r="LC282" s="32"/>
      <c r="LD282" s="32"/>
      <c r="LE282" s="32"/>
      <c r="LF282" s="32"/>
      <c r="LG282" s="32"/>
      <c r="LH282" s="32"/>
      <c r="LI282" s="32"/>
      <c r="LJ282" s="32"/>
      <c r="LK282" s="32"/>
      <c r="LL282" s="32"/>
      <c r="LM282" s="32"/>
      <c r="LN282" s="32"/>
      <c r="LO282" s="32"/>
      <c r="LP282" s="32"/>
      <c r="LQ282" s="32"/>
      <c r="LR282" s="32"/>
      <c r="LS282" s="32"/>
      <c r="LT282" s="32"/>
      <c r="LU282" s="32"/>
      <c r="LV282" s="32"/>
      <c r="LW282" s="32"/>
      <c r="LX282" s="32"/>
      <c r="LY282" s="32"/>
      <c r="LZ282" s="32"/>
      <c r="MA282" s="32"/>
      <c r="MB282" s="32"/>
      <c r="MC282" s="32"/>
      <c r="MD282" s="32"/>
      <c r="ME282" s="32"/>
      <c r="MF282" s="32"/>
      <c r="MG282" s="32"/>
      <c r="MH282" s="32"/>
      <c r="MI282" s="32"/>
      <c r="MJ282" s="32"/>
      <c r="MK282" s="32"/>
      <c r="ML282" s="32"/>
      <c r="MM282" s="32"/>
      <c r="MN282" s="32"/>
      <c r="MO282" s="32"/>
      <c r="MP282" s="32"/>
      <c r="MQ282" s="32"/>
      <c r="MR282" s="32"/>
      <c r="MS282" s="32"/>
      <c r="MT282" s="32"/>
      <c r="MU282" s="32"/>
      <c r="MV282" s="32"/>
      <c r="MW282" s="32"/>
      <c r="MX282" s="32"/>
      <c r="MY282" s="32"/>
      <c r="MZ282" s="32"/>
      <c r="NA282" s="32"/>
      <c r="NB282" s="32"/>
      <c r="NC282" s="32"/>
      <c r="ND282" s="32"/>
      <c r="NE282" s="32"/>
      <c r="NF282" s="32"/>
      <c r="NG282" s="32"/>
      <c r="NH282" s="32"/>
      <c r="NI282" s="32"/>
      <c r="NJ282" s="32"/>
      <c r="NK282" s="32"/>
      <c r="NL282" s="32"/>
      <c r="NM282" s="32"/>
      <c r="NN282" s="32"/>
      <c r="NO282" s="32"/>
      <c r="NP282" s="32"/>
      <c r="NQ282" s="32"/>
      <c r="NR282" s="32"/>
      <c r="NS282" s="32"/>
      <c r="NT282" s="32"/>
      <c r="NU282" s="32"/>
      <c r="NV282" s="32"/>
      <c r="NW282" s="32"/>
      <c r="NX282" s="32"/>
      <c r="NY282" s="32"/>
      <c r="NZ282" s="32"/>
      <c r="OA282" s="32"/>
      <c r="OB282" s="32"/>
      <c r="OC282" s="32"/>
      <c r="OD282" s="32"/>
      <c r="OE282" s="32"/>
      <c r="OF282" s="32"/>
      <c r="OG282" s="32"/>
      <c r="OH282" s="32"/>
      <c r="OI282" s="32"/>
      <c r="OJ282" s="32"/>
      <c r="OK282" s="32"/>
      <c r="OL282" s="32"/>
      <c r="OM282" s="32"/>
      <c r="ON282" s="32"/>
      <c r="OO282" s="32"/>
      <c r="OP282" s="32"/>
      <c r="OQ282" s="32"/>
      <c r="OR282" s="32"/>
      <c r="OS282" s="32"/>
      <c r="OT282" s="32"/>
      <c r="OU282" s="32"/>
      <c r="OV282" s="32"/>
      <c r="OW282" s="32"/>
      <c r="OX282" s="32"/>
      <c r="OY282" s="32"/>
      <c r="OZ282" s="32"/>
      <c r="PA282" s="32"/>
      <c r="PB282" s="32"/>
      <c r="PC282" s="32"/>
      <c r="PD282" s="32"/>
      <c r="PE282" s="32"/>
      <c r="PF282" s="32"/>
      <c r="PG282" s="32"/>
      <c r="PH282" s="32"/>
      <c r="PI282" s="32"/>
      <c r="PJ282" s="32"/>
      <c r="PK282" s="32"/>
      <c r="PL282" s="32"/>
      <c r="PM282" s="32"/>
      <c r="PN282" s="32"/>
      <c r="PO282" s="32"/>
      <c r="PP282" s="32"/>
      <c r="PQ282" s="32"/>
      <c r="PR282" s="32"/>
      <c r="PS282" s="32"/>
      <c r="PT282" s="32"/>
      <c r="PU282" s="32"/>
      <c r="PV282" s="32"/>
      <c r="PW282" s="32"/>
      <c r="PX282" s="32"/>
      <c r="PY282" s="32"/>
      <c r="PZ282" s="32"/>
      <c r="QA282" s="32"/>
      <c r="QB282" s="32"/>
      <c r="QC282" s="32"/>
      <c r="QD282" s="32"/>
      <c r="QE282" s="32"/>
      <c r="QF282" s="32"/>
      <c r="QG282" s="32"/>
      <c r="QH282" s="32"/>
      <c r="QI282" s="32"/>
      <c r="QJ282" s="32"/>
      <c r="QK282" s="32"/>
      <c r="QL282" s="32"/>
      <c r="QM282" s="32"/>
      <c r="QN282" s="32"/>
      <c r="QO282" s="32"/>
      <c r="QP282" s="32"/>
      <c r="QQ282" s="32"/>
      <c r="QR282" s="32"/>
      <c r="QS282" s="32"/>
      <c r="QT282" s="32"/>
      <c r="QU282" s="32"/>
      <c r="QV282" s="32"/>
      <c r="QW282" s="32"/>
      <c r="QX282" s="32"/>
      <c r="QY282" s="32"/>
      <c r="QZ282" s="32"/>
      <c r="RA282" s="32"/>
      <c r="RB282" s="32"/>
      <c r="RC282" s="32"/>
      <c r="RD282" s="32"/>
      <c r="RE282" s="32"/>
      <c r="RF282" s="32"/>
      <c r="RG282" s="32"/>
      <c r="RH282" s="32"/>
      <c r="RI282" s="32"/>
      <c r="RJ282" s="32"/>
      <c r="RK282" s="32"/>
      <c r="RL282" s="32"/>
      <c r="RM282" s="32"/>
      <c r="RN282" s="32"/>
      <c r="RO282" s="32"/>
      <c r="RP282" s="32"/>
      <c r="RQ282" s="32"/>
      <c r="RR282" s="32"/>
      <c r="RS282" s="32"/>
      <c r="RT282" s="32"/>
      <c r="RU282" s="32"/>
      <c r="RV282" s="32"/>
      <c r="RW282" s="32"/>
      <c r="RX282" s="32"/>
      <c r="RY282" s="32"/>
      <c r="RZ282" s="32"/>
      <c r="SA282" s="32"/>
      <c r="SB282" s="32"/>
      <c r="SC282" s="32"/>
      <c r="SD282" s="32"/>
      <c r="SE282" s="32"/>
      <c r="SF282" s="32"/>
      <c r="SG282" s="32"/>
      <c r="SH282" s="32"/>
      <c r="SI282" s="32"/>
      <c r="SJ282" s="32"/>
      <c r="SK282" s="32"/>
      <c r="SL282" s="32"/>
      <c r="SM282" s="32"/>
      <c r="SN282" s="32"/>
      <c r="SO282" s="32"/>
      <c r="SP282" s="32"/>
      <c r="SQ282" s="32"/>
      <c r="SR282" s="32"/>
      <c r="SS282" s="32"/>
      <c r="ST282" s="32"/>
      <c r="SU282" s="32"/>
      <c r="SV282" s="32"/>
      <c r="SW282" s="32"/>
      <c r="SX282" s="32"/>
      <c r="SY282" s="32"/>
      <c r="SZ282" s="32"/>
      <c r="TA282" s="32"/>
      <c r="TB282" s="32"/>
      <c r="TC282" s="32"/>
      <c r="TD282" s="32"/>
      <c r="TE282" s="32"/>
    </row>
    <row r="283" spans="1:525" s="34" customFormat="1" ht="47.25" x14ac:dyDescent="0.25">
      <c r="A283" s="86" t="s">
        <v>28</v>
      </c>
      <c r="B283" s="95"/>
      <c r="C283" s="95"/>
      <c r="D283" s="70" t="s">
        <v>414</v>
      </c>
      <c r="E283" s="138">
        <f>SUM(E286+E287+E288+E289+E290+E291+E292+E293+E294+E295+E296+E298+E299+E300+E301+E303+E304+E297+E306+E307)</f>
        <v>5132838</v>
      </c>
      <c r="F283" s="138">
        <f t="shared" ref="F283:P283" si="141">SUM(F286+F287+F288+F289+F290+F291+F292+F293+F294+F295+F296+F298+F299+F300+F301+F303+F304+F297+F306+F307)</f>
        <v>5132838</v>
      </c>
      <c r="G283" s="138">
        <f t="shared" si="141"/>
        <v>3599700</v>
      </c>
      <c r="H283" s="138">
        <f t="shared" si="141"/>
        <v>0</v>
      </c>
      <c r="I283" s="138">
        <f t="shared" si="141"/>
        <v>0</v>
      </c>
      <c r="J283" s="138">
        <f>SUM(J286+J287+J288+J289+J290+J291+J292+J293+J294+J295+J296+J298+J299+J300+J301+J303+J304+J297+J306+J307)</f>
        <v>358501886</v>
      </c>
      <c r="K283" s="138">
        <f t="shared" si="141"/>
        <v>352596117</v>
      </c>
      <c r="L283" s="138">
        <f t="shared" si="141"/>
        <v>1752000</v>
      </c>
      <c r="M283" s="138">
        <f t="shared" si="141"/>
        <v>1106600</v>
      </c>
      <c r="N283" s="138">
        <f t="shared" si="141"/>
        <v>157500</v>
      </c>
      <c r="O283" s="138">
        <f t="shared" si="141"/>
        <v>356749886</v>
      </c>
      <c r="P283" s="138">
        <f t="shared" si="141"/>
        <v>363634724</v>
      </c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  <c r="IW283" s="33"/>
      <c r="IX283" s="33"/>
      <c r="IY283" s="33"/>
      <c r="IZ283" s="33"/>
      <c r="JA283" s="33"/>
      <c r="JB283" s="33"/>
      <c r="JC283" s="33"/>
      <c r="JD283" s="33"/>
      <c r="JE283" s="33"/>
      <c r="JF283" s="33"/>
      <c r="JG283" s="33"/>
      <c r="JH283" s="33"/>
      <c r="JI283" s="33"/>
      <c r="JJ283" s="33"/>
      <c r="JK283" s="33"/>
      <c r="JL283" s="33"/>
      <c r="JM283" s="33"/>
      <c r="JN283" s="33"/>
      <c r="JO283" s="33"/>
      <c r="JP283" s="33"/>
      <c r="JQ283" s="33"/>
      <c r="JR283" s="33"/>
      <c r="JS283" s="33"/>
      <c r="JT283" s="33"/>
      <c r="JU283" s="33"/>
      <c r="JV283" s="33"/>
      <c r="JW283" s="33"/>
      <c r="JX283" s="33"/>
      <c r="JY283" s="33"/>
      <c r="JZ283" s="33"/>
      <c r="KA283" s="33"/>
      <c r="KB283" s="33"/>
      <c r="KC283" s="33"/>
      <c r="KD283" s="33"/>
      <c r="KE283" s="33"/>
      <c r="KF283" s="33"/>
      <c r="KG283" s="33"/>
      <c r="KH283" s="33"/>
      <c r="KI283" s="33"/>
      <c r="KJ283" s="33"/>
      <c r="KK283" s="33"/>
      <c r="KL283" s="33"/>
      <c r="KM283" s="33"/>
      <c r="KN283" s="33"/>
      <c r="KO283" s="33"/>
      <c r="KP283" s="33"/>
      <c r="KQ283" s="33"/>
      <c r="KR283" s="33"/>
      <c r="KS283" s="33"/>
      <c r="KT283" s="33"/>
      <c r="KU283" s="33"/>
      <c r="KV283" s="33"/>
      <c r="KW283" s="33"/>
      <c r="KX283" s="33"/>
      <c r="KY283" s="33"/>
      <c r="KZ283" s="33"/>
      <c r="LA283" s="33"/>
      <c r="LB283" s="33"/>
      <c r="LC283" s="33"/>
      <c r="LD283" s="33"/>
      <c r="LE283" s="33"/>
      <c r="LF283" s="33"/>
      <c r="LG283" s="33"/>
      <c r="LH283" s="33"/>
      <c r="LI283" s="33"/>
      <c r="LJ283" s="33"/>
      <c r="LK283" s="33"/>
      <c r="LL283" s="33"/>
      <c r="LM283" s="33"/>
      <c r="LN283" s="33"/>
      <c r="LO283" s="33"/>
      <c r="LP283" s="33"/>
      <c r="LQ283" s="33"/>
      <c r="LR283" s="33"/>
      <c r="LS283" s="33"/>
      <c r="LT283" s="33"/>
      <c r="LU283" s="33"/>
      <c r="LV283" s="33"/>
      <c r="LW283" s="33"/>
      <c r="LX283" s="33"/>
      <c r="LY283" s="33"/>
      <c r="LZ283" s="33"/>
      <c r="MA283" s="33"/>
      <c r="MB283" s="33"/>
      <c r="MC283" s="33"/>
      <c r="MD283" s="33"/>
      <c r="ME283" s="33"/>
      <c r="MF283" s="33"/>
      <c r="MG283" s="33"/>
      <c r="MH283" s="33"/>
      <c r="MI283" s="33"/>
      <c r="MJ283" s="33"/>
      <c r="MK283" s="33"/>
      <c r="ML283" s="33"/>
      <c r="MM283" s="33"/>
      <c r="MN283" s="33"/>
      <c r="MO283" s="33"/>
      <c r="MP283" s="33"/>
      <c r="MQ283" s="33"/>
      <c r="MR283" s="33"/>
      <c r="MS283" s="33"/>
      <c r="MT283" s="33"/>
      <c r="MU283" s="33"/>
      <c r="MV283" s="33"/>
      <c r="MW283" s="33"/>
      <c r="MX283" s="33"/>
      <c r="MY283" s="33"/>
      <c r="MZ283" s="33"/>
      <c r="NA283" s="33"/>
      <c r="NB283" s="33"/>
      <c r="NC283" s="33"/>
      <c r="ND283" s="33"/>
      <c r="NE283" s="33"/>
      <c r="NF283" s="33"/>
      <c r="NG283" s="33"/>
      <c r="NH283" s="33"/>
      <c r="NI283" s="33"/>
      <c r="NJ283" s="33"/>
      <c r="NK283" s="33"/>
      <c r="NL283" s="33"/>
      <c r="NM283" s="33"/>
      <c r="NN283" s="33"/>
      <c r="NO283" s="33"/>
      <c r="NP283" s="33"/>
      <c r="NQ283" s="33"/>
      <c r="NR283" s="33"/>
      <c r="NS283" s="33"/>
      <c r="NT283" s="33"/>
      <c r="NU283" s="33"/>
      <c r="NV283" s="33"/>
      <c r="NW283" s="33"/>
      <c r="NX283" s="33"/>
      <c r="NY283" s="33"/>
      <c r="NZ283" s="33"/>
      <c r="OA283" s="33"/>
      <c r="OB283" s="33"/>
      <c r="OC283" s="33"/>
      <c r="OD283" s="33"/>
      <c r="OE283" s="33"/>
      <c r="OF283" s="33"/>
      <c r="OG283" s="33"/>
      <c r="OH283" s="33"/>
      <c r="OI283" s="33"/>
      <c r="OJ283" s="33"/>
      <c r="OK283" s="33"/>
      <c r="OL283" s="33"/>
      <c r="OM283" s="33"/>
      <c r="ON283" s="33"/>
      <c r="OO283" s="33"/>
      <c r="OP283" s="33"/>
      <c r="OQ283" s="33"/>
      <c r="OR283" s="33"/>
      <c r="OS283" s="33"/>
      <c r="OT283" s="33"/>
      <c r="OU283" s="33"/>
      <c r="OV283" s="33"/>
      <c r="OW283" s="33"/>
      <c r="OX283" s="33"/>
      <c r="OY283" s="33"/>
      <c r="OZ283" s="33"/>
      <c r="PA283" s="33"/>
      <c r="PB283" s="33"/>
      <c r="PC283" s="33"/>
      <c r="PD283" s="33"/>
      <c r="PE283" s="33"/>
      <c r="PF283" s="33"/>
      <c r="PG283" s="33"/>
      <c r="PH283" s="33"/>
      <c r="PI283" s="33"/>
      <c r="PJ283" s="33"/>
      <c r="PK283" s="33"/>
      <c r="PL283" s="33"/>
      <c r="PM283" s="33"/>
      <c r="PN283" s="33"/>
      <c r="PO283" s="33"/>
      <c r="PP283" s="33"/>
      <c r="PQ283" s="33"/>
      <c r="PR283" s="33"/>
      <c r="PS283" s="33"/>
      <c r="PT283" s="33"/>
      <c r="PU283" s="33"/>
      <c r="PV283" s="33"/>
      <c r="PW283" s="33"/>
      <c r="PX283" s="33"/>
      <c r="PY283" s="33"/>
      <c r="PZ283" s="33"/>
      <c r="QA283" s="33"/>
      <c r="QB283" s="33"/>
      <c r="QC283" s="33"/>
      <c r="QD283" s="33"/>
      <c r="QE283" s="33"/>
      <c r="QF283" s="33"/>
      <c r="QG283" s="33"/>
      <c r="QH283" s="33"/>
      <c r="QI283" s="33"/>
      <c r="QJ283" s="33"/>
      <c r="QK283" s="33"/>
      <c r="QL283" s="33"/>
      <c r="QM283" s="33"/>
      <c r="QN283" s="33"/>
      <c r="QO283" s="33"/>
      <c r="QP283" s="33"/>
      <c r="QQ283" s="33"/>
      <c r="QR283" s="33"/>
      <c r="QS283" s="33"/>
      <c r="QT283" s="33"/>
      <c r="QU283" s="33"/>
      <c r="QV283" s="33"/>
      <c r="QW283" s="33"/>
      <c r="QX283" s="33"/>
      <c r="QY283" s="33"/>
      <c r="QZ283" s="33"/>
      <c r="RA283" s="33"/>
      <c r="RB283" s="33"/>
      <c r="RC283" s="33"/>
      <c r="RD283" s="33"/>
      <c r="RE283" s="33"/>
      <c r="RF283" s="33"/>
      <c r="RG283" s="33"/>
      <c r="RH283" s="33"/>
      <c r="RI283" s="33"/>
      <c r="RJ283" s="33"/>
      <c r="RK283" s="33"/>
      <c r="RL283" s="33"/>
      <c r="RM283" s="33"/>
      <c r="RN283" s="33"/>
      <c r="RO283" s="33"/>
      <c r="RP283" s="33"/>
      <c r="RQ283" s="33"/>
      <c r="RR283" s="33"/>
      <c r="RS283" s="33"/>
      <c r="RT283" s="33"/>
      <c r="RU283" s="33"/>
      <c r="RV283" s="33"/>
      <c r="RW283" s="33"/>
      <c r="RX283" s="33"/>
      <c r="RY283" s="33"/>
      <c r="RZ283" s="33"/>
      <c r="SA283" s="33"/>
      <c r="SB283" s="33"/>
      <c r="SC283" s="33"/>
      <c r="SD283" s="33"/>
      <c r="SE283" s="33"/>
      <c r="SF283" s="33"/>
      <c r="SG283" s="33"/>
      <c r="SH283" s="33"/>
      <c r="SI283" s="33"/>
      <c r="SJ283" s="33"/>
      <c r="SK283" s="33"/>
      <c r="SL283" s="33"/>
      <c r="SM283" s="33"/>
      <c r="SN283" s="33"/>
      <c r="SO283" s="33"/>
      <c r="SP283" s="33"/>
      <c r="SQ283" s="33"/>
      <c r="SR283" s="33"/>
      <c r="SS283" s="33"/>
      <c r="ST283" s="33"/>
      <c r="SU283" s="33"/>
      <c r="SV283" s="33"/>
      <c r="SW283" s="33"/>
      <c r="SX283" s="33"/>
      <c r="SY283" s="33"/>
      <c r="SZ283" s="33"/>
      <c r="TA283" s="33"/>
      <c r="TB283" s="33"/>
      <c r="TC283" s="33"/>
      <c r="TD283" s="33"/>
      <c r="TE283" s="33"/>
    </row>
    <row r="284" spans="1:525" s="34" customFormat="1" ht="54" hidden="1" customHeight="1" x14ac:dyDescent="0.25">
      <c r="A284" s="86"/>
      <c r="B284" s="95"/>
      <c r="C284" s="95"/>
      <c r="D284" s="70" t="s">
        <v>383</v>
      </c>
      <c r="E284" s="138">
        <f>E302</f>
        <v>0</v>
      </c>
      <c r="F284" s="138">
        <f>F302</f>
        <v>0</v>
      </c>
      <c r="G284" s="138">
        <f t="shared" ref="G284:O284" si="142">G302</f>
        <v>0</v>
      </c>
      <c r="H284" s="138">
        <f t="shared" si="142"/>
        <v>0</v>
      </c>
      <c r="I284" s="138">
        <f t="shared" si="142"/>
        <v>0</v>
      </c>
      <c r="J284" s="138">
        <f>J302</f>
        <v>0</v>
      </c>
      <c r="K284" s="138">
        <f t="shared" si="142"/>
        <v>0</v>
      </c>
      <c r="L284" s="138">
        <f t="shared" si="142"/>
        <v>0</v>
      </c>
      <c r="M284" s="138">
        <f t="shared" si="142"/>
        <v>0</v>
      </c>
      <c r="N284" s="138">
        <f t="shared" si="142"/>
        <v>0</v>
      </c>
      <c r="O284" s="138">
        <f t="shared" si="142"/>
        <v>0</v>
      </c>
      <c r="P284" s="138">
        <f>P302</f>
        <v>0</v>
      </c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  <c r="IV284" s="33"/>
      <c r="IW284" s="33"/>
      <c r="IX284" s="33"/>
      <c r="IY284" s="33"/>
      <c r="IZ284" s="33"/>
      <c r="JA284" s="33"/>
      <c r="JB284" s="33"/>
      <c r="JC284" s="33"/>
      <c r="JD284" s="33"/>
      <c r="JE284" s="33"/>
      <c r="JF284" s="33"/>
      <c r="JG284" s="33"/>
      <c r="JH284" s="33"/>
      <c r="JI284" s="33"/>
      <c r="JJ284" s="33"/>
      <c r="JK284" s="33"/>
      <c r="JL284" s="33"/>
      <c r="JM284" s="33"/>
      <c r="JN284" s="33"/>
      <c r="JO284" s="33"/>
      <c r="JP284" s="33"/>
      <c r="JQ284" s="33"/>
      <c r="JR284" s="33"/>
      <c r="JS284" s="33"/>
      <c r="JT284" s="33"/>
      <c r="JU284" s="33"/>
      <c r="JV284" s="33"/>
      <c r="JW284" s="33"/>
      <c r="JX284" s="33"/>
      <c r="JY284" s="33"/>
      <c r="JZ284" s="33"/>
      <c r="KA284" s="33"/>
      <c r="KB284" s="33"/>
      <c r="KC284" s="33"/>
      <c r="KD284" s="33"/>
      <c r="KE284" s="33"/>
      <c r="KF284" s="33"/>
      <c r="KG284" s="33"/>
      <c r="KH284" s="33"/>
      <c r="KI284" s="33"/>
      <c r="KJ284" s="33"/>
      <c r="KK284" s="33"/>
      <c r="KL284" s="33"/>
      <c r="KM284" s="33"/>
      <c r="KN284" s="33"/>
      <c r="KO284" s="33"/>
      <c r="KP284" s="33"/>
      <c r="KQ284" s="33"/>
      <c r="KR284" s="33"/>
      <c r="KS284" s="33"/>
      <c r="KT284" s="33"/>
      <c r="KU284" s="33"/>
      <c r="KV284" s="33"/>
      <c r="KW284" s="33"/>
      <c r="KX284" s="33"/>
      <c r="KY284" s="33"/>
      <c r="KZ284" s="33"/>
      <c r="LA284" s="33"/>
      <c r="LB284" s="33"/>
      <c r="LC284" s="33"/>
      <c r="LD284" s="33"/>
      <c r="LE284" s="33"/>
      <c r="LF284" s="33"/>
      <c r="LG284" s="33"/>
      <c r="LH284" s="33"/>
      <c r="LI284" s="33"/>
      <c r="LJ284" s="33"/>
      <c r="LK284" s="33"/>
      <c r="LL284" s="33"/>
      <c r="LM284" s="33"/>
      <c r="LN284" s="33"/>
      <c r="LO284" s="33"/>
      <c r="LP284" s="33"/>
      <c r="LQ284" s="33"/>
      <c r="LR284" s="33"/>
      <c r="LS284" s="33"/>
      <c r="LT284" s="33"/>
      <c r="LU284" s="33"/>
      <c r="LV284" s="33"/>
      <c r="LW284" s="33"/>
      <c r="LX284" s="33"/>
      <c r="LY284" s="33"/>
      <c r="LZ284" s="33"/>
      <c r="MA284" s="33"/>
      <c r="MB284" s="33"/>
      <c r="MC284" s="33"/>
      <c r="MD284" s="33"/>
      <c r="ME284" s="33"/>
      <c r="MF284" s="33"/>
      <c r="MG284" s="33"/>
      <c r="MH284" s="33"/>
      <c r="MI284" s="33"/>
      <c r="MJ284" s="33"/>
      <c r="MK284" s="33"/>
      <c r="ML284" s="33"/>
      <c r="MM284" s="33"/>
      <c r="MN284" s="33"/>
      <c r="MO284" s="33"/>
      <c r="MP284" s="33"/>
      <c r="MQ284" s="33"/>
      <c r="MR284" s="33"/>
      <c r="MS284" s="33"/>
      <c r="MT284" s="33"/>
      <c r="MU284" s="33"/>
      <c r="MV284" s="33"/>
      <c r="MW284" s="33"/>
      <c r="MX284" s="33"/>
      <c r="MY284" s="33"/>
      <c r="MZ284" s="33"/>
      <c r="NA284" s="33"/>
      <c r="NB284" s="33"/>
      <c r="NC284" s="33"/>
      <c r="ND284" s="33"/>
      <c r="NE284" s="33"/>
      <c r="NF284" s="33"/>
      <c r="NG284" s="33"/>
      <c r="NH284" s="33"/>
      <c r="NI284" s="33"/>
      <c r="NJ284" s="33"/>
      <c r="NK284" s="33"/>
      <c r="NL284" s="33"/>
      <c r="NM284" s="33"/>
      <c r="NN284" s="33"/>
      <c r="NO284" s="33"/>
      <c r="NP284" s="33"/>
      <c r="NQ284" s="33"/>
      <c r="NR284" s="33"/>
      <c r="NS284" s="33"/>
      <c r="NT284" s="33"/>
      <c r="NU284" s="33"/>
      <c r="NV284" s="33"/>
      <c r="NW284" s="33"/>
      <c r="NX284" s="33"/>
      <c r="NY284" s="33"/>
      <c r="NZ284" s="33"/>
      <c r="OA284" s="33"/>
      <c r="OB284" s="33"/>
      <c r="OC284" s="33"/>
      <c r="OD284" s="33"/>
      <c r="OE284" s="33"/>
      <c r="OF284" s="33"/>
      <c r="OG284" s="33"/>
      <c r="OH284" s="33"/>
      <c r="OI284" s="33"/>
      <c r="OJ284" s="33"/>
      <c r="OK284" s="33"/>
      <c r="OL284" s="33"/>
      <c r="OM284" s="33"/>
      <c r="ON284" s="33"/>
      <c r="OO284" s="33"/>
      <c r="OP284" s="33"/>
      <c r="OQ284" s="33"/>
      <c r="OR284" s="33"/>
      <c r="OS284" s="33"/>
      <c r="OT284" s="33"/>
      <c r="OU284" s="33"/>
      <c r="OV284" s="33"/>
      <c r="OW284" s="33"/>
      <c r="OX284" s="33"/>
      <c r="OY284" s="33"/>
      <c r="OZ284" s="33"/>
      <c r="PA284" s="33"/>
      <c r="PB284" s="33"/>
      <c r="PC284" s="33"/>
      <c r="PD284" s="33"/>
      <c r="PE284" s="33"/>
      <c r="PF284" s="33"/>
      <c r="PG284" s="33"/>
      <c r="PH284" s="33"/>
      <c r="PI284" s="33"/>
      <c r="PJ284" s="33"/>
      <c r="PK284" s="33"/>
      <c r="PL284" s="33"/>
      <c r="PM284" s="33"/>
      <c r="PN284" s="33"/>
      <c r="PO284" s="33"/>
      <c r="PP284" s="33"/>
      <c r="PQ284" s="33"/>
      <c r="PR284" s="33"/>
      <c r="PS284" s="33"/>
      <c r="PT284" s="33"/>
      <c r="PU284" s="33"/>
      <c r="PV284" s="33"/>
      <c r="PW284" s="33"/>
      <c r="PX284" s="33"/>
      <c r="PY284" s="33"/>
      <c r="PZ284" s="33"/>
      <c r="QA284" s="33"/>
      <c r="QB284" s="33"/>
      <c r="QC284" s="33"/>
      <c r="QD284" s="33"/>
      <c r="QE284" s="33"/>
      <c r="QF284" s="33"/>
      <c r="QG284" s="33"/>
      <c r="QH284" s="33"/>
      <c r="QI284" s="33"/>
      <c r="QJ284" s="33"/>
      <c r="QK284" s="33"/>
      <c r="QL284" s="33"/>
      <c r="QM284" s="33"/>
      <c r="QN284" s="33"/>
      <c r="QO284" s="33"/>
      <c r="QP284" s="33"/>
      <c r="QQ284" s="33"/>
      <c r="QR284" s="33"/>
      <c r="QS284" s="33"/>
      <c r="QT284" s="33"/>
      <c r="QU284" s="33"/>
      <c r="QV284" s="33"/>
      <c r="QW284" s="33"/>
      <c r="QX284" s="33"/>
      <c r="QY284" s="33"/>
      <c r="QZ284" s="33"/>
      <c r="RA284" s="33"/>
      <c r="RB284" s="33"/>
      <c r="RC284" s="33"/>
      <c r="RD284" s="33"/>
      <c r="RE284" s="33"/>
      <c r="RF284" s="33"/>
      <c r="RG284" s="33"/>
      <c r="RH284" s="33"/>
      <c r="RI284" s="33"/>
      <c r="RJ284" s="33"/>
      <c r="RK284" s="33"/>
      <c r="RL284" s="33"/>
      <c r="RM284" s="33"/>
      <c r="RN284" s="33"/>
      <c r="RO284" s="33"/>
      <c r="RP284" s="33"/>
      <c r="RQ284" s="33"/>
      <c r="RR284" s="33"/>
      <c r="RS284" s="33"/>
      <c r="RT284" s="33"/>
      <c r="RU284" s="33"/>
      <c r="RV284" s="33"/>
      <c r="RW284" s="33"/>
      <c r="RX284" s="33"/>
      <c r="RY284" s="33"/>
      <c r="RZ284" s="33"/>
      <c r="SA284" s="33"/>
      <c r="SB284" s="33"/>
      <c r="SC284" s="33"/>
      <c r="SD284" s="33"/>
      <c r="SE284" s="33"/>
      <c r="SF284" s="33"/>
      <c r="SG284" s="33"/>
      <c r="SH284" s="33"/>
      <c r="SI284" s="33"/>
      <c r="SJ284" s="33"/>
      <c r="SK284" s="33"/>
      <c r="SL284" s="33"/>
      <c r="SM284" s="33"/>
      <c r="SN284" s="33"/>
      <c r="SO284" s="33"/>
      <c r="SP284" s="33"/>
      <c r="SQ284" s="33"/>
      <c r="SR284" s="33"/>
      <c r="SS284" s="33"/>
      <c r="ST284" s="33"/>
      <c r="SU284" s="33"/>
      <c r="SV284" s="33"/>
      <c r="SW284" s="33"/>
      <c r="SX284" s="33"/>
      <c r="SY284" s="33"/>
      <c r="SZ284" s="33"/>
      <c r="TA284" s="33"/>
      <c r="TB284" s="33"/>
      <c r="TC284" s="33"/>
      <c r="TD284" s="33"/>
      <c r="TE284" s="33"/>
    </row>
    <row r="285" spans="1:525" s="34" customFormat="1" ht="17.25" customHeight="1" x14ac:dyDescent="0.25">
      <c r="A285" s="86"/>
      <c r="B285" s="95"/>
      <c r="C285" s="95"/>
      <c r="D285" s="75" t="s">
        <v>413</v>
      </c>
      <c r="E285" s="138">
        <f>E305</f>
        <v>0</v>
      </c>
      <c r="F285" s="138">
        <f t="shared" ref="F285:P285" si="143">F305</f>
        <v>0</v>
      </c>
      <c r="G285" s="138">
        <f t="shared" si="143"/>
        <v>0</v>
      </c>
      <c r="H285" s="138">
        <f t="shared" si="143"/>
        <v>0</v>
      </c>
      <c r="I285" s="138">
        <f t="shared" si="143"/>
        <v>0</v>
      </c>
      <c r="J285" s="138">
        <f t="shared" si="143"/>
        <v>133343652</v>
      </c>
      <c r="K285" s="138">
        <f t="shared" si="143"/>
        <v>133343652</v>
      </c>
      <c r="L285" s="138">
        <f t="shared" si="143"/>
        <v>0</v>
      </c>
      <c r="M285" s="138">
        <f t="shared" si="143"/>
        <v>0</v>
      </c>
      <c r="N285" s="138">
        <f t="shared" si="143"/>
        <v>0</v>
      </c>
      <c r="O285" s="138">
        <f t="shared" si="143"/>
        <v>133343652</v>
      </c>
      <c r="P285" s="138">
        <f t="shared" si="143"/>
        <v>133343652</v>
      </c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  <c r="IW285" s="33"/>
      <c r="IX285" s="33"/>
      <c r="IY285" s="33"/>
      <c r="IZ285" s="33"/>
      <c r="JA285" s="33"/>
      <c r="JB285" s="33"/>
      <c r="JC285" s="33"/>
      <c r="JD285" s="33"/>
      <c r="JE285" s="33"/>
      <c r="JF285" s="33"/>
      <c r="JG285" s="33"/>
      <c r="JH285" s="33"/>
      <c r="JI285" s="33"/>
      <c r="JJ285" s="33"/>
      <c r="JK285" s="33"/>
      <c r="JL285" s="33"/>
      <c r="JM285" s="33"/>
      <c r="JN285" s="33"/>
      <c r="JO285" s="33"/>
      <c r="JP285" s="33"/>
      <c r="JQ285" s="33"/>
      <c r="JR285" s="33"/>
      <c r="JS285" s="33"/>
      <c r="JT285" s="33"/>
      <c r="JU285" s="33"/>
      <c r="JV285" s="33"/>
      <c r="JW285" s="33"/>
      <c r="JX285" s="33"/>
      <c r="JY285" s="33"/>
      <c r="JZ285" s="33"/>
      <c r="KA285" s="33"/>
      <c r="KB285" s="33"/>
      <c r="KC285" s="33"/>
      <c r="KD285" s="33"/>
      <c r="KE285" s="33"/>
      <c r="KF285" s="33"/>
      <c r="KG285" s="33"/>
      <c r="KH285" s="33"/>
      <c r="KI285" s="33"/>
      <c r="KJ285" s="33"/>
      <c r="KK285" s="33"/>
      <c r="KL285" s="33"/>
      <c r="KM285" s="33"/>
      <c r="KN285" s="33"/>
      <c r="KO285" s="33"/>
      <c r="KP285" s="33"/>
      <c r="KQ285" s="33"/>
      <c r="KR285" s="33"/>
      <c r="KS285" s="33"/>
      <c r="KT285" s="33"/>
      <c r="KU285" s="33"/>
      <c r="KV285" s="33"/>
      <c r="KW285" s="33"/>
      <c r="KX285" s="33"/>
      <c r="KY285" s="33"/>
      <c r="KZ285" s="33"/>
      <c r="LA285" s="33"/>
      <c r="LB285" s="33"/>
      <c r="LC285" s="33"/>
      <c r="LD285" s="33"/>
      <c r="LE285" s="33"/>
      <c r="LF285" s="33"/>
      <c r="LG285" s="33"/>
      <c r="LH285" s="33"/>
      <c r="LI285" s="33"/>
      <c r="LJ285" s="33"/>
      <c r="LK285" s="33"/>
      <c r="LL285" s="33"/>
      <c r="LM285" s="33"/>
      <c r="LN285" s="33"/>
      <c r="LO285" s="33"/>
      <c r="LP285" s="33"/>
      <c r="LQ285" s="33"/>
      <c r="LR285" s="33"/>
      <c r="LS285" s="33"/>
      <c r="LT285" s="33"/>
      <c r="LU285" s="33"/>
      <c r="LV285" s="33"/>
      <c r="LW285" s="33"/>
      <c r="LX285" s="33"/>
      <c r="LY285" s="33"/>
      <c r="LZ285" s="33"/>
      <c r="MA285" s="33"/>
      <c r="MB285" s="33"/>
      <c r="MC285" s="33"/>
      <c r="MD285" s="33"/>
      <c r="ME285" s="33"/>
      <c r="MF285" s="33"/>
      <c r="MG285" s="33"/>
      <c r="MH285" s="33"/>
      <c r="MI285" s="33"/>
      <c r="MJ285" s="33"/>
      <c r="MK285" s="33"/>
      <c r="ML285" s="33"/>
      <c r="MM285" s="33"/>
      <c r="MN285" s="33"/>
      <c r="MO285" s="33"/>
      <c r="MP285" s="33"/>
      <c r="MQ285" s="33"/>
      <c r="MR285" s="33"/>
      <c r="MS285" s="33"/>
      <c r="MT285" s="33"/>
      <c r="MU285" s="33"/>
      <c r="MV285" s="33"/>
      <c r="MW285" s="33"/>
      <c r="MX285" s="33"/>
      <c r="MY285" s="33"/>
      <c r="MZ285" s="33"/>
      <c r="NA285" s="33"/>
      <c r="NB285" s="33"/>
      <c r="NC285" s="33"/>
      <c r="ND285" s="33"/>
      <c r="NE285" s="33"/>
      <c r="NF285" s="33"/>
      <c r="NG285" s="33"/>
      <c r="NH285" s="33"/>
      <c r="NI285" s="33"/>
      <c r="NJ285" s="33"/>
      <c r="NK285" s="33"/>
      <c r="NL285" s="33"/>
      <c r="NM285" s="33"/>
      <c r="NN285" s="33"/>
      <c r="NO285" s="33"/>
      <c r="NP285" s="33"/>
      <c r="NQ285" s="33"/>
      <c r="NR285" s="33"/>
      <c r="NS285" s="33"/>
      <c r="NT285" s="33"/>
      <c r="NU285" s="33"/>
      <c r="NV285" s="33"/>
      <c r="NW285" s="33"/>
      <c r="NX285" s="33"/>
      <c r="NY285" s="33"/>
      <c r="NZ285" s="33"/>
      <c r="OA285" s="33"/>
      <c r="OB285" s="33"/>
      <c r="OC285" s="33"/>
      <c r="OD285" s="33"/>
      <c r="OE285" s="33"/>
      <c r="OF285" s="33"/>
      <c r="OG285" s="33"/>
      <c r="OH285" s="33"/>
      <c r="OI285" s="33"/>
      <c r="OJ285" s="33"/>
      <c r="OK285" s="33"/>
      <c r="OL285" s="33"/>
      <c r="OM285" s="33"/>
      <c r="ON285" s="33"/>
      <c r="OO285" s="33"/>
      <c r="OP285" s="33"/>
      <c r="OQ285" s="33"/>
      <c r="OR285" s="33"/>
      <c r="OS285" s="33"/>
      <c r="OT285" s="33"/>
      <c r="OU285" s="33"/>
      <c r="OV285" s="33"/>
      <c r="OW285" s="33"/>
      <c r="OX285" s="33"/>
      <c r="OY285" s="33"/>
      <c r="OZ285" s="33"/>
      <c r="PA285" s="33"/>
      <c r="PB285" s="33"/>
      <c r="PC285" s="33"/>
      <c r="PD285" s="33"/>
      <c r="PE285" s="33"/>
      <c r="PF285" s="33"/>
      <c r="PG285" s="33"/>
      <c r="PH285" s="33"/>
      <c r="PI285" s="33"/>
      <c r="PJ285" s="33"/>
      <c r="PK285" s="33"/>
      <c r="PL285" s="33"/>
      <c r="PM285" s="33"/>
      <c r="PN285" s="33"/>
      <c r="PO285" s="33"/>
      <c r="PP285" s="33"/>
      <c r="PQ285" s="33"/>
      <c r="PR285" s="33"/>
      <c r="PS285" s="33"/>
      <c r="PT285" s="33"/>
      <c r="PU285" s="33"/>
      <c r="PV285" s="33"/>
      <c r="PW285" s="33"/>
      <c r="PX285" s="33"/>
      <c r="PY285" s="33"/>
      <c r="PZ285" s="33"/>
      <c r="QA285" s="33"/>
      <c r="QB285" s="33"/>
      <c r="QC285" s="33"/>
      <c r="QD285" s="33"/>
      <c r="QE285" s="33"/>
      <c r="QF285" s="33"/>
      <c r="QG285" s="33"/>
      <c r="QH285" s="33"/>
      <c r="QI285" s="33"/>
      <c r="QJ285" s="33"/>
      <c r="QK285" s="33"/>
      <c r="QL285" s="33"/>
      <c r="QM285" s="33"/>
      <c r="QN285" s="33"/>
      <c r="QO285" s="33"/>
      <c r="QP285" s="33"/>
      <c r="QQ285" s="33"/>
      <c r="QR285" s="33"/>
      <c r="QS285" s="33"/>
      <c r="QT285" s="33"/>
      <c r="QU285" s="33"/>
      <c r="QV285" s="33"/>
      <c r="QW285" s="33"/>
      <c r="QX285" s="33"/>
      <c r="QY285" s="33"/>
      <c r="QZ285" s="33"/>
      <c r="RA285" s="33"/>
      <c r="RB285" s="33"/>
      <c r="RC285" s="33"/>
      <c r="RD285" s="33"/>
      <c r="RE285" s="33"/>
      <c r="RF285" s="33"/>
      <c r="RG285" s="33"/>
      <c r="RH285" s="33"/>
      <c r="RI285" s="33"/>
      <c r="RJ285" s="33"/>
      <c r="RK285" s="33"/>
      <c r="RL285" s="33"/>
      <c r="RM285" s="33"/>
      <c r="RN285" s="33"/>
      <c r="RO285" s="33"/>
      <c r="RP285" s="33"/>
      <c r="RQ285" s="33"/>
      <c r="RR285" s="33"/>
      <c r="RS285" s="33"/>
      <c r="RT285" s="33"/>
      <c r="RU285" s="33"/>
      <c r="RV285" s="33"/>
      <c r="RW285" s="33"/>
      <c r="RX285" s="33"/>
      <c r="RY285" s="33"/>
      <c r="RZ285" s="33"/>
      <c r="SA285" s="33"/>
      <c r="SB285" s="33"/>
      <c r="SC285" s="33"/>
      <c r="SD285" s="33"/>
      <c r="SE285" s="33"/>
      <c r="SF285" s="33"/>
      <c r="SG285" s="33"/>
      <c r="SH285" s="33"/>
      <c r="SI285" s="33"/>
      <c r="SJ285" s="33"/>
      <c r="SK285" s="33"/>
      <c r="SL285" s="33"/>
      <c r="SM285" s="33"/>
      <c r="SN285" s="33"/>
      <c r="SO285" s="33"/>
      <c r="SP285" s="33"/>
      <c r="SQ285" s="33"/>
      <c r="SR285" s="33"/>
      <c r="SS285" s="33"/>
      <c r="ST285" s="33"/>
      <c r="SU285" s="33"/>
      <c r="SV285" s="33"/>
      <c r="SW285" s="33"/>
      <c r="SX285" s="33"/>
      <c r="SY285" s="33"/>
      <c r="SZ285" s="33"/>
      <c r="TA285" s="33"/>
      <c r="TB285" s="33"/>
      <c r="TC285" s="33"/>
      <c r="TD285" s="33"/>
      <c r="TE285" s="33"/>
    </row>
    <row r="286" spans="1:525" s="22" customFormat="1" ht="47.25" x14ac:dyDescent="0.25">
      <c r="A286" s="56" t="s">
        <v>137</v>
      </c>
      <c r="B286" s="84" t="str">
        <f>'дод 3'!A19</f>
        <v>0160</v>
      </c>
      <c r="C286" s="84" t="str">
        <f>'дод 3'!B19</f>
        <v>0111</v>
      </c>
      <c r="D286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286" s="139">
        <f t="shared" ref="E286:E306" si="144">F286+I286</f>
        <v>4391300</v>
      </c>
      <c r="F286" s="139">
        <f>4910600-519300</f>
        <v>4391300</v>
      </c>
      <c r="G286" s="139">
        <f>4025100-425400</f>
        <v>3599700</v>
      </c>
      <c r="H286" s="139"/>
      <c r="I286" s="139"/>
      <c r="J286" s="139">
        <f>L286+O286</f>
        <v>1800000</v>
      </c>
      <c r="K286" s="139"/>
      <c r="L286" s="139">
        <v>1752000</v>
      </c>
      <c r="M286" s="139">
        <v>1106600</v>
      </c>
      <c r="N286" s="139">
        <v>157500</v>
      </c>
      <c r="O286" s="139">
        <v>48000</v>
      </c>
      <c r="P286" s="139">
        <f t="shared" ref="P286:P306" si="145">E286+J286</f>
        <v>6191300</v>
      </c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</row>
    <row r="287" spans="1:525" s="22" customFormat="1" ht="15.75" x14ac:dyDescent="0.25">
      <c r="A287" s="56" t="s">
        <v>607</v>
      </c>
      <c r="B287" s="84">
        <v>1010</v>
      </c>
      <c r="C287" s="56" t="s">
        <v>48</v>
      </c>
      <c r="D287" s="57" t="s">
        <v>486</v>
      </c>
      <c r="E287" s="139">
        <f t="shared" si="144"/>
        <v>0</v>
      </c>
      <c r="F287" s="139"/>
      <c r="G287" s="139"/>
      <c r="H287" s="139"/>
      <c r="I287" s="139"/>
      <c r="J287" s="139">
        <f>L287+O287</f>
        <v>6833436</v>
      </c>
      <c r="K287" s="139">
        <f>4915036+1918400</f>
        <v>6833436</v>
      </c>
      <c r="L287" s="139"/>
      <c r="M287" s="139"/>
      <c r="N287" s="139"/>
      <c r="O287" s="139">
        <f>4915036+1918400</f>
        <v>6833436</v>
      </c>
      <c r="P287" s="139">
        <f t="shared" si="145"/>
        <v>6833436</v>
      </c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</row>
    <row r="288" spans="1:525" s="22" customFormat="1" ht="31.5" x14ac:dyDescent="0.25">
      <c r="A288" s="56" t="s">
        <v>609</v>
      </c>
      <c r="B288" s="84">
        <v>1021</v>
      </c>
      <c r="C288" s="56" t="s">
        <v>50</v>
      </c>
      <c r="D288" s="57" t="s">
        <v>455</v>
      </c>
      <c r="E288" s="139">
        <f t="shared" ref="E288:E289" si="146">F288+I288</f>
        <v>0</v>
      </c>
      <c r="F288" s="139"/>
      <c r="G288" s="139"/>
      <c r="H288" s="139"/>
      <c r="I288" s="139"/>
      <c r="J288" s="139">
        <f>L288+O288</f>
        <v>6050000</v>
      </c>
      <c r="K288" s="139">
        <v>6050000</v>
      </c>
      <c r="L288" s="139"/>
      <c r="M288" s="139"/>
      <c r="N288" s="139"/>
      <c r="O288" s="139">
        <v>6050000</v>
      </c>
      <c r="P288" s="139">
        <f t="shared" si="145"/>
        <v>6050000</v>
      </c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</row>
    <row r="289" spans="1:525" s="22" customFormat="1" ht="63" x14ac:dyDescent="0.25">
      <c r="A289" s="56" t="s">
        <v>610</v>
      </c>
      <c r="B289" s="84">
        <v>1022</v>
      </c>
      <c r="C289" s="56" t="s">
        <v>54</v>
      </c>
      <c r="D289" s="57" t="s">
        <v>457</v>
      </c>
      <c r="E289" s="139">
        <f t="shared" si="146"/>
        <v>0</v>
      </c>
      <c r="F289" s="139"/>
      <c r="G289" s="139"/>
      <c r="H289" s="139"/>
      <c r="I289" s="139"/>
      <c r="J289" s="139">
        <f>L289+O289</f>
        <v>831600</v>
      </c>
      <c r="K289" s="139">
        <v>831600</v>
      </c>
      <c r="L289" s="139"/>
      <c r="M289" s="139"/>
      <c r="N289" s="139"/>
      <c r="O289" s="139">
        <v>831600</v>
      </c>
      <c r="P289" s="139">
        <f t="shared" si="145"/>
        <v>831600</v>
      </c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</row>
    <row r="290" spans="1:525" s="22" customFormat="1" ht="31.5" x14ac:dyDescent="0.25">
      <c r="A290" s="56" t="s">
        <v>611</v>
      </c>
      <c r="B290" s="84">
        <v>2010</v>
      </c>
      <c r="C290" s="56" t="s">
        <v>60</v>
      </c>
      <c r="D290" s="57" t="s">
        <v>589</v>
      </c>
      <c r="E290" s="139"/>
      <c r="F290" s="139"/>
      <c r="G290" s="139"/>
      <c r="H290" s="139"/>
      <c r="I290" s="139"/>
      <c r="J290" s="139">
        <f>L290+O290</f>
        <v>5000000</v>
      </c>
      <c r="K290" s="139">
        <v>5000000</v>
      </c>
      <c r="L290" s="139"/>
      <c r="M290" s="139"/>
      <c r="N290" s="139"/>
      <c r="O290" s="139">
        <v>5000000</v>
      </c>
      <c r="P290" s="139">
        <f t="shared" si="145"/>
        <v>5000000</v>
      </c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</row>
    <row r="291" spans="1:525" s="22" customFormat="1" ht="23.25" customHeight="1" x14ac:dyDescent="0.25">
      <c r="A291" s="56" t="s">
        <v>202</v>
      </c>
      <c r="B291" s="84" t="str">
        <f>'дод 3'!A167</f>
        <v>6030</v>
      </c>
      <c r="C291" s="84" t="str">
        <f>'дод 3'!B167</f>
        <v>0620</v>
      </c>
      <c r="D291" s="57" t="str">
        <f>'дод 3'!C167</f>
        <v>Організація благоустрою населених пунктів</v>
      </c>
      <c r="E291" s="139">
        <f t="shared" si="144"/>
        <v>0</v>
      </c>
      <c r="F291" s="139"/>
      <c r="G291" s="139"/>
      <c r="H291" s="139"/>
      <c r="I291" s="139"/>
      <c r="J291" s="139">
        <f t="shared" ref="J291:J315" si="147">L291+O291</f>
        <v>55800000</v>
      </c>
      <c r="K291" s="139">
        <f>48038139+12000000-8663595-19374544+4800000-2600000+19800000+500000+1000000+300000</f>
        <v>55800000</v>
      </c>
      <c r="L291" s="139"/>
      <c r="M291" s="139"/>
      <c r="N291" s="139"/>
      <c r="O291" s="139">
        <f>48038139+12000000-8663595-19374544+4800000-2600000+19800000+500000+1000000+300000</f>
        <v>55800000</v>
      </c>
      <c r="P291" s="139">
        <f t="shared" si="145"/>
        <v>55800000</v>
      </c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</row>
    <row r="292" spans="1:525" s="22" customFormat="1" ht="65.25" customHeight="1" x14ac:dyDescent="0.25">
      <c r="A292" s="56" t="s">
        <v>203</v>
      </c>
      <c r="B292" s="84" t="str">
        <f>'дод 3'!A171</f>
        <v>6084</v>
      </c>
      <c r="C292" s="84" t="str">
        <f>'дод 3'!B171</f>
        <v>0610</v>
      </c>
      <c r="D292" s="57" t="str">
        <f>'дод 3'!C171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92" s="139">
        <f t="shared" si="144"/>
        <v>0</v>
      </c>
      <c r="F292" s="139"/>
      <c r="G292" s="139"/>
      <c r="H292" s="139"/>
      <c r="I292" s="139"/>
      <c r="J292" s="139">
        <f t="shared" si="147"/>
        <v>110579</v>
      </c>
      <c r="K292" s="139"/>
      <c r="L292" s="139"/>
      <c r="M292" s="139"/>
      <c r="N292" s="139"/>
      <c r="O292" s="139">
        <v>110579</v>
      </c>
      <c r="P292" s="139">
        <f t="shared" si="145"/>
        <v>110579</v>
      </c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  <c r="SQ292" s="23"/>
      <c r="SR292" s="23"/>
      <c r="SS292" s="23"/>
      <c r="ST292" s="23"/>
      <c r="SU292" s="23"/>
      <c r="SV292" s="23"/>
      <c r="SW292" s="23"/>
      <c r="SX292" s="23"/>
      <c r="SY292" s="23"/>
      <c r="SZ292" s="23"/>
      <c r="TA292" s="23"/>
      <c r="TB292" s="23"/>
      <c r="TC292" s="23"/>
      <c r="TD292" s="23"/>
      <c r="TE292" s="23"/>
    </row>
    <row r="293" spans="1:525" s="22" customFormat="1" ht="31.5" x14ac:dyDescent="0.25">
      <c r="A293" s="56" t="s">
        <v>272</v>
      </c>
      <c r="B293" s="84" t="str">
        <f>'дод 3'!A183</f>
        <v>7310</v>
      </c>
      <c r="C293" s="84" t="str">
        <f>'дод 3'!B183</f>
        <v>0443</v>
      </c>
      <c r="D293" s="57" t="str">
        <f>'дод 3'!C183</f>
        <v>Будівництво1 об'єктів житлово-комунального господарства</v>
      </c>
      <c r="E293" s="139">
        <f t="shared" si="144"/>
        <v>0</v>
      </c>
      <c r="F293" s="139"/>
      <c r="G293" s="139"/>
      <c r="H293" s="139"/>
      <c r="I293" s="139"/>
      <c r="J293" s="139">
        <f t="shared" si="147"/>
        <v>2000000</v>
      </c>
      <c r="K293" s="139">
        <v>2000000</v>
      </c>
      <c r="L293" s="139"/>
      <c r="M293" s="139"/>
      <c r="N293" s="139"/>
      <c r="O293" s="139">
        <v>2000000</v>
      </c>
      <c r="P293" s="139">
        <f t="shared" si="145"/>
        <v>2000000</v>
      </c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  <c r="SQ293" s="23"/>
      <c r="SR293" s="23"/>
      <c r="SS293" s="23"/>
      <c r="ST293" s="23"/>
      <c r="SU293" s="23"/>
      <c r="SV293" s="23"/>
      <c r="SW293" s="23"/>
      <c r="SX293" s="23"/>
      <c r="SY293" s="23"/>
      <c r="SZ293" s="23"/>
      <c r="TA293" s="23"/>
      <c r="TB293" s="23"/>
      <c r="TC293" s="23"/>
      <c r="TD293" s="23"/>
      <c r="TE293" s="23"/>
    </row>
    <row r="294" spans="1:525" s="22" customFormat="1" ht="15.75" x14ac:dyDescent="0.25">
      <c r="A294" s="56" t="s">
        <v>273</v>
      </c>
      <c r="B294" s="84" t="str">
        <f>'дод 3'!A184</f>
        <v>7321</v>
      </c>
      <c r="C294" s="84" t="str">
        <f>'дод 3'!B184</f>
        <v>0443</v>
      </c>
      <c r="D294" s="6" t="str">
        <f>'дод 3'!C184</f>
        <v>Будівництво1 освітніх установ та закладів</v>
      </c>
      <c r="E294" s="139">
        <f t="shared" si="144"/>
        <v>0</v>
      </c>
      <c r="F294" s="139"/>
      <c r="G294" s="139"/>
      <c r="H294" s="139"/>
      <c r="I294" s="139"/>
      <c r="J294" s="139">
        <f t="shared" si="147"/>
        <v>7500000</v>
      </c>
      <c r="K294" s="139">
        <f>6000000+1500000+300000-300000</f>
        <v>7500000</v>
      </c>
      <c r="L294" s="139"/>
      <c r="M294" s="139"/>
      <c r="N294" s="139"/>
      <c r="O294" s="139">
        <f>7500000+300000-300000</f>
        <v>7500000</v>
      </c>
      <c r="P294" s="139">
        <f t="shared" si="145"/>
        <v>7500000</v>
      </c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  <c r="IW294" s="23"/>
      <c r="IX294" s="23"/>
      <c r="IY294" s="23"/>
      <c r="IZ294" s="23"/>
      <c r="JA294" s="23"/>
      <c r="JB294" s="23"/>
      <c r="JC294" s="23"/>
      <c r="JD294" s="23"/>
      <c r="JE294" s="23"/>
      <c r="JF294" s="23"/>
      <c r="JG294" s="23"/>
      <c r="JH294" s="23"/>
      <c r="JI294" s="23"/>
      <c r="JJ294" s="23"/>
      <c r="JK294" s="23"/>
      <c r="JL294" s="23"/>
      <c r="JM294" s="23"/>
      <c r="JN294" s="23"/>
      <c r="JO294" s="23"/>
      <c r="JP294" s="23"/>
      <c r="JQ294" s="23"/>
      <c r="JR294" s="23"/>
      <c r="JS294" s="23"/>
      <c r="JT294" s="23"/>
      <c r="JU294" s="23"/>
      <c r="JV294" s="23"/>
      <c r="JW294" s="23"/>
      <c r="JX294" s="23"/>
      <c r="JY294" s="23"/>
      <c r="JZ294" s="23"/>
      <c r="KA294" s="23"/>
      <c r="KB294" s="23"/>
      <c r="KC294" s="23"/>
      <c r="KD294" s="23"/>
      <c r="KE294" s="23"/>
      <c r="KF294" s="23"/>
      <c r="KG294" s="23"/>
      <c r="KH294" s="23"/>
      <c r="KI294" s="23"/>
      <c r="KJ294" s="23"/>
      <c r="KK294" s="23"/>
      <c r="KL294" s="23"/>
      <c r="KM294" s="23"/>
      <c r="KN294" s="23"/>
      <c r="KO294" s="23"/>
      <c r="KP294" s="23"/>
      <c r="KQ294" s="23"/>
      <c r="KR294" s="23"/>
      <c r="KS294" s="23"/>
      <c r="KT294" s="23"/>
      <c r="KU294" s="23"/>
      <c r="KV294" s="23"/>
      <c r="KW294" s="23"/>
      <c r="KX294" s="23"/>
      <c r="KY294" s="23"/>
      <c r="KZ294" s="23"/>
      <c r="LA294" s="23"/>
      <c r="LB294" s="23"/>
      <c r="LC294" s="23"/>
      <c r="LD294" s="23"/>
      <c r="LE294" s="23"/>
      <c r="LF294" s="23"/>
      <c r="LG294" s="23"/>
      <c r="LH294" s="23"/>
      <c r="LI294" s="23"/>
      <c r="LJ294" s="23"/>
      <c r="LK294" s="23"/>
      <c r="LL294" s="23"/>
      <c r="LM294" s="23"/>
      <c r="LN294" s="23"/>
      <c r="LO294" s="23"/>
      <c r="LP294" s="23"/>
      <c r="LQ294" s="23"/>
      <c r="LR294" s="23"/>
      <c r="LS294" s="23"/>
      <c r="LT294" s="23"/>
      <c r="LU294" s="23"/>
      <c r="LV294" s="23"/>
      <c r="LW294" s="23"/>
      <c r="LX294" s="23"/>
      <c r="LY294" s="23"/>
      <c r="LZ294" s="23"/>
      <c r="MA294" s="23"/>
      <c r="MB294" s="23"/>
      <c r="MC294" s="23"/>
      <c r="MD294" s="23"/>
      <c r="ME294" s="23"/>
      <c r="MF294" s="23"/>
      <c r="MG294" s="23"/>
      <c r="MH294" s="23"/>
      <c r="MI294" s="23"/>
      <c r="MJ294" s="23"/>
      <c r="MK294" s="23"/>
      <c r="ML294" s="23"/>
      <c r="MM294" s="23"/>
      <c r="MN294" s="23"/>
      <c r="MO294" s="23"/>
      <c r="MP294" s="23"/>
      <c r="MQ294" s="23"/>
      <c r="MR294" s="23"/>
      <c r="MS294" s="23"/>
      <c r="MT294" s="23"/>
      <c r="MU294" s="23"/>
      <c r="MV294" s="23"/>
      <c r="MW294" s="23"/>
      <c r="MX294" s="23"/>
      <c r="MY294" s="23"/>
      <c r="MZ294" s="23"/>
      <c r="NA294" s="23"/>
      <c r="NB294" s="23"/>
      <c r="NC294" s="23"/>
      <c r="ND294" s="23"/>
      <c r="NE294" s="23"/>
      <c r="NF294" s="23"/>
      <c r="NG294" s="23"/>
      <c r="NH294" s="23"/>
      <c r="NI294" s="23"/>
      <c r="NJ294" s="23"/>
      <c r="NK294" s="23"/>
      <c r="NL294" s="23"/>
      <c r="NM294" s="23"/>
      <c r="NN294" s="23"/>
      <c r="NO294" s="23"/>
      <c r="NP294" s="23"/>
      <c r="NQ294" s="23"/>
      <c r="NR294" s="23"/>
      <c r="NS294" s="23"/>
      <c r="NT294" s="23"/>
      <c r="NU294" s="23"/>
      <c r="NV294" s="23"/>
      <c r="NW294" s="23"/>
      <c r="NX294" s="23"/>
      <c r="NY294" s="23"/>
      <c r="NZ294" s="23"/>
      <c r="OA294" s="23"/>
      <c r="OB294" s="23"/>
      <c r="OC294" s="23"/>
      <c r="OD294" s="23"/>
      <c r="OE294" s="23"/>
      <c r="OF294" s="23"/>
      <c r="OG294" s="23"/>
      <c r="OH294" s="23"/>
      <c r="OI294" s="23"/>
      <c r="OJ294" s="23"/>
      <c r="OK294" s="23"/>
      <c r="OL294" s="23"/>
      <c r="OM294" s="23"/>
      <c r="ON294" s="23"/>
      <c r="OO294" s="23"/>
      <c r="OP294" s="23"/>
      <c r="OQ294" s="23"/>
      <c r="OR294" s="23"/>
      <c r="OS294" s="23"/>
      <c r="OT294" s="23"/>
      <c r="OU294" s="23"/>
      <c r="OV294" s="23"/>
      <c r="OW294" s="23"/>
      <c r="OX294" s="23"/>
      <c r="OY294" s="23"/>
      <c r="OZ294" s="23"/>
      <c r="PA294" s="23"/>
      <c r="PB294" s="23"/>
      <c r="PC294" s="23"/>
      <c r="PD294" s="23"/>
      <c r="PE294" s="23"/>
      <c r="PF294" s="23"/>
      <c r="PG294" s="23"/>
      <c r="PH294" s="23"/>
      <c r="PI294" s="23"/>
      <c r="PJ294" s="23"/>
      <c r="PK294" s="23"/>
      <c r="PL294" s="23"/>
      <c r="PM294" s="23"/>
      <c r="PN294" s="23"/>
      <c r="PO294" s="23"/>
      <c r="PP294" s="23"/>
      <c r="PQ294" s="23"/>
      <c r="PR294" s="23"/>
      <c r="PS294" s="23"/>
      <c r="PT294" s="23"/>
      <c r="PU294" s="23"/>
      <c r="PV294" s="23"/>
      <c r="PW294" s="23"/>
      <c r="PX294" s="23"/>
      <c r="PY294" s="23"/>
      <c r="PZ294" s="23"/>
      <c r="QA294" s="23"/>
      <c r="QB294" s="23"/>
      <c r="QC294" s="23"/>
      <c r="QD294" s="23"/>
      <c r="QE294" s="23"/>
      <c r="QF294" s="23"/>
      <c r="QG294" s="23"/>
      <c r="QH294" s="23"/>
      <c r="QI294" s="23"/>
      <c r="QJ294" s="23"/>
      <c r="QK294" s="23"/>
      <c r="QL294" s="23"/>
      <c r="QM294" s="23"/>
      <c r="QN294" s="23"/>
      <c r="QO294" s="23"/>
      <c r="QP294" s="23"/>
      <c r="QQ294" s="23"/>
      <c r="QR294" s="23"/>
      <c r="QS294" s="23"/>
      <c r="QT294" s="23"/>
      <c r="QU294" s="23"/>
      <c r="QV294" s="23"/>
      <c r="QW294" s="23"/>
      <c r="QX294" s="23"/>
      <c r="QY294" s="23"/>
      <c r="QZ294" s="23"/>
      <c r="RA294" s="23"/>
      <c r="RB294" s="23"/>
      <c r="RC294" s="23"/>
      <c r="RD294" s="23"/>
      <c r="RE294" s="23"/>
      <c r="RF294" s="23"/>
      <c r="RG294" s="23"/>
      <c r="RH294" s="23"/>
      <c r="RI294" s="23"/>
      <c r="RJ294" s="23"/>
      <c r="RK294" s="23"/>
      <c r="RL294" s="23"/>
      <c r="RM294" s="23"/>
      <c r="RN294" s="23"/>
      <c r="RO294" s="23"/>
      <c r="RP294" s="23"/>
      <c r="RQ294" s="23"/>
      <c r="RR294" s="23"/>
      <c r="RS294" s="23"/>
      <c r="RT294" s="23"/>
      <c r="RU294" s="23"/>
      <c r="RV294" s="23"/>
      <c r="RW294" s="23"/>
      <c r="RX294" s="23"/>
      <c r="RY294" s="23"/>
      <c r="RZ294" s="23"/>
      <c r="SA294" s="23"/>
      <c r="SB294" s="23"/>
      <c r="SC294" s="23"/>
      <c r="SD294" s="23"/>
      <c r="SE294" s="23"/>
      <c r="SF294" s="23"/>
      <c r="SG294" s="23"/>
      <c r="SH294" s="23"/>
      <c r="SI294" s="23"/>
      <c r="SJ294" s="23"/>
      <c r="SK294" s="23"/>
      <c r="SL294" s="23"/>
      <c r="SM294" s="23"/>
      <c r="SN294" s="23"/>
      <c r="SO294" s="23"/>
      <c r="SP294" s="23"/>
      <c r="SQ294" s="23"/>
      <c r="SR294" s="23"/>
      <c r="SS294" s="23"/>
      <c r="ST294" s="23"/>
      <c r="SU294" s="23"/>
      <c r="SV294" s="23"/>
      <c r="SW294" s="23"/>
      <c r="SX294" s="23"/>
      <c r="SY294" s="23"/>
      <c r="SZ294" s="23"/>
      <c r="TA294" s="23"/>
      <c r="TB294" s="23"/>
      <c r="TC294" s="23"/>
      <c r="TD294" s="23"/>
      <c r="TE294" s="23"/>
    </row>
    <row r="295" spans="1:525" s="22" customFormat="1" ht="15.75" x14ac:dyDescent="0.25">
      <c r="A295" s="56" t="s">
        <v>275</v>
      </c>
      <c r="B295" s="84" t="str">
        <f>'дод 3'!A186</f>
        <v>7322</v>
      </c>
      <c r="C295" s="84" t="str">
        <f>'дод 3'!B186</f>
        <v>0443</v>
      </c>
      <c r="D295" s="6" t="str">
        <f>'дод 3'!C186</f>
        <v>Будівництво1 медичних установ та закладів</v>
      </c>
      <c r="E295" s="139">
        <f t="shared" si="144"/>
        <v>0</v>
      </c>
      <c r="F295" s="139"/>
      <c r="G295" s="139"/>
      <c r="H295" s="139"/>
      <c r="I295" s="139"/>
      <c r="J295" s="139">
        <f t="shared" si="147"/>
        <v>3000000</v>
      </c>
      <c r="K295" s="139">
        <v>3000000</v>
      </c>
      <c r="L295" s="139"/>
      <c r="M295" s="139"/>
      <c r="N295" s="139"/>
      <c r="O295" s="139">
        <v>3000000</v>
      </c>
      <c r="P295" s="139">
        <f t="shared" si="145"/>
        <v>3000000</v>
      </c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  <c r="MJ295" s="23"/>
      <c r="MK295" s="23"/>
      <c r="ML295" s="23"/>
      <c r="MM295" s="23"/>
      <c r="MN295" s="23"/>
      <c r="MO295" s="23"/>
      <c r="MP295" s="23"/>
      <c r="MQ295" s="23"/>
      <c r="MR295" s="23"/>
      <c r="MS295" s="23"/>
      <c r="MT295" s="23"/>
      <c r="MU295" s="23"/>
      <c r="MV295" s="23"/>
      <c r="MW295" s="23"/>
      <c r="MX295" s="23"/>
      <c r="MY295" s="23"/>
      <c r="MZ295" s="23"/>
      <c r="NA295" s="23"/>
      <c r="NB295" s="23"/>
      <c r="NC295" s="23"/>
      <c r="ND295" s="23"/>
      <c r="NE295" s="23"/>
      <c r="NF295" s="23"/>
      <c r="NG295" s="23"/>
      <c r="NH295" s="23"/>
      <c r="NI295" s="23"/>
      <c r="NJ295" s="23"/>
      <c r="NK295" s="23"/>
      <c r="NL295" s="23"/>
      <c r="NM295" s="23"/>
      <c r="NN295" s="23"/>
      <c r="NO295" s="23"/>
      <c r="NP295" s="23"/>
      <c r="NQ295" s="23"/>
      <c r="NR295" s="23"/>
      <c r="NS295" s="23"/>
      <c r="NT295" s="23"/>
      <c r="NU295" s="23"/>
      <c r="NV295" s="23"/>
      <c r="NW295" s="23"/>
      <c r="NX295" s="23"/>
      <c r="NY295" s="23"/>
      <c r="NZ295" s="23"/>
      <c r="OA295" s="23"/>
      <c r="OB295" s="23"/>
      <c r="OC295" s="23"/>
      <c r="OD295" s="23"/>
      <c r="OE295" s="23"/>
      <c r="OF295" s="23"/>
      <c r="OG295" s="23"/>
      <c r="OH295" s="23"/>
      <c r="OI295" s="23"/>
      <c r="OJ295" s="23"/>
      <c r="OK295" s="23"/>
      <c r="OL295" s="23"/>
      <c r="OM295" s="23"/>
      <c r="ON295" s="23"/>
      <c r="OO295" s="23"/>
      <c r="OP295" s="23"/>
      <c r="OQ295" s="23"/>
      <c r="OR295" s="23"/>
      <c r="OS295" s="23"/>
      <c r="OT295" s="23"/>
      <c r="OU295" s="23"/>
      <c r="OV295" s="23"/>
      <c r="OW295" s="23"/>
      <c r="OX295" s="23"/>
      <c r="OY295" s="23"/>
      <c r="OZ295" s="23"/>
      <c r="PA295" s="23"/>
      <c r="PB295" s="23"/>
      <c r="PC295" s="23"/>
      <c r="PD295" s="23"/>
      <c r="PE295" s="23"/>
      <c r="PF295" s="23"/>
      <c r="PG295" s="23"/>
      <c r="PH295" s="23"/>
      <c r="PI295" s="23"/>
      <c r="PJ295" s="23"/>
      <c r="PK295" s="23"/>
      <c r="PL295" s="23"/>
      <c r="PM295" s="23"/>
      <c r="PN295" s="23"/>
      <c r="PO295" s="23"/>
      <c r="PP295" s="23"/>
      <c r="PQ295" s="23"/>
      <c r="PR295" s="23"/>
      <c r="PS295" s="23"/>
      <c r="PT295" s="23"/>
      <c r="PU295" s="23"/>
      <c r="PV295" s="23"/>
      <c r="PW295" s="23"/>
      <c r="PX295" s="23"/>
      <c r="PY295" s="23"/>
      <c r="PZ295" s="23"/>
      <c r="QA295" s="23"/>
      <c r="QB295" s="23"/>
      <c r="QC295" s="23"/>
      <c r="QD295" s="23"/>
      <c r="QE295" s="23"/>
      <c r="QF295" s="23"/>
      <c r="QG295" s="23"/>
      <c r="QH295" s="23"/>
      <c r="QI295" s="23"/>
      <c r="QJ295" s="23"/>
      <c r="QK295" s="23"/>
      <c r="QL295" s="23"/>
      <c r="QM295" s="23"/>
      <c r="QN295" s="23"/>
      <c r="QO295" s="23"/>
      <c r="QP295" s="23"/>
      <c r="QQ295" s="23"/>
      <c r="QR295" s="23"/>
      <c r="QS295" s="23"/>
      <c r="QT295" s="23"/>
      <c r="QU295" s="23"/>
      <c r="QV295" s="23"/>
      <c r="QW295" s="23"/>
      <c r="QX295" s="23"/>
      <c r="QY295" s="23"/>
      <c r="QZ295" s="23"/>
      <c r="RA295" s="23"/>
      <c r="RB295" s="23"/>
      <c r="RC295" s="23"/>
      <c r="RD295" s="23"/>
      <c r="RE295" s="23"/>
      <c r="RF295" s="23"/>
      <c r="RG295" s="23"/>
      <c r="RH295" s="23"/>
      <c r="RI295" s="23"/>
      <c r="RJ295" s="23"/>
      <c r="RK295" s="23"/>
      <c r="RL295" s="23"/>
      <c r="RM295" s="23"/>
      <c r="RN295" s="23"/>
      <c r="RO295" s="23"/>
      <c r="RP295" s="23"/>
      <c r="RQ295" s="23"/>
      <c r="RR295" s="23"/>
      <c r="RS295" s="23"/>
      <c r="RT295" s="23"/>
      <c r="RU295" s="23"/>
      <c r="RV295" s="23"/>
      <c r="RW295" s="23"/>
      <c r="RX295" s="23"/>
      <c r="RY295" s="23"/>
      <c r="RZ295" s="23"/>
      <c r="SA295" s="23"/>
      <c r="SB295" s="23"/>
      <c r="SC295" s="23"/>
      <c r="SD295" s="23"/>
      <c r="SE295" s="23"/>
      <c r="SF295" s="23"/>
      <c r="SG295" s="23"/>
      <c r="SH295" s="23"/>
      <c r="SI295" s="23"/>
      <c r="SJ295" s="23"/>
      <c r="SK295" s="23"/>
      <c r="SL295" s="23"/>
      <c r="SM295" s="23"/>
      <c r="SN295" s="23"/>
      <c r="SO295" s="23"/>
      <c r="SP295" s="23"/>
      <c r="SQ295" s="23"/>
      <c r="SR295" s="23"/>
      <c r="SS295" s="23"/>
      <c r="ST295" s="23"/>
      <c r="SU295" s="23"/>
      <c r="SV295" s="23"/>
      <c r="SW295" s="23"/>
      <c r="SX295" s="23"/>
      <c r="SY295" s="23"/>
      <c r="SZ295" s="23"/>
      <c r="TA295" s="23"/>
      <c r="TB295" s="23"/>
      <c r="TC295" s="23"/>
      <c r="TD295" s="23"/>
      <c r="TE295" s="23"/>
    </row>
    <row r="296" spans="1:525" s="22" customFormat="1" ht="15.75" x14ac:dyDescent="0.25">
      <c r="A296" s="56" t="s">
        <v>537</v>
      </c>
      <c r="B296" s="84">
        <v>7324</v>
      </c>
      <c r="C296" s="84">
        <v>443</v>
      </c>
      <c r="D296" s="6" t="str">
        <f>'дод 3'!C188</f>
        <v>Будівництво1 установ та закладів культури</v>
      </c>
      <c r="E296" s="139">
        <f t="shared" si="144"/>
        <v>0</v>
      </c>
      <c r="F296" s="139"/>
      <c r="G296" s="139"/>
      <c r="H296" s="139"/>
      <c r="I296" s="139"/>
      <c r="J296" s="139">
        <f t="shared" si="147"/>
        <v>300000</v>
      </c>
      <c r="K296" s="139">
        <v>300000</v>
      </c>
      <c r="L296" s="139"/>
      <c r="M296" s="139"/>
      <c r="N296" s="139"/>
      <c r="O296" s="139">
        <v>300000</v>
      </c>
      <c r="P296" s="139">
        <f t="shared" si="145"/>
        <v>300000</v>
      </c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  <c r="IW296" s="23"/>
      <c r="IX296" s="23"/>
      <c r="IY296" s="23"/>
      <c r="IZ296" s="23"/>
      <c r="JA296" s="23"/>
      <c r="JB296" s="23"/>
      <c r="JC296" s="23"/>
      <c r="JD296" s="23"/>
      <c r="JE296" s="23"/>
      <c r="JF296" s="23"/>
      <c r="JG296" s="23"/>
      <c r="JH296" s="23"/>
      <c r="JI296" s="23"/>
      <c r="JJ296" s="23"/>
      <c r="JK296" s="23"/>
      <c r="JL296" s="23"/>
      <c r="JM296" s="23"/>
      <c r="JN296" s="23"/>
      <c r="JO296" s="23"/>
      <c r="JP296" s="23"/>
      <c r="JQ296" s="23"/>
      <c r="JR296" s="23"/>
      <c r="JS296" s="23"/>
      <c r="JT296" s="23"/>
      <c r="JU296" s="23"/>
      <c r="JV296" s="23"/>
      <c r="JW296" s="23"/>
      <c r="JX296" s="23"/>
      <c r="JY296" s="23"/>
      <c r="JZ296" s="23"/>
      <c r="KA296" s="23"/>
      <c r="KB296" s="23"/>
      <c r="KC296" s="23"/>
      <c r="KD296" s="23"/>
      <c r="KE296" s="23"/>
      <c r="KF296" s="23"/>
      <c r="KG296" s="23"/>
      <c r="KH296" s="23"/>
      <c r="KI296" s="23"/>
      <c r="KJ296" s="23"/>
      <c r="KK296" s="23"/>
      <c r="KL296" s="23"/>
      <c r="KM296" s="23"/>
      <c r="KN296" s="23"/>
      <c r="KO296" s="23"/>
      <c r="KP296" s="23"/>
      <c r="KQ296" s="23"/>
      <c r="KR296" s="23"/>
      <c r="KS296" s="23"/>
      <c r="KT296" s="23"/>
      <c r="KU296" s="23"/>
      <c r="KV296" s="23"/>
      <c r="KW296" s="23"/>
      <c r="KX296" s="23"/>
      <c r="KY296" s="23"/>
      <c r="KZ296" s="23"/>
      <c r="LA296" s="23"/>
      <c r="LB296" s="23"/>
      <c r="LC296" s="23"/>
      <c r="LD296" s="23"/>
      <c r="LE296" s="23"/>
      <c r="LF296" s="23"/>
      <c r="LG296" s="23"/>
      <c r="LH296" s="23"/>
      <c r="LI296" s="23"/>
      <c r="LJ296" s="23"/>
      <c r="LK296" s="23"/>
      <c r="LL296" s="23"/>
      <c r="LM296" s="23"/>
      <c r="LN296" s="23"/>
      <c r="LO296" s="23"/>
      <c r="LP296" s="23"/>
      <c r="LQ296" s="23"/>
      <c r="LR296" s="23"/>
      <c r="LS296" s="23"/>
      <c r="LT296" s="23"/>
      <c r="LU296" s="23"/>
      <c r="LV296" s="23"/>
      <c r="LW296" s="23"/>
      <c r="LX296" s="23"/>
      <c r="LY296" s="23"/>
      <c r="LZ296" s="23"/>
      <c r="MA296" s="23"/>
      <c r="MB296" s="23"/>
      <c r="MC296" s="23"/>
      <c r="MD296" s="23"/>
      <c r="ME296" s="23"/>
      <c r="MF296" s="23"/>
      <c r="MG296" s="23"/>
      <c r="MH296" s="23"/>
      <c r="MI296" s="23"/>
      <c r="MJ296" s="23"/>
      <c r="MK296" s="23"/>
      <c r="ML296" s="23"/>
      <c r="MM296" s="23"/>
      <c r="MN296" s="23"/>
      <c r="MO296" s="23"/>
      <c r="MP296" s="23"/>
      <c r="MQ296" s="23"/>
      <c r="MR296" s="23"/>
      <c r="MS296" s="23"/>
      <c r="MT296" s="23"/>
      <c r="MU296" s="23"/>
      <c r="MV296" s="23"/>
      <c r="MW296" s="23"/>
      <c r="MX296" s="23"/>
      <c r="MY296" s="23"/>
      <c r="MZ296" s="23"/>
      <c r="NA296" s="23"/>
      <c r="NB296" s="23"/>
      <c r="NC296" s="23"/>
      <c r="ND296" s="23"/>
      <c r="NE296" s="23"/>
      <c r="NF296" s="23"/>
      <c r="NG296" s="23"/>
      <c r="NH296" s="23"/>
      <c r="NI296" s="23"/>
      <c r="NJ296" s="23"/>
      <c r="NK296" s="23"/>
      <c r="NL296" s="23"/>
      <c r="NM296" s="23"/>
      <c r="NN296" s="23"/>
      <c r="NO296" s="23"/>
      <c r="NP296" s="23"/>
      <c r="NQ296" s="23"/>
      <c r="NR296" s="23"/>
      <c r="NS296" s="23"/>
      <c r="NT296" s="23"/>
      <c r="NU296" s="23"/>
      <c r="NV296" s="23"/>
      <c r="NW296" s="23"/>
      <c r="NX296" s="23"/>
      <c r="NY296" s="23"/>
      <c r="NZ296" s="23"/>
      <c r="OA296" s="23"/>
      <c r="OB296" s="23"/>
      <c r="OC296" s="23"/>
      <c r="OD296" s="23"/>
      <c r="OE296" s="23"/>
      <c r="OF296" s="23"/>
      <c r="OG296" s="23"/>
      <c r="OH296" s="23"/>
      <c r="OI296" s="23"/>
      <c r="OJ296" s="23"/>
      <c r="OK296" s="23"/>
      <c r="OL296" s="23"/>
      <c r="OM296" s="23"/>
      <c r="ON296" s="23"/>
      <c r="OO296" s="23"/>
      <c r="OP296" s="23"/>
      <c r="OQ296" s="23"/>
      <c r="OR296" s="23"/>
      <c r="OS296" s="23"/>
      <c r="OT296" s="23"/>
      <c r="OU296" s="23"/>
      <c r="OV296" s="23"/>
      <c r="OW296" s="23"/>
      <c r="OX296" s="23"/>
      <c r="OY296" s="23"/>
      <c r="OZ296" s="23"/>
      <c r="PA296" s="23"/>
      <c r="PB296" s="23"/>
      <c r="PC296" s="23"/>
      <c r="PD296" s="23"/>
      <c r="PE296" s="23"/>
      <c r="PF296" s="23"/>
      <c r="PG296" s="23"/>
      <c r="PH296" s="23"/>
      <c r="PI296" s="23"/>
      <c r="PJ296" s="23"/>
      <c r="PK296" s="23"/>
      <c r="PL296" s="23"/>
      <c r="PM296" s="23"/>
      <c r="PN296" s="23"/>
      <c r="PO296" s="23"/>
      <c r="PP296" s="23"/>
      <c r="PQ296" s="23"/>
      <c r="PR296" s="23"/>
      <c r="PS296" s="23"/>
      <c r="PT296" s="23"/>
      <c r="PU296" s="23"/>
      <c r="PV296" s="23"/>
      <c r="PW296" s="23"/>
      <c r="PX296" s="23"/>
      <c r="PY296" s="23"/>
      <c r="PZ296" s="23"/>
      <c r="QA296" s="23"/>
      <c r="QB296" s="23"/>
      <c r="QC296" s="23"/>
      <c r="QD296" s="23"/>
      <c r="QE296" s="23"/>
      <c r="QF296" s="23"/>
      <c r="QG296" s="23"/>
      <c r="QH296" s="23"/>
      <c r="QI296" s="23"/>
      <c r="QJ296" s="23"/>
      <c r="QK296" s="23"/>
      <c r="QL296" s="23"/>
      <c r="QM296" s="23"/>
      <c r="QN296" s="23"/>
      <c r="QO296" s="23"/>
      <c r="QP296" s="23"/>
      <c r="QQ296" s="23"/>
      <c r="QR296" s="23"/>
      <c r="QS296" s="23"/>
      <c r="QT296" s="23"/>
      <c r="QU296" s="23"/>
      <c r="QV296" s="23"/>
      <c r="QW296" s="23"/>
      <c r="QX296" s="23"/>
      <c r="QY296" s="23"/>
      <c r="QZ296" s="23"/>
      <c r="RA296" s="23"/>
      <c r="RB296" s="23"/>
      <c r="RC296" s="23"/>
      <c r="RD296" s="23"/>
      <c r="RE296" s="23"/>
      <c r="RF296" s="23"/>
      <c r="RG296" s="23"/>
      <c r="RH296" s="23"/>
      <c r="RI296" s="23"/>
      <c r="RJ296" s="23"/>
      <c r="RK296" s="23"/>
      <c r="RL296" s="23"/>
      <c r="RM296" s="23"/>
      <c r="RN296" s="23"/>
      <c r="RO296" s="23"/>
      <c r="RP296" s="23"/>
      <c r="RQ296" s="23"/>
      <c r="RR296" s="23"/>
      <c r="RS296" s="23"/>
      <c r="RT296" s="23"/>
      <c r="RU296" s="23"/>
      <c r="RV296" s="23"/>
      <c r="RW296" s="23"/>
      <c r="RX296" s="23"/>
      <c r="RY296" s="23"/>
      <c r="RZ296" s="23"/>
      <c r="SA296" s="23"/>
      <c r="SB296" s="23"/>
      <c r="SC296" s="23"/>
      <c r="SD296" s="23"/>
      <c r="SE296" s="23"/>
      <c r="SF296" s="23"/>
      <c r="SG296" s="23"/>
      <c r="SH296" s="23"/>
      <c r="SI296" s="23"/>
      <c r="SJ296" s="23"/>
      <c r="SK296" s="23"/>
      <c r="SL296" s="23"/>
      <c r="SM296" s="23"/>
      <c r="SN296" s="23"/>
      <c r="SO296" s="23"/>
      <c r="SP296" s="23"/>
      <c r="SQ296" s="23"/>
      <c r="SR296" s="23"/>
      <c r="SS296" s="23"/>
      <c r="ST296" s="23"/>
      <c r="SU296" s="23"/>
      <c r="SV296" s="23"/>
      <c r="SW296" s="23"/>
      <c r="SX296" s="23"/>
      <c r="SY296" s="23"/>
      <c r="SZ296" s="23"/>
      <c r="TA296" s="23"/>
      <c r="TB296" s="23"/>
      <c r="TC296" s="23"/>
      <c r="TD296" s="23"/>
      <c r="TE296" s="23"/>
    </row>
    <row r="297" spans="1:525" s="22" customFormat="1" ht="31.5" x14ac:dyDescent="0.25">
      <c r="A297" s="56" t="s">
        <v>354</v>
      </c>
      <c r="B297" s="84">
        <f>'дод 3'!A189</f>
        <v>7325</v>
      </c>
      <c r="C297" s="56" t="s">
        <v>110</v>
      </c>
      <c r="D297" s="6" t="str">
        <f>'дод 3'!C189</f>
        <v>Будівництво1 споруд, установ та закладів фізичної культури і спорту</v>
      </c>
      <c r="E297" s="139">
        <f t="shared" si="144"/>
        <v>0</v>
      </c>
      <c r="F297" s="139"/>
      <c r="G297" s="139"/>
      <c r="H297" s="139"/>
      <c r="I297" s="139"/>
      <c r="J297" s="139">
        <f t="shared" si="147"/>
        <v>20150000</v>
      </c>
      <c r="K297" s="139">
        <f>20768133-768133+150000</f>
        <v>20150000</v>
      </c>
      <c r="L297" s="139"/>
      <c r="M297" s="139"/>
      <c r="N297" s="139"/>
      <c r="O297" s="139">
        <f>20768133-768133+150000</f>
        <v>20150000</v>
      </c>
      <c r="P297" s="139">
        <f t="shared" si="145"/>
        <v>20150000</v>
      </c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  <c r="IV297" s="23"/>
      <c r="IW297" s="23"/>
      <c r="IX297" s="23"/>
      <c r="IY297" s="23"/>
      <c r="IZ297" s="23"/>
      <c r="JA297" s="23"/>
      <c r="JB297" s="23"/>
      <c r="JC297" s="23"/>
      <c r="JD297" s="23"/>
      <c r="JE297" s="23"/>
      <c r="JF297" s="23"/>
      <c r="JG297" s="23"/>
      <c r="JH297" s="23"/>
      <c r="JI297" s="23"/>
      <c r="JJ297" s="23"/>
      <c r="JK297" s="23"/>
      <c r="JL297" s="23"/>
      <c r="JM297" s="23"/>
      <c r="JN297" s="23"/>
      <c r="JO297" s="23"/>
      <c r="JP297" s="23"/>
      <c r="JQ297" s="23"/>
      <c r="JR297" s="23"/>
      <c r="JS297" s="23"/>
      <c r="JT297" s="23"/>
      <c r="JU297" s="23"/>
      <c r="JV297" s="23"/>
      <c r="JW297" s="23"/>
      <c r="JX297" s="23"/>
      <c r="JY297" s="23"/>
      <c r="JZ297" s="23"/>
      <c r="KA297" s="23"/>
      <c r="KB297" s="23"/>
      <c r="KC297" s="23"/>
      <c r="KD297" s="23"/>
      <c r="KE297" s="23"/>
      <c r="KF297" s="23"/>
      <c r="KG297" s="23"/>
      <c r="KH297" s="23"/>
      <c r="KI297" s="23"/>
      <c r="KJ297" s="23"/>
      <c r="KK297" s="23"/>
      <c r="KL297" s="23"/>
      <c r="KM297" s="23"/>
      <c r="KN297" s="23"/>
      <c r="KO297" s="23"/>
      <c r="KP297" s="23"/>
      <c r="KQ297" s="23"/>
      <c r="KR297" s="23"/>
      <c r="KS297" s="23"/>
      <c r="KT297" s="23"/>
      <c r="KU297" s="23"/>
      <c r="KV297" s="23"/>
      <c r="KW297" s="23"/>
      <c r="KX297" s="23"/>
      <c r="KY297" s="23"/>
      <c r="KZ297" s="23"/>
      <c r="LA297" s="23"/>
      <c r="LB297" s="23"/>
      <c r="LC297" s="23"/>
      <c r="LD297" s="23"/>
      <c r="LE297" s="23"/>
      <c r="LF297" s="23"/>
      <c r="LG297" s="23"/>
      <c r="LH297" s="23"/>
      <c r="LI297" s="23"/>
      <c r="LJ297" s="23"/>
      <c r="LK297" s="23"/>
      <c r="LL297" s="23"/>
      <c r="LM297" s="23"/>
      <c r="LN297" s="23"/>
      <c r="LO297" s="23"/>
      <c r="LP297" s="23"/>
      <c r="LQ297" s="23"/>
      <c r="LR297" s="23"/>
      <c r="LS297" s="23"/>
      <c r="LT297" s="23"/>
      <c r="LU297" s="23"/>
      <c r="LV297" s="23"/>
      <c r="LW297" s="23"/>
      <c r="LX297" s="23"/>
      <c r="LY297" s="23"/>
      <c r="LZ297" s="23"/>
      <c r="MA297" s="23"/>
      <c r="MB297" s="23"/>
      <c r="MC297" s="23"/>
      <c r="MD297" s="23"/>
      <c r="ME297" s="23"/>
      <c r="MF297" s="23"/>
      <c r="MG297" s="23"/>
      <c r="MH297" s="23"/>
      <c r="MI297" s="23"/>
      <c r="MJ297" s="23"/>
      <c r="MK297" s="23"/>
      <c r="ML297" s="23"/>
      <c r="MM297" s="23"/>
      <c r="MN297" s="23"/>
      <c r="MO297" s="23"/>
      <c r="MP297" s="23"/>
      <c r="MQ297" s="23"/>
      <c r="MR297" s="23"/>
      <c r="MS297" s="23"/>
      <c r="MT297" s="23"/>
      <c r="MU297" s="23"/>
      <c r="MV297" s="23"/>
      <c r="MW297" s="23"/>
      <c r="MX297" s="23"/>
      <c r="MY297" s="23"/>
      <c r="MZ297" s="23"/>
      <c r="NA297" s="23"/>
      <c r="NB297" s="23"/>
      <c r="NC297" s="23"/>
      <c r="ND297" s="23"/>
      <c r="NE297" s="23"/>
      <c r="NF297" s="23"/>
      <c r="NG297" s="23"/>
      <c r="NH297" s="23"/>
      <c r="NI297" s="23"/>
      <c r="NJ297" s="23"/>
      <c r="NK297" s="23"/>
      <c r="NL297" s="23"/>
      <c r="NM297" s="23"/>
      <c r="NN297" s="23"/>
      <c r="NO297" s="23"/>
      <c r="NP297" s="23"/>
      <c r="NQ297" s="23"/>
      <c r="NR297" s="23"/>
      <c r="NS297" s="23"/>
      <c r="NT297" s="23"/>
      <c r="NU297" s="23"/>
      <c r="NV297" s="23"/>
      <c r="NW297" s="23"/>
      <c r="NX297" s="23"/>
      <c r="NY297" s="23"/>
      <c r="NZ297" s="23"/>
      <c r="OA297" s="23"/>
      <c r="OB297" s="23"/>
      <c r="OC297" s="23"/>
      <c r="OD297" s="23"/>
      <c r="OE297" s="23"/>
      <c r="OF297" s="23"/>
      <c r="OG297" s="23"/>
      <c r="OH297" s="23"/>
      <c r="OI297" s="23"/>
      <c r="OJ297" s="23"/>
      <c r="OK297" s="23"/>
      <c r="OL297" s="23"/>
      <c r="OM297" s="23"/>
      <c r="ON297" s="23"/>
      <c r="OO297" s="23"/>
      <c r="OP297" s="23"/>
      <c r="OQ297" s="23"/>
      <c r="OR297" s="23"/>
      <c r="OS297" s="23"/>
      <c r="OT297" s="23"/>
      <c r="OU297" s="23"/>
      <c r="OV297" s="23"/>
      <c r="OW297" s="23"/>
      <c r="OX297" s="23"/>
      <c r="OY297" s="23"/>
      <c r="OZ297" s="23"/>
      <c r="PA297" s="23"/>
      <c r="PB297" s="23"/>
      <c r="PC297" s="23"/>
      <c r="PD297" s="23"/>
      <c r="PE297" s="23"/>
      <c r="PF297" s="23"/>
      <c r="PG297" s="23"/>
      <c r="PH297" s="23"/>
      <c r="PI297" s="23"/>
      <c r="PJ297" s="23"/>
      <c r="PK297" s="23"/>
      <c r="PL297" s="23"/>
      <c r="PM297" s="23"/>
      <c r="PN297" s="23"/>
      <c r="PO297" s="23"/>
      <c r="PP297" s="23"/>
      <c r="PQ297" s="23"/>
      <c r="PR297" s="23"/>
      <c r="PS297" s="23"/>
      <c r="PT297" s="23"/>
      <c r="PU297" s="23"/>
      <c r="PV297" s="23"/>
      <c r="PW297" s="23"/>
      <c r="PX297" s="23"/>
      <c r="PY297" s="23"/>
      <c r="PZ297" s="23"/>
      <c r="QA297" s="23"/>
      <c r="QB297" s="23"/>
      <c r="QC297" s="23"/>
      <c r="QD297" s="23"/>
      <c r="QE297" s="23"/>
      <c r="QF297" s="23"/>
      <c r="QG297" s="23"/>
      <c r="QH297" s="23"/>
      <c r="QI297" s="23"/>
      <c r="QJ297" s="23"/>
      <c r="QK297" s="23"/>
      <c r="QL297" s="23"/>
      <c r="QM297" s="23"/>
      <c r="QN297" s="23"/>
      <c r="QO297" s="23"/>
      <c r="QP297" s="23"/>
      <c r="QQ297" s="23"/>
      <c r="QR297" s="23"/>
      <c r="QS297" s="23"/>
      <c r="QT297" s="23"/>
      <c r="QU297" s="23"/>
      <c r="QV297" s="23"/>
      <c r="QW297" s="23"/>
      <c r="QX297" s="23"/>
      <c r="QY297" s="23"/>
      <c r="QZ297" s="23"/>
      <c r="RA297" s="23"/>
      <c r="RB297" s="23"/>
      <c r="RC297" s="23"/>
      <c r="RD297" s="23"/>
      <c r="RE297" s="23"/>
      <c r="RF297" s="23"/>
      <c r="RG297" s="23"/>
      <c r="RH297" s="23"/>
      <c r="RI297" s="23"/>
      <c r="RJ297" s="23"/>
      <c r="RK297" s="23"/>
      <c r="RL297" s="23"/>
      <c r="RM297" s="23"/>
      <c r="RN297" s="23"/>
      <c r="RO297" s="23"/>
      <c r="RP297" s="23"/>
      <c r="RQ297" s="23"/>
      <c r="RR297" s="23"/>
      <c r="RS297" s="23"/>
      <c r="RT297" s="23"/>
      <c r="RU297" s="23"/>
      <c r="RV297" s="23"/>
      <c r="RW297" s="23"/>
      <c r="RX297" s="23"/>
      <c r="RY297" s="23"/>
      <c r="RZ297" s="23"/>
      <c r="SA297" s="23"/>
      <c r="SB297" s="23"/>
      <c r="SC297" s="23"/>
      <c r="SD297" s="23"/>
      <c r="SE297" s="23"/>
      <c r="SF297" s="23"/>
      <c r="SG297" s="23"/>
      <c r="SH297" s="23"/>
      <c r="SI297" s="23"/>
      <c r="SJ297" s="23"/>
      <c r="SK297" s="23"/>
      <c r="SL297" s="23"/>
      <c r="SM297" s="23"/>
      <c r="SN297" s="23"/>
      <c r="SO297" s="23"/>
      <c r="SP297" s="23"/>
      <c r="SQ297" s="23"/>
      <c r="SR297" s="23"/>
      <c r="SS297" s="23"/>
      <c r="ST297" s="23"/>
      <c r="SU297" s="23"/>
      <c r="SV297" s="23"/>
      <c r="SW297" s="23"/>
      <c r="SX297" s="23"/>
      <c r="SY297" s="23"/>
      <c r="SZ297" s="23"/>
      <c r="TA297" s="23"/>
      <c r="TB297" s="23"/>
      <c r="TC297" s="23"/>
      <c r="TD297" s="23"/>
      <c r="TE297" s="23"/>
    </row>
    <row r="298" spans="1:525" s="22" customFormat="1" ht="37.5" customHeight="1" x14ac:dyDescent="0.25">
      <c r="A298" s="56" t="s">
        <v>277</v>
      </c>
      <c r="B298" s="84" t="str">
        <f>'дод 3'!A190</f>
        <v>7330</v>
      </c>
      <c r="C298" s="84" t="str">
        <f>'дод 3'!B190</f>
        <v>0443</v>
      </c>
      <c r="D298" s="6" t="str">
        <f>'дод 3'!C190</f>
        <v>Будівництво1 інших об'єктів комунальної власності</v>
      </c>
      <c r="E298" s="139">
        <f t="shared" si="144"/>
        <v>0</v>
      </c>
      <c r="F298" s="139"/>
      <c r="G298" s="139"/>
      <c r="H298" s="139"/>
      <c r="I298" s="139"/>
      <c r="J298" s="139">
        <f t="shared" si="147"/>
        <v>48489651</v>
      </c>
      <c r="K298" s="139">
        <f>2880000+239651+21250000+600000+2000000-600000-2000000-380000+500000+24000000</f>
        <v>48489651</v>
      </c>
      <c r="L298" s="139"/>
      <c r="M298" s="139"/>
      <c r="N298" s="139"/>
      <c r="O298" s="139">
        <f>2880000+239651+21250000+600000+2000000-600000-2000000-380000+500000+24000000</f>
        <v>48489651</v>
      </c>
      <c r="P298" s="139">
        <f t="shared" si="145"/>
        <v>48489651</v>
      </c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  <c r="IW298" s="23"/>
      <c r="IX298" s="23"/>
      <c r="IY298" s="23"/>
      <c r="IZ298" s="23"/>
      <c r="JA298" s="23"/>
      <c r="JB298" s="23"/>
      <c r="JC298" s="23"/>
      <c r="JD298" s="23"/>
      <c r="JE298" s="23"/>
      <c r="JF298" s="23"/>
      <c r="JG298" s="23"/>
      <c r="JH298" s="23"/>
      <c r="JI298" s="23"/>
      <c r="JJ298" s="23"/>
      <c r="JK298" s="23"/>
      <c r="JL298" s="23"/>
      <c r="JM298" s="23"/>
      <c r="JN298" s="23"/>
      <c r="JO298" s="23"/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  <c r="JZ298" s="23"/>
      <c r="KA298" s="23"/>
      <c r="KB298" s="23"/>
      <c r="KC298" s="23"/>
      <c r="KD298" s="23"/>
      <c r="KE298" s="23"/>
      <c r="KF298" s="23"/>
      <c r="KG298" s="23"/>
      <c r="KH298" s="23"/>
      <c r="KI298" s="23"/>
      <c r="KJ298" s="23"/>
      <c r="KK298" s="23"/>
      <c r="KL298" s="23"/>
      <c r="KM298" s="23"/>
      <c r="KN298" s="23"/>
      <c r="KO298" s="23"/>
      <c r="KP298" s="23"/>
      <c r="KQ298" s="23"/>
      <c r="KR298" s="23"/>
      <c r="KS298" s="23"/>
      <c r="KT298" s="23"/>
      <c r="KU298" s="23"/>
      <c r="KV298" s="23"/>
      <c r="KW298" s="23"/>
      <c r="KX298" s="23"/>
      <c r="KY298" s="23"/>
      <c r="KZ298" s="23"/>
      <c r="LA298" s="23"/>
      <c r="LB298" s="23"/>
      <c r="LC298" s="23"/>
      <c r="LD298" s="23"/>
      <c r="LE298" s="23"/>
      <c r="LF298" s="23"/>
      <c r="LG298" s="23"/>
      <c r="LH298" s="23"/>
      <c r="LI298" s="23"/>
      <c r="LJ298" s="23"/>
      <c r="LK298" s="23"/>
      <c r="LL298" s="23"/>
      <c r="LM298" s="23"/>
      <c r="LN298" s="23"/>
      <c r="LO298" s="23"/>
      <c r="LP298" s="23"/>
      <c r="LQ298" s="23"/>
      <c r="LR298" s="23"/>
      <c r="LS298" s="23"/>
      <c r="LT298" s="23"/>
      <c r="LU298" s="23"/>
      <c r="LV298" s="23"/>
      <c r="LW298" s="23"/>
      <c r="LX298" s="23"/>
      <c r="LY298" s="23"/>
      <c r="LZ298" s="23"/>
      <c r="MA298" s="23"/>
      <c r="MB298" s="23"/>
      <c r="MC298" s="23"/>
      <c r="MD298" s="23"/>
      <c r="ME298" s="23"/>
      <c r="MF298" s="23"/>
      <c r="MG298" s="23"/>
      <c r="MH298" s="23"/>
      <c r="MI298" s="23"/>
      <c r="MJ298" s="23"/>
      <c r="MK298" s="23"/>
      <c r="ML298" s="23"/>
      <c r="MM298" s="23"/>
      <c r="MN298" s="23"/>
      <c r="MO298" s="23"/>
      <c r="MP298" s="23"/>
      <c r="MQ298" s="23"/>
      <c r="MR298" s="23"/>
      <c r="MS298" s="23"/>
      <c r="MT298" s="23"/>
      <c r="MU298" s="23"/>
      <c r="MV298" s="23"/>
      <c r="MW298" s="23"/>
      <c r="MX298" s="23"/>
      <c r="MY298" s="23"/>
      <c r="MZ298" s="23"/>
      <c r="NA298" s="23"/>
      <c r="NB298" s="23"/>
      <c r="NC298" s="23"/>
      <c r="ND298" s="23"/>
      <c r="NE298" s="23"/>
      <c r="NF298" s="23"/>
      <c r="NG298" s="23"/>
      <c r="NH298" s="23"/>
      <c r="NI298" s="23"/>
      <c r="NJ298" s="23"/>
      <c r="NK298" s="23"/>
      <c r="NL298" s="23"/>
      <c r="NM298" s="23"/>
      <c r="NN298" s="23"/>
      <c r="NO298" s="23"/>
      <c r="NP298" s="23"/>
      <c r="NQ298" s="23"/>
      <c r="NR298" s="23"/>
      <c r="NS298" s="23"/>
      <c r="NT298" s="23"/>
      <c r="NU298" s="23"/>
      <c r="NV298" s="23"/>
      <c r="NW298" s="23"/>
      <c r="NX298" s="23"/>
      <c r="NY298" s="23"/>
      <c r="NZ298" s="23"/>
      <c r="OA298" s="23"/>
      <c r="OB298" s="23"/>
      <c r="OC298" s="23"/>
      <c r="OD298" s="23"/>
      <c r="OE298" s="23"/>
      <c r="OF298" s="23"/>
      <c r="OG298" s="23"/>
      <c r="OH298" s="23"/>
      <c r="OI298" s="23"/>
      <c r="OJ298" s="23"/>
      <c r="OK298" s="23"/>
      <c r="OL298" s="23"/>
      <c r="OM298" s="23"/>
      <c r="ON298" s="23"/>
      <c r="OO298" s="23"/>
      <c r="OP298" s="23"/>
      <c r="OQ298" s="23"/>
      <c r="OR298" s="23"/>
      <c r="OS298" s="23"/>
      <c r="OT298" s="23"/>
      <c r="OU298" s="23"/>
      <c r="OV298" s="23"/>
      <c r="OW298" s="23"/>
      <c r="OX298" s="23"/>
      <c r="OY298" s="23"/>
      <c r="OZ298" s="23"/>
      <c r="PA298" s="23"/>
      <c r="PB298" s="23"/>
      <c r="PC298" s="23"/>
      <c r="PD298" s="23"/>
      <c r="PE298" s="23"/>
      <c r="PF298" s="23"/>
      <c r="PG298" s="23"/>
      <c r="PH298" s="23"/>
      <c r="PI298" s="23"/>
      <c r="PJ298" s="23"/>
      <c r="PK298" s="23"/>
      <c r="PL298" s="23"/>
      <c r="PM298" s="23"/>
      <c r="PN298" s="23"/>
      <c r="PO298" s="23"/>
      <c r="PP298" s="23"/>
      <c r="PQ298" s="23"/>
      <c r="PR298" s="23"/>
      <c r="PS298" s="23"/>
      <c r="PT298" s="23"/>
      <c r="PU298" s="23"/>
      <c r="PV298" s="23"/>
      <c r="PW298" s="23"/>
      <c r="PX298" s="23"/>
      <c r="PY298" s="23"/>
      <c r="PZ298" s="23"/>
      <c r="QA298" s="23"/>
      <c r="QB298" s="23"/>
      <c r="QC298" s="23"/>
      <c r="QD298" s="23"/>
      <c r="QE298" s="23"/>
      <c r="QF298" s="23"/>
      <c r="QG298" s="23"/>
      <c r="QH298" s="23"/>
      <c r="QI298" s="23"/>
      <c r="QJ298" s="23"/>
      <c r="QK298" s="23"/>
      <c r="QL298" s="23"/>
      <c r="QM298" s="23"/>
      <c r="QN298" s="23"/>
      <c r="QO298" s="23"/>
      <c r="QP298" s="23"/>
      <c r="QQ298" s="23"/>
      <c r="QR298" s="23"/>
      <c r="QS298" s="23"/>
      <c r="QT298" s="23"/>
      <c r="QU298" s="23"/>
      <c r="QV298" s="23"/>
      <c r="QW298" s="23"/>
      <c r="QX298" s="23"/>
      <c r="QY298" s="23"/>
      <c r="QZ298" s="23"/>
      <c r="RA298" s="23"/>
      <c r="RB298" s="23"/>
      <c r="RC298" s="23"/>
      <c r="RD298" s="23"/>
      <c r="RE298" s="23"/>
      <c r="RF298" s="23"/>
      <c r="RG298" s="23"/>
      <c r="RH298" s="23"/>
      <c r="RI298" s="23"/>
      <c r="RJ298" s="23"/>
      <c r="RK298" s="23"/>
      <c r="RL298" s="23"/>
      <c r="RM298" s="23"/>
      <c r="RN298" s="23"/>
      <c r="RO298" s="23"/>
      <c r="RP298" s="23"/>
      <c r="RQ298" s="23"/>
      <c r="RR298" s="23"/>
      <c r="RS298" s="23"/>
      <c r="RT298" s="23"/>
      <c r="RU298" s="23"/>
      <c r="RV298" s="23"/>
      <c r="RW298" s="23"/>
      <c r="RX298" s="23"/>
      <c r="RY298" s="23"/>
      <c r="RZ298" s="23"/>
      <c r="SA298" s="23"/>
      <c r="SB298" s="23"/>
      <c r="SC298" s="23"/>
      <c r="SD298" s="23"/>
      <c r="SE298" s="23"/>
      <c r="SF298" s="23"/>
      <c r="SG298" s="23"/>
      <c r="SH298" s="23"/>
      <c r="SI298" s="23"/>
      <c r="SJ298" s="23"/>
      <c r="SK298" s="23"/>
      <c r="SL298" s="23"/>
      <c r="SM298" s="23"/>
      <c r="SN298" s="23"/>
      <c r="SO298" s="23"/>
      <c r="SP298" s="23"/>
      <c r="SQ298" s="23"/>
      <c r="SR298" s="23"/>
      <c r="SS298" s="23"/>
      <c r="ST298" s="23"/>
      <c r="SU298" s="23"/>
      <c r="SV298" s="23"/>
      <c r="SW298" s="23"/>
      <c r="SX298" s="23"/>
      <c r="SY298" s="23"/>
      <c r="SZ298" s="23"/>
      <c r="TA298" s="23"/>
      <c r="TB298" s="23"/>
      <c r="TC298" s="23"/>
      <c r="TD298" s="23"/>
      <c r="TE298" s="23"/>
    </row>
    <row r="299" spans="1:525" s="22" customFormat="1" ht="31.5" x14ac:dyDescent="0.25">
      <c r="A299" s="56" t="s">
        <v>418</v>
      </c>
      <c r="B299" s="84">
        <v>7340</v>
      </c>
      <c r="C299" s="56" t="s">
        <v>110</v>
      </c>
      <c r="D299" s="57" t="s">
        <v>1</v>
      </c>
      <c r="E299" s="139">
        <f t="shared" si="144"/>
        <v>0</v>
      </c>
      <c r="F299" s="139"/>
      <c r="G299" s="139"/>
      <c r="H299" s="139"/>
      <c r="I299" s="139"/>
      <c r="J299" s="139">
        <f t="shared" si="147"/>
        <v>500000</v>
      </c>
      <c r="K299" s="139">
        <v>500000</v>
      </c>
      <c r="L299" s="139"/>
      <c r="M299" s="139"/>
      <c r="N299" s="139"/>
      <c r="O299" s="139">
        <v>500000</v>
      </c>
      <c r="P299" s="139">
        <f t="shared" si="145"/>
        <v>500000</v>
      </c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  <c r="SQ299" s="23"/>
      <c r="SR299" s="23"/>
      <c r="SS299" s="23"/>
      <c r="ST299" s="23"/>
      <c r="SU299" s="23"/>
      <c r="SV299" s="23"/>
      <c r="SW299" s="23"/>
      <c r="SX299" s="23"/>
      <c r="SY299" s="23"/>
      <c r="SZ299" s="23"/>
      <c r="TA299" s="23"/>
      <c r="TB299" s="23"/>
      <c r="TC299" s="23"/>
      <c r="TD299" s="23"/>
      <c r="TE299" s="23"/>
    </row>
    <row r="300" spans="1:525" s="22" customFormat="1" ht="53.25" customHeight="1" x14ac:dyDescent="0.25">
      <c r="A300" s="56" t="s">
        <v>366</v>
      </c>
      <c r="B300" s="84">
        <f>'дод 3'!A193</f>
        <v>7361</v>
      </c>
      <c r="C300" s="84" t="str">
        <f>'дод 3'!B193</f>
        <v>0490</v>
      </c>
      <c r="D300" s="57" t="str">
        <f>'дод 3'!C193</f>
        <v>Співфінансування інвестиційних проектів, що реалізуються за рахунок коштів державного фонду регіонального розвитку</v>
      </c>
      <c r="E300" s="139">
        <f t="shared" ref="E300" si="148">F300+I300</f>
        <v>0</v>
      </c>
      <c r="F300" s="139"/>
      <c r="G300" s="139"/>
      <c r="H300" s="139"/>
      <c r="I300" s="139"/>
      <c r="J300" s="139">
        <f t="shared" ref="J300" si="149">L300+O300</f>
        <v>21844084</v>
      </c>
      <c r="K300" s="139">
        <v>21844084</v>
      </c>
      <c r="L300" s="139"/>
      <c r="M300" s="139"/>
      <c r="N300" s="139"/>
      <c r="O300" s="139">
        <v>21844084</v>
      </c>
      <c r="P300" s="139">
        <f t="shared" si="145"/>
        <v>21844084</v>
      </c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  <c r="SQ300" s="23"/>
      <c r="SR300" s="23"/>
      <c r="SS300" s="23"/>
      <c r="ST300" s="23"/>
      <c r="SU300" s="23"/>
      <c r="SV300" s="23"/>
      <c r="SW300" s="23"/>
      <c r="SX300" s="23"/>
      <c r="SY300" s="23"/>
      <c r="SZ300" s="23"/>
      <c r="TA300" s="23"/>
      <c r="TB300" s="23"/>
      <c r="TC300" s="23"/>
      <c r="TD300" s="23"/>
      <c r="TE300" s="23"/>
    </row>
    <row r="301" spans="1:525" s="22" customFormat="1" ht="47.25" hidden="1" customHeight="1" x14ac:dyDescent="0.25">
      <c r="A301" s="56" t="s">
        <v>361</v>
      </c>
      <c r="B301" s="84">
        <v>7363</v>
      </c>
      <c r="C301" s="56" t="s">
        <v>81</v>
      </c>
      <c r="D301" s="57" t="s">
        <v>392</v>
      </c>
      <c r="E301" s="139">
        <f t="shared" si="144"/>
        <v>0</v>
      </c>
      <c r="F301" s="139"/>
      <c r="G301" s="139"/>
      <c r="H301" s="139"/>
      <c r="I301" s="139"/>
      <c r="J301" s="139">
        <f t="shared" si="147"/>
        <v>0</v>
      </c>
      <c r="K301" s="139"/>
      <c r="L301" s="139"/>
      <c r="M301" s="139"/>
      <c r="N301" s="139"/>
      <c r="O301" s="139"/>
      <c r="P301" s="139">
        <f t="shared" si="145"/>
        <v>0</v>
      </c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  <c r="IW301" s="23"/>
      <c r="IX301" s="23"/>
      <c r="IY301" s="23"/>
      <c r="IZ301" s="23"/>
      <c r="JA301" s="23"/>
      <c r="JB301" s="23"/>
      <c r="JC301" s="23"/>
      <c r="JD301" s="23"/>
      <c r="JE301" s="23"/>
      <c r="JF301" s="23"/>
      <c r="JG301" s="23"/>
      <c r="JH301" s="23"/>
      <c r="JI301" s="23"/>
      <c r="JJ301" s="23"/>
      <c r="JK301" s="23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  <c r="JZ301" s="23"/>
      <c r="KA301" s="23"/>
      <c r="KB301" s="23"/>
      <c r="KC301" s="23"/>
      <c r="KD301" s="23"/>
      <c r="KE301" s="23"/>
      <c r="KF301" s="23"/>
      <c r="KG301" s="23"/>
      <c r="KH301" s="23"/>
      <c r="KI301" s="23"/>
      <c r="KJ301" s="23"/>
      <c r="KK301" s="23"/>
      <c r="KL301" s="23"/>
      <c r="KM301" s="23"/>
      <c r="KN301" s="23"/>
      <c r="KO301" s="23"/>
      <c r="KP301" s="23"/>
      <c r="KQ301" s="23"/>
      <c r="KR301" s="23"/>
      <c r="KS301" s="23"/>
      <c r="KT301" s="23"/>
      <c r="KU301" s="23"/>
      <c r="KV301" s="23"/>
      <c r="KW301" s="23"/>
      <c r="KX301" s="23"/>
      <c r="KY301" s="23"/>
      <c r="KZ301" s="23"/>
      <c r="LA301" s="23"/>
      <c r="LB301" s="23"/>
      <c r="LC301" s="23"/>
      <c r="LD301" s="23"/>
      <c r="LE301" s="23"/>
      <c r="LF301" s="23"/>
      <c r="LG301" s="23"/>
      <c r="LH301" s="23"/>
      <c r="LI301" s="23"/>
      <c r="LJ301" s="23"/>
      <c r="LK301" s="23"/>
      <c r="LL301" s="23"/>
      <c r="LM301" s="23"/>
      <c r="LN301" s="23"/>
      <c r="LO301" s="23"/>
      <c r="LP301" s="23"/>
      <c r="LQ301" s="23"/>
      <c r="LR301" s="23"/>
      <c r="LS301" s="23"/>
      <c r="LT301" s="23"/>
      <c r="LU301" s="23"/>
      <c r="LV301" s="23"/>
      <c r="LW301" s="23"/>
      <c r="LX301" s="23"/>
      <c r="LY301" s="23"/>
      <c r="LZ301" s="23"/>
      <c r="MA301" s="23"/>
      <c r="MB301" s="23"/>
      <c r="MC301" s="23"/>
      <c r="MD301" s="23"/>
      <c r="ME301" s="23"/>
      <c r="MF301" s="23"/>
      <c r="MG301" s="23"/>
      <c r="MH301" s="23"/>
      <c r="MI301" s="23"/>
      <c r="MJ301" s="23"/>
      <c r="MK301" s="23"/>
      <c r="ML301" s="23"/>
      <c r="MM301" s="23"/>
      <c r="MN301" s="23"/>
      <c r="MO301" s="23"/>
      <c r="MP301" s="23"/>
      <c r="MQ301" s="23"/>
      <c r="MR301" s="23"/>
      <c r="MS301" s="23"/>
      <c r="MT301" s="23"/>
      <c r="MU301" s="23"/>
      <c r="MV301" s="23"/>
      <c r="MW301" s="23"/>
      <c r="MX301" s="23"/>
      <c r="MY301" s="23"/>
      <c r="MZ301" s="23"/>
      <c r="NA301" s="23"/>
      <c r="NB301" s="23"/>
      <c r="NC301" s="23"/>
      <c r="ND301" s="23"/>
      <c r="NE301" s="23"/>
      <c r="NF301" s="23"/>
      <c r="NG301" s="23"/>
      <c r="NH301" s="23"/>
      <c r="NI301" s="23"/>
      <c r="NJ301" s="23"/>
      <c r="NK301" s="23"/>
      <c r="NL301" s="23"/>
      <c r="NM301" s="23"/>
      <c r="NN301" s="23"/>
      <c r="NO301" s="23"/>
      <c r="NP301" s="23"/>
      <c r="NQ301" s="23"/>
      <c r="NR301" s="23"/>
      <c r="NS301" s="23"/>
      <c r="NT301" s="23"/>
      <c r="NU301" s="23"/>
      <c r="NV301" s="23"/>
      <c r="NW301" s="23"/>
      <c r="NX301" s="23"/>
      <c r="NY301" s="23"/>
      <c r="NZ301" s="23"/>
      <c r="OA301" s="23"/>
      <c r="OB301" s="23"/>
      <c r="OC301" s="23"/>
      <c r="OD301" s="23"/>
      <c r="OE301" s="23"/>
      <c r="OF301" s="23"/>
      <c r="OG301" s="23"/>
      <c r="OH301" s="23"/>
      <c r="OI301" s="23"/>
      <c r="OJ301" s="23"/>
      <c r="OK301" s="23"/>
      <c r="OL301" s="23"/>
      <c r="OM301" s="23"/>
      <c r="ON301" s="23"/>
      <c r="OO301" s="23"/>
      <c r="OP301" s="23"/>
      <c r="OQ301" s="23"/>
      <c r="OR301" s="23"/>
      <c r="OS301" s="23"/>
      <c r="OT301" s="23"/>
      <c r="OU301" s="23"/>
      <c r="OV301" s="23"/>
      <c r="OW301" s="23"/>
      <c r="OX301" s="23"/>
      <c r="OY301" s="23"/>
      <c r="OZ301" s="23"/>
      <c r="PA301" s="23"/>
      <c r="PB301" s="23"/>
      <c r="PC301" s="23"/>
      <c r="PD301" s="23"/>
      <c r="PE301" s="23"/>
      <c r="PF301" s="23"/>
      <c r="PG301" s="23"/>
      <c r="PH301" s="23"/>
      <c r="PI301" s="23"/>
      <c r="PJ301" s="23"/>
      <c r="PK301" s="23"/>
      <c r="PL301" s="23"/>
      <c r="PM301" s="23"/>
      <c r="PN301" s="23"/>
      <c r="PO301" s="23"/>
      <c r="PP301" s="23"/>
      <c r="PQ301" s="23"/>
      <c r="PR301" s="23"/>
      <c r="PS301" s="23"/>
      <c r="PT301" s="23"/>
      <c r="PU301" s="23"/>
      <c r="PV301" s="23"/>
      <c r="PW301" s="23"/>
      <c r="PX301" s="23"/>
      <c r="PY301" s="23"/>
      <c r="PZ301" s="23"/>
      <c r="QA301" s="23"/>
      <c r="QB301" s="23"/>
      <c r="QC301" s="23"/>
      <c r="QD301" s="23"/>
      <c r="QE301" s="23"/>
      <c r="QF301" s="23"/>
      <c r="QG301" s="23"/>
      <c r="QH301" s="23"/>
      <c r="QI301" s="23"/>
      <c r="QJ301" s="23"/>
      <c r="QK301" s="23"/>
      <c r="QL301" s="23"/>
      <c r="QM301" s="23"/>
      <c r="QN301" s="23"/>
      <c r="QO301" s="23"/>
      <c r="QP301" s="23"/>
      <c r="QQ301" s="23"/>
      <c r="QR301" s="23"/>
      <c r="QS301" s="23"/>
      <c r="QT301" s="23"/>
      <c r="QU301" s="23"/>
      <c r="QV301" s="23"/>
      <c r="QW301" s="23"/>
      <c r="QX301" s="23"/>
      <c r="QY301" s="23"/>
      <c r="QZ301" s="23"/>
      <c r="RA301" s="23"/>
      <c r="RB301" s="23"/>
      <c r="RC301" s="23"/>
      <c r="RD301" s="23"/>
      <c r="RE301" s="23"/>
      <c r="RF301" s="23"/>
      <c r="RG301" s="23"/>
      <c r="RH301" s="23"/>
      <c r="RI301" s="23"/>
      <c r="RJ301" s="23"/>
      <c r="RK301" s="23"/>
      <c r="RL301" s="23"/>
      <c r="RM301" s="23"/>
      <c r="RN301" s="23"/>
      <c r="RO301" s="23"/>
      <c r="RP301" s="23"/>
      <c r="RQ301" s="23"/>
      <c r="RR301" s="23"/>
      <c r="RS301" s="23"/>
      <c r="RT301" s="23"/>
      <c r="RU301" s="23"/>
      <c r="RV301" s="23"/>
      <c r="RW301" s="23"/>
      <c r="RX301" s="23"/>
      <c r="RY301" s="23"/>
      <c r="RZ301" s="23"/>
      <c r="SA301" s="23"/>
      <c r="SB301" s="23"/>
      <c r="SC301" s="23"/>
      <c r="SD301" s="23"/>
      <c r="SE301" s="23"/>
      <c r="SF301" s="23"/>
      <c r="SG301" s="23"/>
      <c r="SH301" s="23"/>
      <c r="SI301" s="23"/>
      <c r="SJ301" s="23"/>
      <c r="SK301" s="23"/>
      <c r="SL301" s="23"/>
      <c r="SM301" s="23"/>
      <c r="SN301" s="23"/>
      <c r="SO301" s="23"/>
      <c r="SP301" s="23"/>
      <c r="SQ301" s="23"/>
      <c r="SR301" s="23"/>
      <c r="SS301" s="23"/>
      <c r="ST301" s="23"/>
      <c r="SU301" s="23"/>
      <c r="SV301" s="23"/>
      <c r="SW301" s="23"/>
      <c r="SX301" s="23"/>
      <c r="SY301" s="23"/>
      <c r="SZ301" s="23"/>
      <c r="TA301" s="23"/>
      <c r="TB301" s="23"/>
      <c r="TC301" s="23"/>
      <c r="TD301" s="23"/>
      <c r="TE301" s="23"/>
    </row>
    <row r="302" spans="1:525" s="24" customFormat="1" ht="63.75" hidden="1" customHeight="1" x14ac:dyDescent="0.25">
      <c r="A302" s="76"/>
      <c r="B302" s="97"/>
      <c r="C302" s="76"/>
      <c r="D302" s="79" t="s">
        <v>383</v>
      </c>
      <c r="E302" s="140">
        <f t="shared" si="144"/>
        <v>0</v>
      </c>
      <c r="F302" s="140"/>
      <c r="G302" s="140"/>
      <c r="H302" s="140"/>
      <c r="I302" s="140"/>
      <c r="J302" s="140">
        <f t="shared" ref="J302" si="150">L302+O302</f>
        <v>0</v>
      </c>
      <c r="K302" s="140"/>
      <c r="L302" s="140"/>
      <c r="M302" s="140"/>
      <c r="N302" s="140"/>
      <c r="O302" s="140"/>
      <c r="P302" s="140">
        <f t="shared" ref="P302" si="151">E302+J302</f>
        <v>0</v>
      </c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  <c r="IV302" s="30"/>
      <c r="IW302" s="30"/>
      <c r="IX302" s="30"/>
      <c r="IY302" s="30"/>
      <c r="IZ302" s="30"/>
      <c r="JA302" s="30"/>
      <c r="JB302" s="30"/>
      <c r="JC302" s="30"/>
      <c r="JD302" s="30"/>
      <c r="JE302" s="30"/>
      <c r="JF302" s="30"/>
      <c r="JG302" s="30"/>
      <c r="JH302" s="30"/>
      <c r="JI302" s="30"/>
      <c r="JJ302" s="30"/>
      <c r="JK302" s="30"/>
      <c r="JL302" s="30"/>
      <c r="JM302" s="30"/>
      <c r="JN302" s="30"/>
      <c r="JO302" s="30"/>
      <c r="JP302" s="30"/>
      <c r="JQ302" s="30"/>
      <c r="JR302" s="30"/>
      <c r="JS302" s="30"/>
      <c r="JT302" s="30"/>
      <c r="JU302" s="30"/>
      <c r="JV302" s="30"/>
      <c r="JW302" s="30"/>
      <c r="JX302" s="30"/>
      <c r="JY302" s="30"/>
      <c r="JZ302" s="30"/>
      <c r="KA302" s="30"/>
      <c r="KB302" s="30"/>
      <c r="KC302" s="30"/>
      <c r="KD302" s="30"/>
      <c r="KE302" s="30"/>
      <c r="KF302" s="30"/>
      <c r="KG302" s="30"/>
      <c r="KH302" s="30"/>
      <c r="KI302" s="30"/>
      <c r="KJ302" s="30"/>
      <c r="KK302" s="30"/>
      <c r="KL302" s="30"/>
      <c r="KM302" s="30"/>
      <c r="KN302" s="30"/>
      <c r="KO302" s="30"/>
      <c r="KP302" s="30"/>
      <c r="KQ302" s="30"/>
      <c r="KR302" s="30"/>
      <c r="KS302" s="30"/>
      <c r="KT302" s="30"/>
      <c r="KU302" s="30"/>
      <c r="KV302" s="30"/>
      <c r="KW302" s="30"/>
      <c r="KX302" s="30"/>
      <c r="KY302" s="30"/>
      <c r="KZ302" s="30"/>
      <c r="LA302" s="30"/>
      <c r="LB302" s="30"/>
      <c r="LC302" s="30"/>
      <c r="LD302" s="30"/>
      <c r="LE302" s="30"/>
      <c r="LF302" s="30"/>
      <c r="LG302" s="30"/>
      <c r="LH302" s="30"/>
      <c r="LI302" s="30"/>
      <c r="LJ302" s="30"/>
      <c r="LK302" s="30"/>
      <c r="LL302" s="30"/>
      <c r="LM302" s="30"/>
      <c r="LN302" s="30"/>
      <c r="LO302" s="30"/>
      <c r="LP302" s="30"/>
      <c r="LQ302" s="30"/>
      <c r="LR302" s="30"/>
      <c r="LS302" s="30"/>
      <c r="LT302" s="30"/>
      <c r="LU302" s="30"/>
      <c r="LV302" s="30"/>
      <c r="LW302" s="30"/>
      <c r="LX302" s="30"/>
      <c r="LY302" s="30"/>
      <c r="LZ302" s="30"/>
      <c r="MA302" s="30"/>
      <c r="MB302" s="30"/>
      <c r="MC302" s="30"/>
      <c r="MD302" s="30"/>
      <c r="ME302" s="30"/>
      <c r="MF302" s="30"/>
      <c r="MG302" s="30"/>
      <c r="MH302" s="30"/>
      <c r="MI302" s="30"/>
      <c r="MJ302" s="30"/>
      <c r="MK302" s="30"/>
      <c r="ML302" s="30"/>
      <c r="MM302" s="30"/>
      <c r="MN302" s="30"/>
      <c r="MO302" s="30"/>
      <c r="MP302" s="30"/>
      <c r="MQ302" s="30"/>
      <c r="MR302" s="30"/>
      <c r="MS302" s="30"/>
      <c r="MT302" s="30"/>
      <c r="MU302" s="30"/>
      <c r="MV302" s="30"/>
      <c r="MW302" s="30"/>
      <c r="MX302" s="30"/>
      <c r="MY302" s="30"/>
      <c r="MZ302" s="30"/>
      <c r="NA302" s="30"/>
      <c r="NB302" s="30"/>
      <c r="NC302" s="30"/>
      <c r="ND302" s="30"/>
      <c r="NE302" s="30"/>
      <c r="NF302" s="30"/>
      <c r="NG302" s="30"/>
      <c r="NH302" s="30"/>
      <c r="NI302" s="30"/>
      <c r="NJ302" s="30"/>
      <c r="NK302" s="30"/>
      <c r="NL302" s="30"/>
      <c r="NM302" s="30"/>
      <c r="NN302" s="30"/>
      <c r="NO302" s="30"/>
      <c r="NP302" s="30"/>
      <c r="NQ302" s="30"/>
      <c r="NR302" s="30"/>
      <c r="NS302" s="30"/>
      <c r="NT302" s="30"/>
      <c r="NU302" s="30"/>
      <c r="NV302" s="30"/>
      <c r="NW302" s="30"/>
      <c r="NX302" s="30"/>
      <c r="NY302" s="30"/>
      <c r="NZ302" s="30"/>
      <c r="OA302" s="30"/>
      <c r="OB302" s="30"/>
      <c r="OC302" s="30"/>
      <c r="OD302" s="30"/>
      <c r="OE302" s="30"/>
      <c r="OF302" s="30"/>
      <c r="OG302" s="30"/>
      <c r="OH302" s="30"/>
      <c r="OI302" s="30"/>
      <c r="OJ302" s="30"/>
      <c r="OK302" s="30"/>
      <c r="OL302" s="30"/>
      <c r="OM302" s="30"/>
      <c r="ON302" s="30"/>
      <c r="OO302" s="30"/>
      <c r="OP302" s="30"/>
      <c r="OQ302" s="30"/>
      <c r="OR302" s="30"/>
      <c r="OS302" s="30"/>
      <c r="OT302" s="30"/>
      <c r="OU302" s="30"/>
      <c r="OV302" s="30"/>
      <c r="OW302" s="30"/>
      <c r="OX302" s="30"/>
      <c r="OY302" s="30"/>
      <c r="OZ302" s="30"/>
      <c r="PA302" s="30"/>
      <c r="PB302" s="30"/>
      <c r="PC302" s="30"/>
      <c r="PD302" s="30"/>
      <c r="PE302" s="30"/>
      <c r="PF302" s="30"/>
      <c r="PG302" s="30"/>
      <c r="PH302" s="30"/>
      <c r="PI302" s="30"/>
      <c r="PJ302" s="30"/>
      <c r="PK302" s="30"/>
      <c r="PL302" s="30"/>
      <c r="PM302" s="30"/>
      <c r="PN302" s="30"/>
      <c r="PO302" s="30"/>
      <c r="PP302" s="30"/>
      <c r="PQ302" s="30"/>
      <c r="PR302" s="30"/>
      <c r="PS302" s="30"/>
      <c r="PT302" s="30"/>
      <c r="PU302" s="30"/>
      <c r="PV302" s="30"/>
      <c r="PW302" s="30"/>
      <c r="PX302" s="30"/>
      <c r="PY302" s="30"/>
      <c r="PZ302" s="30"/>
      <c r="QA302" s="30"/>
      <c r="QB302" s="30"/>
      <c r="QC302" s="30"/>
      <c r="QD302" s="30"/>
      <c r="QE302" s="30"/>
      <c r="QF302" s="30"/>
      <c r="QG302" s="30"/>
      <c r="QH302" s="30"/>
      <c r="QI302" s="30"/>
      <c r="QJ302" s="30"/>
      <c r="QK302" s="30"/>
      <c r="QL302" s="30"/>
      <c r="QM302" s="30"/>
      <c r="QN302" s="30"/>
      <c r="QO302" s="30"/>
      <c r="QP302" s="30"/>
      <c r="QQ302" s="30"/>
      <c r="QR302" s="30"/>
      <c r="QS302" s="30"/>
      <c r="QT302" s="30"/>
      <c r="QU302" s="30"/>
      <c r="QV302" s="30"/>
      <c r="QW302" s="30"/>
      <c r="QX302" s="30"/>
      <c r="QY302" s="30"/>
      <c r="QZ302" s="30"/>
      <c r="RA302" s="30"/>
      <c r="RB302" s="30"/>
      <c r="RC302" s="30"/>
      <c r="RD302" s="30"/>
      <c r="RE302" s="30"/>
      <c r="RF302" s="30"/>
      <c r="RG302" s="30"/>
      <c r="RH302" s="30"/>
      <c r="RI302" s="30"/>
      <c r="RJ302" s="30"/>
      <c r="RK302" s="30"/>
      <c r="RL302" s="30"/>
      <c r="RM302" s="30"/>
      <c r="RN302" s="30"/>
      <c r="RO302" s="30"/>
      <c r="RP302" s="30"/>
      <c r="RQ302" s="30"/>
      <c r="RR302" s="30"/>
      <c r="RS302" s="30"/>
      <c r="RT302" s="30"/>
      <c r="RU302" s="30"/>
      <c r="RV302" s="30"/>
      <c r="RW302" s="30"/>
      <c r="RX302" s="30"/>
      <c r="RY302" s="30"/>
      <c r="RZ302" s="30"/>
      <c r="SA302" s="30"/>
      <c r="SB302" s="30"/>
      <c r="SC302" s="30"/>
      <c r="SD302" s="30"/>
      <c r="SE302" s="30"/>
      <c r="SF302" s="30"/>
      <c r="SG302" s="30"/>
      <c r="SH302" s="30"/>
      <c r="SI302" s="30"/>
      <c r="SJ302" s="30"/>
      <c r="SK302" s="30"/>
      <c r="SL302" s="30"/>
      <c r="SM302" s="30"/>
      <c r="SN302" s="30"/>
      <c r="SO302" s="30"/>
      <c r="SP302" s="30"/>
      <c r="SQ302" s="30"/>
      <c r="SR302" s="30"/>
      <c r="SS302" s="30"/>
      <c r="ST302" s="30"/>
      <c r="SU302" s="30"/>
      <c r="SV302" s="30"/>
      <c r="SW302" s="30"/>
      <c r="SX302" s="30"/>
      <c r="SY302" s="30"/>
      <c r="SZ302" s="30"/>
      <c r="TA302" s="30"/>
      <c r="TB302" s="30"/>
      <c r="TC302" s="30"/>
      <c r="TD302" s="30"/>
      <c r="TE302" s="30"/>
    </row>
    <row r="303" spans="1:525" s="22" customFormat="1" ht="34.5" hidden="1" customHeight="1" x14ac:dyDescent="0.25">
      <c r="A303" s="56" t="s">
        <v>420</v>
      </c>
      <c r="B303" s="84">
        <v>7370</v>
      </c>
      <c r="C303" s="56" t="s">
        <v>81</v>
      </c>
      <c r="D303" s="57" t="s">
        <v>421</v>
      </c>
      <c r="E303" s="139">
        <f>F303+I303</f>
        <v>0</v>
      </c>
      <c r="F303" s="139"/>
      <c r="G303" s="139"/>
      <c r="H303" s="139"/>
      <c r="I303" s="139"/>
      <c r="J303" s="139">
        <f t="shared" si="147"/>
        <v>0</v>
      </c>
      <c r="K303" s="139"/>
      <c r="L303" s="139"/>
      <c r="M303" s="139"/>
      <c r="N303" s="139"/>
      <c r="O303" s="139"/>
      <c r="P303" s="139">
        <f t="shared" si="145"/>
        <v>0</v>
      </c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  <c r="IW303" s="23"/>
      <c r="IX303" s="23"/>
      <c r="IY303" s="23"/>
      <c r="IZ303" s="23"/>
      <c r="JA303" s="23"/>
      <c r="JB303" s="23"/>
      <c r="JC303" s="23"/>
      <c r="JD303" s="23"/>
      <c r="JE303" s="23"/>
      <c r="JF303" s="23"/>
      <c r="JG303" s="23"/>
      <c r="JH303" s="23"/>
      <c r="JI303" s="23"/>
      <c r="JJ303" s="23"/>
      <c r="JK303" s="23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  <c r="JZ303" s="23"/>
      <c r="KA303" s="23"/>
      <c r="KB303" s="23"/>
      <c r="KC303" s="23"/>
      <c r="KD303" s="23"/>
      <c r="KE303" s="23"/>
      <c r="KF303" s="23"/>
      <c r="KG303" s="23"/>
      <c r="KH303" s="23"/>
      <c r="KI303" s="23"/>
      <c r="KJ303" s="23"/>
      <c r="KK303" s="23"/>
      <c r="KL303" s="23"/>
      <c r="KM303" s="23"/>
      <c r="KN303" s="23"/>
      <c r="KO303" s="23"/>
      <c r="KP303" s="23"/>
      <c r="KQ303" s="23"/>
      <c r="KR303" s="23"/>
      <c r="KS303" s="23"/>
      <c r="KT303" s="23"/>
      <c r="KU303" s="23"/>
      <c r="KV303" s="23"/>
      <c r="KW303" s="23"/>
      <c r="KX303" s="23"/>
      <c r="KY303" s="23"/>
      <c r="KZ303" s="23"/>
      <c r="LA303" s="23"/>
      <c r="LB303" s="23"/>
      <c r="LC303" s="23"/>
      <c r="LD303" s="23"/>
      <c r="LE303" s="23"/>
      <c r="LF303" s="23"/>
      <c r="LG303" s="23"/>
      <c r="LH303" s="23"/>
      <c r="LI303" s="23"/>
      <c r="LJ303" s="23"/>
      <c r="LK303" s="23"/>
      <c r="LL303" s="23"/>
      <c r="LM303" s="23"/>
      <c r="LN303" s="23"/>
      <c r="LO303" s="23"/>
      <c r="LP303" s="23"/>
      <c r="LQ303" s="23"/>
      <c r="LR303" s="23"/>
      <c r="LS303" s="23"/>
      <c r="LT303" s="23"/>
      <c r="LU303" s="23"/>
      <c r="LV303" s="23"/>
      <c r="LW303" s="23"/>
      <c r="LX303" s="23"/>
      <c r="LY303" s="23"/>
      <c r="LZ303" s="23"/>
      <c r="MA303" s="23"/>
      <c r="MB303" s="23"/>
      <c r="MC303" s="23"/>
      <c r="MD303" s="23"/>
      <c r="ME303" s="23"/>
      <c r="MF303" s="23"/>
      <c r="MG303" s="23"/>
      <c r="MH303" s="23"/>
      <c r="MI303" s="23"/>
      <c r="MJ303" s="23"/>
      <c r="MK303" s="23"/>
      <c r="ML303" s="23"/>
      <c r="MM303" s="23"/>
      <c r="MN303" s="23"/>
      <c r="MO303" s="23"/>
      <c r="MP303" s="23"/>
      <c r="MQ303" s="23"/>
      <c r="MR303" s="23"/>
      <c r="MS303" s="23"/>
      <c r="MT303" s="23"/>
      <c r="MU303" s="23"/>
      <c r="MV303" s="23"/>
      <c r="MW303" s="23"/>
      <c r="MX303" s="23"/>
      <c r="MY303" s="23"/>
      <c r="MZ303" s="23"/>
      <c r="NA303" s="23"/>
      <c r="NB303" s="23"/>
      <c r="NC303" s="23"/>
      <c r="ND303" s="23"/>
      <c r="NE303" s="23"/>
      <c r="NF303" s="23"/>
      <c r="NG303" s="23"/>
      <c r="NH303" s="23"/>
      <c r="NI303" s="23"/>
      <c r="NJ303" s="23"/>
      <c r="NK303" s="23"/>
      <c r="NL303" s="23"/>
      <c r="NM303" s="23"/>
      <c r="NN303" s="23"/>
      <c r="NO303" s="23"/>
      <c r="NP303" s="23"/>
      <c r="NQ303" s="23"/>
      <c r="NR303" s="23"/>
      <c r="NS303" s="23"/>
      <c r="NT303" s="23"/>
      <c r="NU303" s="23"/>
      <c r="NV303" s="23"/>
      <c r="NW303" s="23"/>
      <c r="NX303" s="23"/>
      <c r="NY303" s="23"/>
      <c r="NZ303" s="23"/>
      <c r="OA303" s="23"/>
      <c r="OB303" s="23"/>
      <c r="OC303" s="23"/>
      <c r="OD303" s="23"/>
      <c r="OE303" s="23"/>
      <c r="OF303" s="23"/>
      <c r="OG303" s="23"/>
      <c r="OH303" s="23"/>
      <c r="OI303" s="23"/>
      <c r="OJ303" s="23"/>
      <c r="OK303" s="23"/>
      <c r="OL303" s="23"/>
      <c r="OM303" s="23"/>
      <c r="ON303" s="23"/>
      <c r="OO303" s="23"/>
      <c r="OP303" s="23"/>
      <c r="OQ303" s="23"/>
      <c r="OR303" s="23"/>
      <c r="OS303" s="23"/>
      <c r="OT303" s="23"/>
      <c r="OU303" s="23"/>
      <c r="OV303" s="23"/>
      <c r="OW303" s="23"/>
      <c r="OX303" s="23"/>
      <c r="OY303" s="23"/>
      <c r="OZ303" s="23"/>
      <c r="PA303" s="23"/>
      <c r="PB303" s="23"/>
      <c r="PC303" s="23"/>
      <c r="PD303" s="23"/>
      <c r="PE303" s="23"/>
      <c r="PF303" s="23"/>
      <c r="PG303" s="23"/>
      <c r="PH303" s="23"/>
      <c r="PI303" s="23"/>
      <c r="PJ303" s="23"/>
      <c r="PK303" s="23"/>
      <c r="PL303" s="23"/>
      <c r="PM303" s="23"/>
      <c r="PN303" s="23"/>
      <c r="PO303" s="23"/>
      <c r="PP303" s="23"/>
      <c r="PQ303" s="23"/>
      <c r="PR303" s="23"/>
      <c r="PS303" s="23"/>
      <c r="PT303" s="23"/>
      <c r="PU303" s="23"/>
      <c r="PV303" s="23"/>
      <c r="PW303" s="23"/>
      <c r="PX303" s="23"/>
      <c r="PY303" s="23"/>
      <c r="PZ303" s="23"/>
      <c r="QA303" s="23"/>
      <c r="QB303" s="23"/>
      <c r="QC303" s="23"/>
      <c r="QD303" s="23"/>
      <c r="QE303" s="23"/>
      <c r="QF303" s="23"/>
      <c r="QG303" s="23"/>
      <c r="QH303" s="23"/>
      <c r="QI303" s="23"/>
      <c r="QJ303" s="23"/>
      <c r="QK303" s="23"/>
      <c r="QL303" s="23"/>
      <c r="QM303" s="23"/>
      <c r="QN303" s="23"/>
      <c r="QO303" s="23"/>
      <c r="QP303" s="23"/>
      <c r="QQ303" s="23"/>
      <c r="QR303" s="23"/>
      <c r="QS303" s="23"/>
      <c r="QT303" s="23"/>
      <c r="QU303" s="23"/>
      <c r="QV303" s="23"/>
      <c r="QW303" s="23"/>
      <c r="QX303" s="23"/>
      <c r="QY303" s="23"/>
      <c r="QZ303" s="23"/>
      <c r="RA303" s="23"/>
      <c r="RB303" s="23"/>
      <c r="RC303" s="23"/>
      <c r="RD303" s="23"/>
      <c r="RE303" s="23"/>
      <c r="RF303" s="23"/>
      <c r="RG303" s="23"/>
      <c r="RH303" s="23"/>
      <c r="RI303" s="23"/>
      <c r="RJ303" s="23"/>
      <c r="RK303" s="23"/>
      <c r="RL303" s="23"/>
      <c r="RM303" s="23"/>
      <c r="RN303" s="23"/>
      <c r="RO303" s="23"/>
      <c r="RP303" s="23"/>
      <c r="RQ303" s="23"/>
      <c r="RR303" s="23"/>
      <c r="RS303" s="23"/>
      <c r="RT303" s="23"/>
      <c r="RU303" s="23"/>
      <c r="RV303" s="23"/>
      <c r="RW303" s="23"/>
      <c r="RX303" s="23"/>
      <c r="RY303" s="23"/>
      <c r="RZ303" s="23"/>
      <c r="SA303" s="23"/>
      <c r="SB303" s="23"/>
      <c r="SC303" s="23"/>
      <c r="SD303" s="23"/>
      <c r="SE303" s="23"/>
      <c r="SF303" s="23"/>
      <c r="SG303" s="23"/>
      <c r="SH303" s="23"/>
      <c r="SI303" s="23"/>
      <c r="SJ303" s="23"/>
      <c r="SK303" s="23"/>
      <c r="SL303" s="23"/>
      <c r="SM303" s="23"/>
      <c r="SN303" s="23"/>
      <c r="SO303" s="23"/>
      <c r="SP303" s="23"/>
      <c r="SQ303" s="23"/>
      <c r="SR303" s="23"/>
      <c r="SS303" s="23"/>
      <c r="ST303" s="23"/>
      <c r="SU303" s="23"/>
      <c r="SV303" s="23"/>
      <c r="SW303" s="23"/>
      <c r="SX303" s="23"/>
      <c r="SY303" s="23"/>
      <c r="SZ303" s="23"/>
      <c r="TA303" s="23"/>
      <c r="TB303" s="23"/>
      <c r="TC303" s="23"/>
      <c r="TD303" s="23"/>
      <c r="TE303" s="23"/>
    </row>
    <row r="304" spans="1:525" s="22" customFormat="1" ht="27" customHeight="1" x14ac:dyDescent="0.25">
      <c r="A304" s="56" t="s">
        <v>143</v>
      </c>
      <c r="B304" s="84" t="str">
        <f>'дод 3'!A221</f>
        <v>7640</v>
      </c>
      <c r="C304" s="84" t="str">
        <f>'дод 3'!B221</f>
        <v>0470</v>
      </c>
      <c r="D304" s="57" t="str">
        <f>'дод 3'!C221</f>
        <v>Заходи з енергозбереження, у т. ч. за рахунок:</v>
      </c>
      <c r="E304" s="139">
        <f t="shared" si="144"/>
        <v>741538</v>
      </c>
      <c r="F304" s="139">
        <v>741538</v>
      </c>
      <c r="G304" s="139"/>
      <c r="H304" s="139"/>
      <c r="I304" s="139"/>
      <c r="J304" s="139">
        <f t="shared" si="147"/>
        <v>178292536</v>
      </c>
      <c r="K304" s="139">
        <f>160322382+5315954+1759010+6900000</f>
        <v>174297346</v>
      </c>
      <c r="L304" s="141"/>
      <c r="M304" s="139"/>
      <c r="N304" s="139"/>
      <c r="O304" s="139">
        <f>160322382+3995190+5315954+1759010+6900000</f>
        <v>178292536</v>
      </c>
      <c r="P304" s="139">
        <f t="shared" si="145"/>
        <v>179034074</v>
      </c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  <c r="IW304" s="23"/>
      <c r="IX304" s="23"/>
      <c r="IY304" s="23"/>
      <c r="IZ304" s="23"/>
      <c r="JA304" s="23"/>
      <c r="JB304" s="23"/>
      <c r="JC304" s="23"/>
      <c r="JD304" s="23"/>
      <c r="JE304" s="23"/>
      <c r="JF304" s="23"/>
      <c r="JG304" s="23"/>
      <c r="JH304" s="23"/>
      <c r="JI304" s="23"/>
      <c r="JJ304" s="23"/>
      <c r="JK304" s="23"/>
      <c r="JL304" s="23"/>
      <c r="JM304" s="23"/>
      <c r="JN304" s="23"/>
      <c r="JO304" s="23"/>
      <c r="JP304" s="23"/>
      <c r="JQ304" s="23"/>
      <c r="JR304" s="23"/>
      <c r="JS304" s="23"/>
      <c r="JT304" s="23"/>
      <c r="JU304" s="23"/>
      <c r="JV304" s="23"/>
      <c r="JW304" s="23"/>
      <c r="JX304" s="23"/>
      <c r="JY304" s="23"/>
      <c r="JZ304" s="23"/>
      <c r="KA304" s="23"/>
      <c r="KB304" s="23"/>
      <c r="KC304" s="23"/>
      <c r="KD304" s="23"/>
      <c r="KE304" s="23"/>
      <c r="KF304" s="23"/>
      <c r="KG304" s="23"/>
      <c r="KH304" s="23"/>
      <c r="KI304" s="23"/>
      <c r="KJ304" s="23"/>
      <c r="KK304" s="23"/>
      <c r="KL304" s="23"/>
      <c r="KM304" s="23"/>
      <c r="KN304" s="23"/>
      <c r="KO304" s="23"/>
      <c r="KP304" s="23"/>
      <c r="KQ304" s="23"/>
      <c r="KR304" s="23"/>
      <c r="KS304" s="23"/>
      <c r="KT304" s="23"/>
      <c r="KU304" s="23"/>
      <c r="KV304" s="23"/>
      <c r="KW304" s="23"/>
      <c r="KX304" s="23"/>
      <c r="KY304" s="23"/>
      <c r="KZ304" s="23"/>
      <c r="LA304" s="23"/>
      <c r="LB304" s="23"/>
      <c r="LC304" s="23"/>
      <c r="LD304" s="23"/>
      <c r="LE304" s="23"/>
      <c r="LF304" s="23"/>
      <c r="LG304" s="23"/>
      <c r="LH304" s="23"/>
      <c r="LI304" s="23"/>
      <c r="LJ304" s="23"/>
      <c r="LK304" s="23"/>
      <c r="LL304" s="23"/>
      <c r="LM304" s="23"/>
      <c r="LN304" s="23"/>
      <c r="LO304" s="23"/>
      <c r="LP304" s="23"/>
      <c r="LQ304" s="23"/>
      <c r="LR304" s="23"/>
      <c r="LS304" s="23"/>
      <c r="LT304" s="23"/>
      <c r="LU304" s="23"/>
      <c r="LV304" s="23"/>
      <c r="LW304" s="23"/>
      <c r="LX304" s="23"/>
      <c r="LY304" s="23"/>
      <c r="LZ304" s="23"/>
      <c r="MA304" s="23"/>
      <c r="MB304" s="23"/>
      <c r="MC304" s="23"/>
      <c r="MD304" s="23"/>
      <c r="ME304" s="23"/>
      <c r="MF304" s="23"/>
      <c r="MG304" s="23"/>
      <c r="MH304" s="23"/>
      <c r="MI304" s="23"/>
      <c r="MJ304" s="23"/>
      <c r="MK304" s="23"/>
      <c r="ML304" s="23"/>
      <c r="MM304" s="23"/>
      <c r="MN304" s="23"/>
      <c r="MO304" s="23"/>
      <c r="MP304" s="23"/>
      <c r="MQ304" s="23"/>
      <c r="MR304" s="23"/>
      <c r="MS304" s="23"/>
      <c r="MT304" s="23"/>
      <c r="MU304" s="23"/>
      <c r="MV304" s="23"/>
      <c r="MW304" s="23"/>
      <c r="MX304" s="23"/>
      <c r="MY304" s="23"/>
      <c r="MZ304" s="23"/>
      <c r="NA304" s="23"/>
      <c r="NB304" s="23"/>
      <c r="NC304" s="23"/>
      <c r="ND304" s="23"/>
      <c r="NE304" s="23"/>
      <c r="NF304" s="23"/>
      <c r="NG304" s="23"/>
      <c r="NH304" s="23"/>
      <c r="NI304" s="23"/>
      <c r="NJ304" s="23"/>
      <c r="NK304" s="23"/>
      <c r="NL304" s="23"/>
      <c r="NM304" s="23"/>
      <c r="NN304" s="23"/>
      <c r="NO304" s="23"/>
      <c r="NP304" s="23"/>
      <c r="NQ304" s="23"/>
      <c r="NR304" s="23"/>
      <c r="NS304" s="23"/>
      <c r="NT304" s="23"/>
      <c r="NU304" s="23"/>
      <c r="NV304" s="23"/>
      <c r="NW304" s="23"/>
      <c r="NX304" s="23"/>
      <c r="NY304" s="23"/>
      <c r="NZ304" s="23"/>
      <c r="OA304" s="23"/>
      <c r="OB304" s="23"/>
      <c r="OC304" s="23"/>
      <c r="OD304" s="23"/>
      <c r="OE304" s="23"/>
      <c r="OF304" s="23"/>
      <c r="OG304" s="23"/>
      <c r="OH304" s="23"/>
      <c r="OI304" s="23"/>
      <c r="OJ304" s="23"/>
      <c r="OK304" s="23"/>
      <c r="OL304" s="23"/>
      <c r="OM304" s="23"/>
      <c r="ON304" s="23"/>
      <c r="OO304" s="23"/>
      <c r="OP304" s="23"/>
      <c r="OQ304" s="23"/>
      <c r="OR304" s="23"/>
      <c r="OS304" s="23"/>
      <c r="OT304" s="23"/>
      <c r="OU304" s="23"/>
      <c r="OV304" s="23"/>
      <c r="OW304" s="23"/>
      <c r="OX304" s="23"/>
      <c r="OY304" s="23"/>
      <c r="OZ304" s="23"/>
      <c r="PA304" s="23"/>
      <c r="PB304" s="23"/>
      <c r="PC304" s="23"/>
      <c r="PD304" s="23"/>
      <c r="PE304" s="23"/>
      <c r="PF304" s="23"/>
      <c r="PG304" s="23"/>
      <c r="PH304" s="23"/>
      <c r="PI304" s="23"/>
      <c r="PJ304" s="23"/>
      <c r="PK304" s="23"/>
      <c r="PL304" s="23"/>
      <c r="PM304" s="23"/>
      <c r="PN304" s="23"/>
      <c r="PO304" s="23"/>
      <c r="PP304" s="23"/>
      <c r="PQ304" s="23"/>
      <c r="PR304" s="23"/>
      <c r="PS304" s="23"/>
      <c r="PT304" s="23"/>
      <c r="PU304" s="23"/>
      <c r="PV304" s="23"/>
      <c r="PW304" s="23"/>
      <c r="PX304" s="23"/>
      <c r="PY304" s="23"/>
      <c r="PZ304" s="23"/>
      <c r="QA304" s="23"/>
      <c r="QB304" s="23"/>
      <c r="QC304" s="23"/>
      <c r="QD304" s="23"/>
      <c r="QE304" s="23"/>
      <c r="QF304" s="23"/>
      <c r="QG304" s="23"/>
      <c r="QH304" s="23"/>
      <c r="QI304" s="23"/>
      <c r="QJ304" s="23"/>
      <c r="QK304" s="23"/>
      <c r="QL304" s="23"/>
      <c r="QM304" s="23"/>
      <c r="QN304" s="23"/>
      <c r="QO304" s="23"/>
      <c r="QP304" s="23"/>
      <c r="QQ304" s="23"/>
      <c r="QR304" s="23"/>
      <c r="QS304" s="23"/>
      <c r="QT304" s="23"/>
      <c r="QU304" s="23"/>
      <c r="QV304" s="23"/>
      <c r="QW304" s="23"/>
      <c r="QX304" s="23"/>
      <c r="QY304" s="23"/>
      <c r="QZ304" s="23"/>
      <c r="RA304" s="23"/>
      <c r="RB304" s="23"/>
      <c r="RC304" s="23"/>
      <c r="RD304" s="23"/>
      <c r="RE304" s="23"/>
      <c r="RF304" s="23"/>
      <c r="RG304" s="23"/>
      <c r="RH304" s="23"/>
      <c r="RI304" s="23"/>
      <c r="RJ304" s="23"/>
      <c r="RK304" s="23"/>
      <c r="RL304" s="23"/>
      <c r="RM304" s="23"/>
      <c r="RN304" s="23"/>
      <c r="RO304" s="23"/>
      <c r="RP304" s="23"/>
      <c r="RQ304" s="23"/>
      <c r="RR304" s="23"/>
      <c r="RS304" s="23"/>
      <c r="RT304" s="23"/>
      <c r="RU304" s="23"/>
      <c r="RV304" s="23"/>
      <c r="RW304" s="23"/>
      <c r="RX304" s="23"/>
      <c r="RY304" s="23"/>
      <c r="RZ304" s="23"/>
      <c r="SA304" s="23"/>
      <c r="SB304" s="23"/>
      <c r="SC304" s="23"/>
      <c r="SD304" s="23"/>
      <c r="SE304" s="23"/>
      <c r="SF304" s="23"/>
      <c r="SG304" s="23"/>
      <c r="SH304" s="23"/>
      <c r="SI304" s="23"/>
      <c r="SJ304" s="23"/>
      <c r="SK304" s="23"/>
      <c r="SL304" s="23"/>
      <c r="SM304" s="23"/>
      <c r="SN304" s="23"/>
      <c r="SO304" s="23"/>
      <c r="SP304" s="23"/>
      <c r="SQ304" s="23"/>
      <c r="SR304" s="23"/>
      <c r="SS304" s="23"/>
      <c r="ST304" s="23"/>
      <c r="SU304" s="23"/>
      <c r="SV304" s="23"/>
      <c r="SW304" s="23"/>
      <c r="SX304" s="23"/>
      <c r="SY304" s="23"/>
      <c r="SZ304" s="23"/>
      <c r="TA304" s="23"/>
      <c r="TB304" s="23"/>
      <c r="TC304" s="23"/>
      <c r="TD304" s="23"/>
      <c r="TE304" s="23"/>
    </row>
    <row r="305" spans="1:525" s="24" customFormat="1" ht="17.25" customHeight="1" x14ac:dyDescent="0.25">
      <c r="A305" s="76"/>
      <c r="B305" s="97"/>
      <c r="C305" s="97"/>
      <c r="D305" s="77" t="s">
        <v>413</v>
      </c>
      <c r="E305" s="140">
        <f t="shared" si="144"/>
        <v>0</v>
      </c>
      <c r="F305" s="140"/>
      <c r="G305" s="140"/>
      <c r="H305" s="140"/>
      <c r="I305" s="140"/>
      <c r="J305" s="140">
        <f t="shared" si="147"/>
        <v>133343652</v>
      </c>
      <c r="K305" s="140">
        <v>133343652</v>
      </c>
      <c r="L305" s="143"/>
      <c r="M305" s="140"/>
      <c r="N305" s="140"/>
      <c r="O305" s="140">
        <v>133343652</v>
      </c>
      <c r="P305" s="140">
        <f t="shared" si="145"/>
        <v>133343652</v>
      </c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  <c r="IV305" s="30"/>
      <c r="IW305" s="30"/>
      <c r="IX305" s="30"/>
      <c r="IY305" s="30"/>
      <c r="IZ305" s="30"/>
      <c r="JA305" s="30"/>
      <c r="JB305" s="30"/>
      <c r="JC305" s="30"/>
      <c r="JD305" s="30"/>
      <c r="JE305" s="30"/>
      <c r="JF305" s="30"/>
      <c r="JG305" s="30"/>
      <c r="JH305" s="30"/>
      <c r="JI305" s="30"/>
      <c r="JJ305" s="30"/>
      <c r="JK305" s="30"/>
      <c r="JL305" s="30"/>
      <c r="JM305" s="30"/>
      <c r="JN305" s="30"/>
      <c r="JO305" s="30"/>
      <c r="JP305" s="30"/>
      <c r="JQ305" s="30"/>
      <c r="JR305" s="30"/>
      <c r="JS305" s="30"/>
      <c r="JT305" s="30"/>
      <c r="JU305" s="30"/>
      <c r="JV305" s="30"/>
      <c r="JW305" s="30"/>
      <c r="JX305" s="30"/>
      <c r="JY305" s="30"/>
      <c r="JZ305" s="30"/>
      <c r="KA305" s="30"/>
      <c r="KB305" s="30"/>
      <c r="KC305" s="30"/>
      <c r="KD305" s="30"/>
      <c r="KE305" s="30"/>
      <c r="KF305" s="30"/>
      <c r="KG305" s="30"/>
      <c r="KH305" s="30"/>
      <c r="KI305" s="30"/>
      <c r="KJ305" s="30"/>
      <c r="KK305" s="30"/>
      <c r="KL305" s="30"/>
      <c r="KM305" s="30"/>
      <c r="KN305" s="30"/>
      <c r="KO305" s="30"/>
      <c r="KP305" s="30"/>
      <c r="KQ305" s="30"/>
      <c r="KR305" s="30"/>
      <c r="KS305" s="30"/>
      <c r="KT305" s="30"/>
      <c r="KU305" s="30"/>
      <c r="KV305" s="30"/>
      <c r="KW305" s="30"/>
      <c r="KX305" s="30"/>
      <c r="KY305" s="30"/>
      <c r="KZ305" s="30"/>
      <c r="LA305" s="30"/>
      <c r="LB305" s="30"/>
      <c r="LC305" s="30"/>
      <c r="LD305" s="30"/>
      <c r="LE305" s="30"/>
      <c r="LF305" s="30"/>
      <c r="LG305" s="30"/>
      <c r="LH305" s="30"/>
      <c r="LI305" s="30"/>
      <c r="LJ305" s="30"/>
      <c r="LK305" s="30"/>
      <c r="LL305" s="30"/>
      <c r="LM305" s="30"/>
      <c r="LN305" s="30"/>
      <c r="LO305" s="30"/>
      <c r="LP305" s="30"/>
      <c r="LQ305" s="30"/>
      <c r="LR305" s="30"/>
      <c r="LS305" s="30"/>
      <c r="LT305" s="30"/>
      <c r="LU305" s="30"/>
      <c r="LV305" s="30"/>
      <c r="LW305" s="30"/>
      <c r="LX305" s="30"/>
      <c r="LY305" s="30"/>
      <c r="LZ305" s="30"/>
      <c r="MA305" s="30"/>
      <c r="MB305" s="30"/>
      <c r="MC305" s="30"/>
      <c r="MD305" s="30"/>
      <c r="ME305" s="30"/>
      <c r="MF305" s="30"/>
      <c r="MG305" s="30"/>
      <c r="MH305" s="30"/>
      <c r="MI305" s="30"/>
      <c r="MJ305" s="30"/>
      <c r="MK305" s="30"/>
      <c r="ML305" s="30"/>
      <c r="MM305" s="30"/>
      <c r="MN305" s="30"/>
      <c r="MO305" s="30"/>
      <c r="MP305" s="30"/>
      <c r="MQ305" s="30"/>
      <c r="MR305" s="30"/>
      <c r="MS305" s="30"/>
      <c r="MT305" s="30"/>
      <c r="MU305" s="30"/>
      <c r="MV305" s="30"/>
      <c r="MW305" s="30"/>
      <c r="MX305" s="30"/>
      <c r="MY305" s="30"/>
      <c r="MZ305" s="30"/>
      <c r="NA305" s="30"/>
      <c r="NB305" s="30"/>
      <c r="NC305" s="30"/>
      <c r="ND305" s="30"/>
      <c r="NE305" s="30"/>
      <c r="NF305" s="30"/>
      <c r="NG305" s="30"/>
      <c r="NH305" s="30"/>
      <c r="NI305" s="30"/>
      <c r="NJ305" s="30"/>
      <c r="NK305" s="30"/>
      <c r="NL305" s="30"/>
      <c r="NM305" s="30"/>
      <c r="NN305" s="30"/>
      <c r="NO305" s="30"/>
      <c r="NP305" s="30"/>
      <c r="NQ305" s="30"/>
      <c r="NR305" s="30"/>
      <c r="NS305" s="30"/>
      <c r="NT305" s="30"/>
      <c r="NU305" s="30"/>
      <c r="NV305" s="30"/>
      <c r="NW305" s="30"/>
      <c r="NX305" s="30"/>
      <c r="NY305" s="30"/>
      <c r="NZ305" s="30"/>
      <c r="OA305" s="30"/>
      <c r="OB305" s="30"/>
      <c r="OC305" s="30"/>
      <c r="OD305" s="30"/>
      <c r="OE305" s="30"/>
      <c r="OF305" s="30"/>
      <c r="OG305" s="30"/>
      <c r="OH305" s="30"/>
      <c r="OI305" s="30"/>
      <c r="OJ305" s="30"/>
      <c r="OK305" s="30"/>
      <c r="OL305" s="30"/>
      <c r="OM305" s="30"/>
      <c r="ON305" s="30"/>
      <c r="OO305" s="30"/>
      <c r="OP305" s="30"/>
      <c r="OQ305" s="30"/>
      <c r="OR305" s="30"/>
      <c r="OS305" s="30"/>
      <c r="OT305" s="30"/>
      <c r="OU305" s="30"/>
      <c r="OV305" s="30"/>
      <c r="OW305" s="30"/>
      <c r="OX305" s="30"/>
      <c r="OY305" s="30"/>
      <c r="OZ305" s="30"/>
      <c r="PA305" s="30"/>
      <c r="PB305" s="30"/>
      <c r="PC305" s="30"/>
      <c r="PD305" s="30"/>
      <c r="PE305" s="30"/>
      <c r="PF305" s="30"/>
      <c r="PG305" s="30"/>
      <c r="PH305" s="30"/>
      <c r="PI305" s="30"/>
      <c r="PJ305" s="30"/>
      <c r="PK305" s="30"/>
      <c r="PL305" s="30"/>
      <c r="PM305" s="30"/>
      <c r="PN305" s="30"/>
      <c r="PO305" s="30"/>
      <c r="PP305" s="30"/>
      <c r="PQ305" s="30"/>
      <c r="PR305" s="30"/>
      <c r="PS305" s="30"/>
      <c r="PT305" s="30"/>
      <c r="PU305" s="30"/>
      <c r="PV305" s="30"/>
      <c r="PW305" s="30"/>
      <c r="PX305" s="30"/>
      <c r="PY305" s="30"/>
      <c r="PZ305" s="30"/>
      <c r="QA305" s="30"/>
      <c r="QB305" s="30"/>
      <c r="QC305" s="30"/>
      <c r="QD305" s="30"/>
      <c r="QE305" s="30"/>
      <c r="QF305" s="30"/>
      <c r="QG305" s="30"/>
      <c r="QH305" s="30"/>
      <c r="QI305" s="30"/>
      <c r="QJ305" s="30"/>
      <c r="QK305" s="30"/>
      <c r="QL305" s="30"/>
      <c r="QM305" s="30"/>
      <c r="QN305" s="30"/>
      <c r="QO305" s="30"/>
      <c r="QP305" s="30"/>
      <c r="QQ305" s="30"/>
      <c r="QR305" s="30"/>
      <c r="QS305" s="30"/>
      <c r="QT305" s="30"/>
      <c r="QU305" s="30"/>
      <c r="QV305" s="30"/>
      <c r="QW305" s="30"/>
      <c r="QX305" s="30"/>
      <c r="QY305" s="30"/>
      <c r="QZ305" s="30"/>
      <c r="RA305" s="30"/>
      <c r="RB305" s="30"/>
      <c r="RC305" s="30"/>
      <c r="RD305" s="30"/>
      <c r="RE305" s="30"/>
      <c r="RF305" s="30"/>
      <c r="RG305" s="30"/>
      <c r="RH305" s="30"/>
      <c r="RI305" s="30"/>
      <c r="RJ305" s="30"/>
      <c r="RK305" s="30"/>
      <c r="RL305" s="30"/>
      <c r="RM305" s="30"/>
      <c r="RN305" s="30"/>
      <c r="RO305" s="30"/>
      <c r="RP305" s="30"/>
      <c r="RQ305" s="30"/>
      <c r="RR305" s="30"/>
      <c r="RS305" s="30"/>
      <c r="RT305" s="30"/>
      <c r="RU305" s="30"/>
      <c r="RV305" s="30"/>
      <c r="RW305" s="30"/>
      <c r="RX305" s="30"/>
      <c r="RY305" s="30"/>
      <c r="RZ305" s="30"/>
      <c r="SA305" s="30"/>
      <c r="SB305" s="30"/>
      <c r="SC305" s="30"/>
      <c r="SD305" s="30"/>
      <c r="SE305" s="30"/>
      <c r="SF305" s="30"/>
      <c r="SG305" s="30"/>
      <c r="SH305" s="30"/>
      <c r="SI305" s="30"/>
      <c r="SJ305" s="30"/>
      <c r="SK305" s="30"/>
      <c r="SL305" s="30"/>
      <c r="SM305" s="30"/>
      <c r="SN305" s="30"/>
      <c r="SO305" s="30"/>
      <c r="SP305" s="30"/>
      <c r="SQ305" s="30"/>
      <c r="SR305" s="30"/>
      <c r="SS305" s="30"/>
      <c r="ST305" s="30"/>
      <c r="SU305" s="30"/>
      <c r="SV305" s="30"/>
      <c r="SW305" s="30"/>
      <c r="SX305" s="30"/>
      <c r="SY305" s="30"/>
      <c r="SZ305" s="30"/>
      <c r="TA305" s="30"/>
      <c r="TB305" s="30"/>
      <c r="TC305" s="30"/>
      <c r="TD305" s="30"/>
      <c r="TE305" s="30"/>
    </row>
    <row r="306" spans="1:525" s="22" customFormat="1" ht="126" hidden="1" customHeight="1" x14ac:dyDescent="0.25">
      <c r="A306" s="56" t="s">
        <v>364</v>
      </c>
      <c r="B306" s="84">
        <v>7691</v>
      </c>
      <c r="C306" s="37" t="s">
        <v>81</v>
      </c>
      <c r="D306" s="57" t="s">
        <v>309</v>
      </c>
      <c r="E306" s="139">
        <f t="shared" si="144"/>
        <v>0</v>
      </c>
      <c r="F306" s="139"/>
      <c r="G306" s="139"/>
      <c r="H306" s="139"/>
      <c r="I306" s="139"/>
      <c r="J306" s="139">
        <f t="shared" si="147"/>
        <v>0</v>
      </c>
      <c r="K306" s="139"/>
      <c r="L306" s="141"/>
      <c r="M306" s="139"/>
      <c r="N306" s="139"/>
      <c r="O306" s="139"/>
      <c r="P306" s="139">
        <f t="shared" si="145"/>
        <v>0</v>
      </c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  <c r="IW306" s="23"/>
      <c r="IX306" s="23"/>
      <c r="IY306" s="23"/>
      <c r="IZ306" s="23"/>
      <c r="JA306" s="23"/>
      <c r="JB306" s="23"/>
      <c r="JC306" s="23"/>
      <c r="JD306" s="23"/>
      <c r="JE306" s="23"/>
      <c r="JF306" s="23"/>
      <c r="JG306" s="23"/>
      <c r="JH306" s="23"/>
      <c r="JI306" s="23"/>
      <c r="JJ306" s="23"/>
      <c r="JK306" s="23"/>
      <c r="JL306" s="23"/>
      <c r="JM306" s="23"/>
      <c r="JN306" s="23"/>
      <c r="JO306" s="23"/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  <c r="JZ306" s="23"/>
      <c r="KA306" s="23"/>
      <c r="KB306" s="23"/>
      <c r="KC306" s="23"/>
      <c r="KD306" s="23"/>
      <c r="KE306" s="23"/>
      <c r="KF306" s="23"/>
      <c r="KG306" s="23"/>
      <c r="KH306" s="23"/>
      <c r="KI306" s="23"/>
      <c r="KJ306" s="23"/>
      <c r="KK306" s="23"/>
      <c r="KL306" s="23"/>
      <c r="KM306" s="23"/>
      <c r="KN306" s="23"/>
      <c r="KO306" s="23"/>
      <c r="KP306" s="23"/>
      <c r="KQ306" s="23"/>
      <c r="KR306" s="23"/>
      <c r="KS306" s="23"/>
      <c r="KT306" s="23"/>
      <c r="KU306" s="23"/>
      <c r="KV306" s="23"/>
      <c r="KW306" s="23"/>
      <c r="KX306" s="23"/>
      <c r="KY306" s="23"/>
      <c r="KZ306" s="23"/>
      <c r="LA306" s="23"/>
      <c r="LB306" s="23"/>
      <c r="LC306" s="23"/>
      <c r="LD306" s="23"/>
      <c r="LE306" s="23"/>
      <c r="LF306" s="23"/>
      <c r="LG306" s="23"/>
      <c r="LH306" s="23"/>
      <c r="LI306" s="23"/>
      <c r="LJ306" s="23"/>
      <c r="LK306" s="23"/>
      <c r="LL306" s="23"/>
      <c r="LM306" s="23"/>
      <c r="LN306" s="23"/>
      <c r="LO306" s="23"/>
      <c r="LP306" s="23"/>
      <c r="LQ306" s="23"/>
      <c r="LR306" s="23"/>
      <c r="LS306" s="23"/>
      <c r="LT306" s="23"/>
      <c r="LU306" s="23"/>
      <c r="LV306" s="23"/>
      <c r="LW306" s="23"/>
      <c r="LX306" s="23"/>
      <c r="LY306" s="23"/>
      <c r="LZ306" s="23"/>
      <c r="MA306" s="23"/>
      <c r="MB306" s="23"/>
      <c r="MC306" s="23"/>
      <c r="MD306" s="23"/>
      <c r="ME306" s="23"/>
      <c r="MF306" s="23"/>
      <c r="MG306" s="23"/>
      <c r="MH306" s="23"/>
      <c r="MI306" s="23"/>
      <c r="MJ306" s="23"/>
      <c r="MK306" s="23"/>
      <c r="ML306" s="23"/>
      <c r="MM306" s="23"/>
      <c r="MN306" s="23"/>
      <c r="MO306" s="23"/>
      <c r="MP306" s="23"/>
      <c r="MQ306" s="23"/>
      <c r="MR306" s="23"/>
      <c r="MS306" s="23"/>
      <c r="MT306" s="23"/>
      <c r="MU306" s="23"/>
      <c r="MV306" s="23"/>
      <c r="MW306" s="23"/>
      <c r="MX306" s="23"/>
      <c r="MY306" s="23"/>
      <c r="MZ306" s="23"/>
      <c r="NA306" s="23"/>
      <c r="NB306" s="23"/>
      <c r="NC306" s="23"/>
      <c r="ND306" s="23"/>
      <c r="NE306" s="23"/>
      <c r="NF306" s="23"/>
      <c r="NG306" s="23"/>
      <c r="NH306" s="23"/>
      <c r="NI306" s="23"/>
      <c r="NJ306" s="23"/>
      <c r="NK306" s="23"/>
      <c r="NL306" s="23"/>
      <c r="NM306" s="23"/>
      <c r="NN306" s="23"/>
      <c r="NO306" s="23"/>
      <c r="NP306" s="23"/>
      <c r="NQ306" s="23"/>
      <c r="NR306" s="23"/>
      <c r="NS306" s="23"/>
      <c r="NT306" s="23"/>
      <c r="NU306" s="23"/>
      <c r="NV306" s="23"/>
      <c r="NW306" s="23"/>
      <c r="NX306" s="23"/>
      <c r="NY306" s="23"/>
      <c r="NZ306" s="23"/>
      <c r="OA306" s="23"/>
      <c r="OB306" s="23"/>
      <c r="OC306" s="23"/>
      <c r="OD306" s="23"/>
      <c r="OE306" s="23"/>
      <c r="OF306" s="23"/>
      <c r="OG306" s="23"/>
      <c r="OH306" s="23"/>
      <c r="OI306" s="23"/>
      <c r="OJ306" s="23"/>
      <c r="OK306" s="23"/>
      <c r="OL306" s="23"/>
      <c r="OM306" s="23"/>
      <c r="ON306" s="23"/>
      <c r="OO306" s="23"/>
      <c r="OP306" s="23"/>
      <c r="OQ306" s="23"/>
      <c r="OR306" s="23"/>
      <c r="OS306" s="23"/>
      <c r="OT306" s="23"/>
      <c r="OU306" s="23"/>
      <c r="OV306" s="23"/>
      <c r="OW306" s="23"/>
      <c r="OX306" s="23"/>
      <c r="OY306" s="23"/>
      <c r="OZ306" s="23"/>
      <c r="PA306" s="23"/>
      <c r="PB306" s="23"/>
      <c r="PC306" s="23"/>
      <c r="PD306" s="23"/>
      <c r="PE306" s="23"/>
      <c r="PF306" s="23"/>
      <c r="PG306" s="23"/>
      <c r="PH306" s="23"/>
      <c r="PI306" s="23"/>
      <c r="PJ306" s="23"/>
      <c r="PK306" s="23"/>
      <c r="PL306" s="23"/>
      <c r="PM306" s="23"/>
      <c r="PN306" s="23"/>
      <c r="PO306" s="23"/>
      <c r="PP306" s="23"/>
      <c r="PQ306" s="23"/>
      <c r="PR306" s="23"/>
      <c r="PS306" s="23"/>
      <c r="PT306" s="23"/>
      <c r="PU306" s="23"/>
      <c r="PV306" s="23"/>
      <c r="PW306" s="23"/>
      <c r="PX306" s="23"/>
      <c r="PY306" s="23"/>
      <c r="PZ306" s="23"/>
      <c r="QA306" s="23"/>
      <c r="QB306" s="23"/>
      <c r="QC306" s="23"/>
      <c r="QD306" s="23"/>
      <c r="QE306" s="23"/>
      <c r="QF306" s="23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</row>
    <row r="307" spans="1:525" s="22" customFormat="1" ht="31.5" hidden="1" customHeight="1" x14ac:dyDescent="0.25">
      <c r="A307" s="56" t="s">
        <v>507</v>
      </c>
      <c r="B307" s="84">
        <v>9750</v>
      </c>
      <c r="C307" s="56" t="s">
        <v>44</v>
      </c>
      <c r="D307" s="57" t="s">
        <v>508</v>
      </c>
      <c r="E307" s="139">
        <f t="shared" ref="E307" si="152">F307+I307</f>
        <v>0</v>
      </c>
      <c r="F307" s="139"/>
      <c r="G307" s="139"/>
      <c r="H307" s="139"/>
      <c r="I307" s="139"/>
      <c r="J307" s="139">
        <f t="shared" ref="J307" si="153">L307+O307</f>
        <v>0</v>
      </c>
      <c r="K307" s="139"/>
      <c r="L307" s="141"/>
      <c r="M307" s="139"/>
      <c r="N307" s="139"/>
      <c r="O307" s="139"/>
      <c r="P307" s="139">
        <f t="shared" ref="P307" si="154">E307+J307</f>
        <v>0</v>
      </c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  <c r="IW307" s="23"/>
      <c r="IX307" s="23"/>
      <c r="IY307" s="23"/>
      <c r="IZ307" s="23"/>
      <c r="JA307" s="23"/>
      <c r="JB307" s="23"/>
      <c r="JC307" s="23"/>
      <c r="JD307" s="23"/>
      <c r="JE307" s="23"/>
      <c r="JF307" s="23"/>
      <c r="JG307" s="23"/>
      <c r="JH307" s="23"/>
      <c r="JI307" s="23"/>
      <c r="JJ307" s="23"/>
      <c r="JK307" s="23"/>
      <c r="JL307" s="23"/>
      <c r="JM307" s="23"/>
      <c r="JN307" s="23"/>
      <c r="JO307" s="23"/>
      <c r="JP307" s="23"/>
      <c r="JQ307" s="23"/>
      <c r="JR307" s="23"/>
      <c r="JS307" s="23"/>
      <c r="JT307" s="23"/>
      <c r="JU307" s="23"/>
      <c r="JV307" s="23"/>
      <c r="JW307" s="23"/>
      <c r="JX307" s="23"/>
      <c r="JY307" s="23"/>
      <c r="JZ307" s="23"/>
      <c r="KA307" s="23"/>
      <c r="KB307" s="23"/>
      <c r="KC307" s="23"/>
      <c r="KD307" s="23"/>
      <c r="KE307" s="23"/>
      <c r="KF307" s="23"/>
      <c r="KG307" s="23"/>
      <c r="KH307" s="23"/>
      <c r="KI307" s="23"/>
      <c r="KJ307" s="23"/>
      <c r="KK307" s="23"/>
      <c r="KL307" s="23"/>
      <c r="KM307" s="23"/>
      <c r="KN307" s="23"/>
      <c r="KO307" s="23"/>
      <c r="KP307" s="23"/>
      <c r="KQ307" s="23"/>
      <c r="KR307" s="23"/>
      <c r="KS307" s="23"/>
      <c r="KT307" s="23"/>
      <c r="KU307" s="23"/>
      <c r="KV307" s="23"/>
      <c r="KW307" s="23"/>
      <c r="KX307" s="23"/>
      <c r="KY307" s="23"/>
      <c r="KZ307" s="23"/>
      <c r="LA307" s="23"/>
      <c r="LB307" s="23"/>
      <c r="LC307" s="23"/>
      <c r="LD307" s="23"/>
      <c r="LE307" s="23"/>
      <c r="LF307" s="23"/>
      <c r="LG307" s="23"/>
      <c r="LH307" s="23"/>
      <c r="LI307" s="23"/>
      <c r="LJ307" s="23"/>
      <c r="LK307" s="23"/>
      <c r="LL307" s="23"/>
      <c r="LM307" s="23"/>
      <c r="LN307" s="23"/>
      <c r="LO307" s="23"/>
      <c r="LP307" s="23"/>
      <c r="LQ307" s="23"/>
      <c r="LR307" s="23"/>
      <c r="LS307" s="23"/>
      <c r="LT307" s="23"/>
      <c r="LU307" s="23"/>
      <c r="LV307" s="23"/>
      <c r="LW307" s="23"/>
      <c r="LX307" s="23"/>
      <c r="LY307" s="23"/>
      <c r="LZ307" s="23"/>
      <c r="MA307" s="23"/>
      <c r="MB307" s="23"/>
      <c r="MC307" s="23"/>
      <c r="MD307" s="23"/>
      <c r="ME307" s="23"/>
      <c r="MF307" s="23"/>
      <c r="MG307" s="23"/>
      <c r="MH307" s="23"/>
      <c r="MI307" s="23"/>
      <c r="MJ307" s="23"/>
      <c r="MK307" s="23"/>
      <c r="ML307" s="23"/>
      <c r="MM307" s="23"/>
      <c r="MN307" s="23"/>
      <c r="MO307" s="23"/>
      <c r="MP307" s="23"/>
      <c r="MQ307" s="23"/>
      <c r="MR307" s="23"/>
      <c r="MS307" s="23"/>
      <c r="MT307" s="23"/>
      <c r="MU307" s="23"/>
      <c r="MV307" s="23"/>
      <c r="MW307" s="23"/>
      <c r="MX307" s="23"/>
      <c r="MY307" s="23"/>
      <c r="MZ307" s="23"/>
      <c r="NA307" s="23"/>
      <c r="NB307" s="23"/>
      <c r="NC307" s="23"/>
      <c r="ND307" s="23"/>
      <c r="NE307" s="23"/>
      <c r="NF307" s="23"/>
      <c r="NG307" s="23"/>
      <c r="NH307" s="23"/>
      <c r="NI307" s="23"/>
      <c r="NJ307" s="23"/>
      <c r="NK307" s="23"/>
      <c r="NL307" s="23"/>
      <c r="NM307" s="23"/>
      <c r="NN307" s="23"/>
      <c r="NO307" s="23"/>
      <c r="NP307" s="23"/>
      <c r="NQ307" s="23"/>
      <c r="NR307" s="23"/>
      <c r="NS307" s="23"/>
      <c r="NT307" s="23"/>
      <c r="NU307" s="23"/>
      <c r="NV307" s="23"/>
      <c r="NW307" s="23"/>
      <c r="NX307" s="23"/>
      <c r="NY307" s="23"/>
      <c r="NZ307" s="23"/>
      <c r="OA307" s="23"/>
      <c r="OB307" s="23"/>
      <c r="OC307" s="23"/>
      <c r="OD307" s="23"/>
      <c r="OE307" s="23"/>
      <c r="OF307" s="23"/>
      <c r="OG307" s="23"/>
      <c r="OH307" s="23"/>
      <c r="OI307" s="23"/>
      <c r="OJ307" s="23"/>
      <c r="OK307" s="23"/>
      <c r="OL307" s="23"/>
      <c r="OM307" s="23"/>
      <c r="ON307" s="23"/>
      <c r="OO307" s="23"/>
      <c r="OP307" s="23"/>
      <c r="OQ307" s="23"/>
      <c r="OR307" s="23"/>
      <c r="OS307" s="23"/>
      <c r="OT307" s="23"/>
      <c r="OU307" s="23"/>
      <c r="OV307" s="23"/>
      <c r="OW307" s="23"/>
      <c r="OX307" s="23"/>
      <c r="OY307" s="23"/>
      <c r="OZ307" s="23"/>
      <c r="PA307" s="23"/>
      <c r="PB307" s="23"/>
      <c r="PC307" s="23"/>
      <c r="PD307" s="23"/>
      <c r="PE307" s="23"/>
      <c r="PF307" s="23"/>
      <c r="PG307" s="23"/>
      <c r="PH307" s="23"/>
      <c r="PI307" s="23"/>
      <c r="PJ307" s="23"/>
      <c r="PK307" s="23"/>
      <c r="PL307" s="23"/>
      <c r="PM307" s="23"/>
      <c r="PN307" s="23"/>
      <c r="PO307" s="23"/>
      <c r="PP307" s="23"/>
      <c r="PQ307" s="23"/>
      <c r="PR307" s="23"/>
      <c r="PS307" s="23"/>
      <c r="PT307" s="23"/>
      <c r="PU307" s="23"/>
      <c r="PV307" s="23"/>
      <c r="PW307" s="23"/>
      <c r="PX307" s="23"/>
      <c r="PY307" s="23"/>
      <c r="PZ307" s="23"/>
      <c r="QA307" s="23"/>
      <c r="QB307" s="23"/>
      <c r="QC307" s="23"/>
      <c r="QD307" s="23"/>
      <c r="QE307" s="23"/>
      <c r="QF307" s="23"/>
      <c r="QG307" s="23"/>
      <c r="QH307" s="23"/>
      <c r="QI307" s="23"/>
      <c r="QJ307" s="23"/>
      <c r="QK307" s="23"/>
      <c r="QL307" s="23"/>
      <c r="QM307" s="23"/>
      <c r="QN307" s="23"/>
      <c r="QO307" s="23"/>
      <c r="QP307" s="23"/>
      <c r="QQ307" s="23"/>
      <c r="QR307" s="23"/>
      <c r="QS307" s="23"/>
      <c r="QT307" s="23"/>
      <c r="QU307" s="23"/>
      <c r="QV307" s="23"/>
      <c r="QW307" s="23"/>
      <c r="QX307" s="23"/>
      <c r="QY307" s="23"/>
      <c r="QZ307" s="23"/>
      <c r="RA307" s="23"/>
      <c r="RB307" s="23"/>
      <c r="RC307" s="23"/>
      <c r="RD307" s="23"/>
      <c r="RE307" s="23"/>
      <c r="RF307" s="23"/>
      <c r="RG307" s="23"/>
      <c r="RH307" s="23"/>
      <c r="RI307" s="23"/>
      <c r="RJ307" s="23"/>
      <c r="RK307" s="23"/>
      <c r="RL307" s="23"/>
      <c r="RM307" s="23"/>
      <c r="RN307" s="23"/>
      <c r="RO307" s="23"/>
      <c r="RP307" s="23"/>
      <c r="RQ307" s="23"/>
      <c r="RR307" s="23"/>
      <c r="RS307" s="23"/>
      <c r="RT307" s="23"/>
      <c r="RU307" s="23"/>
      <c r="RV307" s="23"/>
      <c r="RW307" s="23"/>
      <c r="RX307" s="23"/>
      <c r="RY307" s="23"/>
      <c r="RZ307" s="23"/>
      <c r="SA307" s="23"/>
      <c r="SB307" s="23"/>
      <c r="SC307" s="23"/>
      <c r="SD307" s="23"/>
      <c r="SE307" s="23"/>
      <c r="SF307" s="23"/>
      <c r="SG307" s="23"/>
      <c r="SH307" s="23"/>
      <c r="SI307" s="23"/>
      <c r="SJ307" s="23"/>
      <c r="SK307" s="23"/>
      <c r="SL307" s="23"/>
      <c r="SM307" s="23"/>
      <c r="SN307" s="23"/>
      <c r="SO307" s="23"/>
      <c r="SP307" s="23"/>
      <c r="SQ307" s="23"/>
      <c r="SR307" s="23"/>
      <c r="SS307" s="23"/>
      <c r="ST307" s="23"/>
      <c r="SU307" s="23"/>
      <c r="SV307" s="23"/>
      <c r="SW307" s="23"/>
      <c r="SX307" s="23"/>
      <c r="SY307" s="23"/>
      <c r="SZ307" s="23"/>
      <c r="TA307" s="23"/>
      <c r="TB307" s="23"/>
      <c r="TC307" s="23"/>
      <c r="TD307" s="23"/>
      <c r="TE307" s="23"/>
    </row>
    <row r="308" spans="1:525" s="27" customFormat="1" ht="33.75" customHeight="1" x14ac:dyDescent="0.25">
      <c r="A308" s="96" t="s">
        <v>204</v>
      </c>
      <c r="B308" s="98"/>
      <c r="C308" s="98"/>
      <c r="D308" s="93" t="s">
        <v>39</v>
      </c>
      <c r="E308" s="137">
        <f>E309</f>
        <v>12732400</v>
      </c>
      <c r="F308" s="137">
        <f t="shared" ref="F308:J308" si="155">F309</f>
        <v>9582400</v>
      </c>
      <c r="G308" s="137">
        <f t="shared" si="155"/>
        <v>7116800</v>
      </c>
      <c r="H308" s="137">
        <f t="shared" si="155"/>
        <v>164400</v>
      </c>
      <c r="I308" s="137">
        <f t="shared" si="155"/>
        <v>3150000</v>
      </c>
      <c r="J308" s="137">
        <f t="shared" si="155"/>
        <v>937482</v>
      </c>
      <c r="K308" s="137">
        <f t="shared" ref="K308" si="156">K309</f>
        <v>0</v>
      </c>
      <c r="L308" s="137">
        <f t="shared" ref="L308" si="157">L309</f>
        <v>937482</v>
      </c>
      <c r="M308" s="137">
        <f t="shared" ref="M308" si="158">M309</f>
        <v>0</v>
      </c>
      <c r="N308" s="137">
        <f t="shared" ref="N308" si="159">N309</f>
        <v>0</v>
      </c>
      <c r="O308" s="137">
        <f t="shared" ref="O308:P308" si="160">O309</f>
        <v>0</v>
      </c>
      <c r="P308" s="137">
        <f t="shared" si="160"/>
        <v>13669882</v>
      </c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  <c r="IM308" s="32"/>
      <c r="IN308" s="32"/>
      <c r="IO308" s="32"/>
      <c r="IP308" s="32"/>
      <c r="IQ308" s="32"/>
      <c r="IR308" s="32"/>
      <c r="IS308" s="32"/>
      <c r="IT308" s="32"/>
      <c r="IU308" s="32"/>
      <c r="IV308" s="32"/>
      <c r="IW308" s="32"/>
      <c r="IX308" s="32"/>
      <c r="IY308" s="32"/>
      <c r="IZ308" s="32"/>
      <c r="JA308" s="32"/>
      <c r="JB308" s="32"/>
      <c r="JC308" s="32"/>
      <c r="JD308" s="32"/>
      <c r="JE308" s="32"/>
      <c r="JF308" s="32"/>
      <c r="JG308" s="32"/>
      <c r="JH308" s="32"/>
      <c r="JI308" s="32"/>
      <c r="JJ308" s="32"/>
      <c r="JK308" s="32"/>
      <c r="JL308" s="32"/>
      <c r="JM308" s="32"/>
      <c r="JN308" s="32"/>
      <c r="JO308" s="32"/>
      <c r="JP308" s="32"/>
      <c r="JQ308" s="32"/>
      <c r="JR308" s="32"/>
      <c r="JS308" s="32"/>
      <c r="JT308" s="32"/>
      <c r="JU308" s="32"/>
      <c r="JV308" s="32"/>
      <c r="JW308" s="32"/>
      <c r="JX308" s="32"/>
      <c r="JY308" s="32"/>
      <c r="JZ308" s="32"/>
      <c r="KA308" s="32"/>
      <c r="KB308" s="32"/>
      <c r="KC308" s="32"/>
      <c r="KD308" s="32"/>
      <c r="KE308" s="32"/>
      <c r="KF308" s="32"/>
      <c r="KG308" s="32"/>
      <c r="KH308" s="32"/>
      <c r="KI308" s="32"/>
      <c r="KJ308" s="32"/>
      <c r="KK308" s="32"/>
      <c r="KL308" s="32"/>
      <c r="KM308" s="32"/>
      <c r="KN308" s="32"/>
      <c r="KO308" s="32"/>
      <c r="KP308" s="32"/>
      <c r="KQ308" s="32"/>
      <c r="KR308" s="32"/>
      <c r="KS308" s="32"/>
      <c r="KT308" s="32"/>
      <c r="KU308" s="32"/>
      <c r="KV308" s="32"/>
      <c r="KW308" s="32"/>
      <c r="KX308" s="32"/>
      <c r="KY308" s="32"/>
      <c r="KZ308" s="32"/>
      <c r="LA308" s="32"/>
      <c r="LB308" s="32"/>
      <c r="LC308" s="32"/>
      <c r="LD308" s="32"/>
      <c r="LE308" s="32"/>
      <c r="LF308" s="32"/>
      <c r="LG308" s="32"/>
      <c r="LH308" s="32"/>
      <c r="LI308" s="32"/>
      <c r="LJ308" s="32"/>
      <c r="LK308" s="32"/>
      <c r="LL308" s="32"/>
      <c r="LM308" s="32"/>
      <c r="LN308" s="32"/>
      <c r="LO308" s="32"/>
      <c r="LP308" s="32"/>
      <c r="LQ308" s="32"/>
      <c r="LR308" s="32"/>
      <c r="LS308" s="32"/>
      <c r="LT308" s="32"/>
      <c r="LU308" s="32"/>
      <c r="LV308" s="32"/>
      <c r="LW308" s="32"/>
      <c r="LX308" s="32"/>
      <c r="LY308" s="32"/>
      <c r="LZ308" s="32"/>
      <c r="MA308" s="32"/>
      <c r="MB308" s="32"/>
      <c r="MC308" s="32"/>
      <c r="MD308" s="32"/>
      <c r="ME308" s="32"/>
      <c r="MF308" s="32"/>
      <c r="MG308" s="32"/>
      <c r="MH308" s="32"/>
      <c r="MI308" s="32"/>
      <c r="MJ308" s="32"/>
      <c r="MK308" s="32"/>
      <c r="ML308" s="32"/>
      <c r="MM308" s="32"/>
      <c r="MN308" s="32"/>
      <c r="MO308" s="32"/>
      <c r="MP308" s="32"/>
      <c r="MQ308" s="32"/>
      <c r="MR308" s="32"/>
      <c r="MS308" s="32"/>
      <c r="MT308" s="32"/>
      <c r="MU308" s="32"/>
      <c r="MV308" s="32"/>
      <c r="MW308" s="32"/>
      <c r="MX308" s="32"/>
      <c r="MY308" s="32"/>
      <c r="MZ308" s="32"/>
      <c r="NA308" s="32"/>
      <c r="NB308" s="32"/>
      <c r="NC308" s="32"/>
      <c r="ND308" s="32"/>
      <c r="NE308" s="32"/>
      <c r="NF308" s="32"/>
      <c r="NG308" s="32"/>
      <c r="NH308" s="32"/>
      <c r="NI308" s="32"/>
      <c r="NJ308" s="32"/>
      <c r="NK308" s="32"/>
      <c r="NL308" s="32"/>
      <c r="NM308" s="32"/>
      <c r="NN308" s="32"/>
      <c r="NO308" s="32"/>
      <c r="NP308" s="32"/>
      <c r="NQ308" s="32"/>
      <c r="NR308" s="32"/>
      <c r="NS308" s="32"/>
      <c r="NT308" s="32"/>
      <c r="NU308" s="32"/>
      <c r="NV308" s="32"/>
      <c r="NW308" s="32"/>
      <c r="NX308" s="32"/>
      <c r="NY308" s="32"/>
      <c r="NZ308" s="32"/>
      <c r="OA308" s="32"/>
      <c r="OB308" s="32"/>
      <c r="OC308" s="32"/>
      <c r="OD308" s="32"/>
      <c r="OE308" s="32"/>
      <c r="OF308" s="32"/>
      <c r="OG308" s="32"/>
      <c r="OH308" s="32"/>
      <c r="OI308" s="32"/>
      <c r="OJ308" s="32"/>
      <c r="OK308" s="32"/>
      <c r="OL308" s="32"/>
      <c r="OM308" s="32"/>
      <c r="ON308" s="32"/>
      <c r="OO308" s="32"/>
      <c r="OP308" s="32"/>
      <c r="OQ308" s="32"/>
      <c r="OR308" s="32"/>
      <c r="OS308" s="32"/>
      <c r="OT308" s="32"/>
      <c r="OU308" s="32"/>
      <c r="OV308" s="32"/>
      <c r="OW308" s="32"/>
      <c r="OX308" s="32"/>
      <c r="OY308" s="32"/>
      <c r="OZ308" s="32"/>
      <c r="PA308" s="32"/>
      <c r="PB308" s="32"/>
      <c r="PC308" s="32"/>
      <c r="PD308" s="32"/>
      <c r="PE308" s="32"/>
      <c r="PF308" s="32"/>
      <c r="PG308" s="32"/>
      <c r="PH308" s="32"/>
      <c r="PI308" s="32"/>
      <c r="PJ308" s="32"/>
      <c r="PK308" s="32"/>
      <c r="PL308" s="32"/>
      <c r="PM308" s="32"/>
      <c r="PN308" s="32"/>
      <c r="PO308" s="32"/>
      <c r="PP308" s="32"/>
      <c r="PQ308" s="32"/>
      <c r="PR308" s="32"/>
      <c r="PS308" s="32"/>
      <c r="PT308" s="32"/>
      <c r="PU308" s="32"/>
      <c r="PV308" s="32"/>
      <c r="PW308" s="32"/>
      <c r="PX308" s="32"/>
      <c r="PY308" s="32"/>
      <c r="PZ308" s="32"/>
      <c r="QA308" s="32"/>
      <c r="QB308" s="32"/>
      <c r="QC308" s="32"/>
      <c r="QD308" s="32"/>
      <c r="QE308" s="32"/>
      <c r="QF308" s="32"/>
      <c r="QG308" s="32"/>
      <c r="QH308" s="32"/>
      <c r="QI308" s="32"/>
      <c r="QJ308" s="32"/>
      <c r="QK308" s="32"/>
      <c r="QL308" s="32"/>
      <c r="QM308" s="32"/>
      <c r="QN308" s="32"/>
      <c r="QO308" s="32"/>
      <c r="QP308" s="32"/>
      <c r="QQ308" s="32"/>
      <c r="QR308" s="32"/>
      <c r="QS308" s="32"/>
      <c r="QT308" s="32"/>
      <c r="QU308" s="32"/>
      <c r="QV308" s="32"/>
      <c r="QW308" s="32"/>
      <c r="QX308" s="32"/>
      <c r="QY308" s="32"/>
      <c r="QZ308" s="32"/>
      <c r="RA308" s="32"/>
      <c r="RB308" s="32"/>
      <c r="RC308" s="32"/>
      <c r="RD308" s="32"/>
      <c r="RE308" s="32"/>
      <c r="RF308" s="32"/>
      <c r="RG308" s="32"/>
      <c r="RH308" s="32"/>
      <c r="RI308" s="32"/>
      <c r="RJ308" s="32"/>
      <c r="RK308" s="32"/>
      <c r="RL308" s="32"/>
      <c r="RM308" s="32"/>
      <c r="RN308" s="32"/>
      <c r="RO308" s="32"/>
      <c r="RP308" s="32"/>
      <c r="RQ308" s="32"/>
      <c r="RR308" s="32"/>
      <c r="RS308" s="32"/>
      <c r="RT308" s="32"/>
      <c r="RU308" s="32"/>
      <c r="RV308" s="32"/>
      <c r="RW308" s="32"/>
      <c r="RX308" s="32"/>
      <c r="RY308" s="32"/>
      <c r="RZ308" s="32"/>
      <c r="SA308" s="32"/>
      <c r="SB308" s="32"/>
      <c r="SC308" s="32"/>
      <c r="SD308" s="32"/>
      <c r="SE308" s="32"/>
      <c r="SF308" s="32"/>
      <c r="SG308" s="32"/>
      <c r="SH308" s="32"/>
      <c r="SI308" s="32"/>
      <c r="SJ308" s="32"/>
      <c r="SK308" s="32"/>
      <c r="SL308" s="32"/>
      <c r="SM308" s="32"/>
      <c r="SN308" s="32"/>
      <c r="SO308" s="32"/>
      <c r="SP308" s="32"/>
      <c r="SQ308" s="32"/>
      <c r="SR308" s="32"/>
      <c r="SS308" s="32"/>
      <c r="ST308" s="32"/>
      <c r="SU308" s="32"/>
      <c r="SV308" s="32"/>
      <c r="SW308" s="32"/>
      <c r="SX308" s="32"/>
      <c r="SY308" s="32"/>
      <c r="SZ308" s="32"/>
      <c r="TA308" s="32"/>
      <c r="TB308" s="32"/>
      <c r="TC308" s="32"/>
      <c r="TD308" s="32"/>
      <c r="TE308" s="32"/>
    </row>
    <row r="309" spans="1:525" s="34" customFormat="1" ht="35.25" customHeight="1" x14ac:dyDescent="0.25">
      <c r="A309" s="86" t="s">
        <v>205</v>
      </c>
      <c r="B309" s="95"/>
      <c r="C309" s="95"/>
      <c r="D309" s="70" t="s">
        <v>39</v>
      </c>
      <c r="E309" s="138">
        <f>E310+E311+E313+E314+E315+E312</f>
        <v>12732400</v>
      </c>
      <c r="F309" s="138">
        <f t="shared" ref="F309:P309" si="161">F310+F311+F313+F314+F315+F312</f>
        <v>9582400</v>
      </c>
      <c r="G309" s="138">
        <f t="shared" si="161"/>
        <v>7116800</v>
      </c>
      <c r="H309" s="138">
        <f t="shared" si="161"/>
        <v>164400</v>
      </c>
      <c r="I309" s="138">
        <f t="shared" si="161"/>
        <v>3150000</v>
      </c>
      <c r="J309" s="138">
        <f t="shared" si="161"/>
        <v>937482</v>
      </c>
      <c r="K309" s="138">
        <f t="shared" si="161"/>
        <v>0</v>
      </c>
      <c r="L309" s="138">
        <f t="shared" si="161"/>
        <v>937482</v>
      </c>
      <c r="M309" s="138">
        <f t="shared" si="161"/>
        <v>0</v>
      </c>
      <c r="N309" s="138">
        <f t="shared" si="161"/>
        <v>0</v>
      </c>
      <c r="O309" s="138">
        <f t="shared" si="161"/>
        <v>0</v>
      </c>
      <c r="P309" s="138">
        <f t="shared" si="161"/>
        <v>13669882</v>
      </c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33"/>
      <c r="IV309" s="33"/>
      <c r="IW309" s="33"/>
      <c r="IX309" s="33"/>
      <c r="IY309" s="33"/>
      <c r="IZ309" s="33"/>
      <c r="JA309" s="33"/>
      <c r="JB309" s="33"/>
      <c r="JC309" s="33"/>
      <c r="JD309" s="33"/>
      <c r="JE309" s="33"/>
      <c r="JF309" s="33"/>
      <c r="JG309" s="33"/>
      <c r="JH309" s="33"/>
      <c r="JI309" s="33"/>
      <c r="JJ309" s="33"/>
      <c r="JK309" s="33"/>
      <c r="JL309" s="33"/>
      <c r="JM309" s="33"/>
      <c r="JN309" s="33"/>
      <c r="JO309" s="33"/>
      <c r="JP309" s="33"/>
      <c r="JQ309" s="33"/>
      <c r="JR309" s="33"/>
      <c r="JS309" s="33"/>
      <c r="JT309" s="33"/>
      <c r="JU309" s="33"/>
      <c r="JV309" s="33"/>
      <c r="JW309" s="33"/>
      <c r="JX309" s="33"/>
      <c r="JY309" s="33"/>
      <c r="JZ309" s="33"/>
      <c r="KA309" s="33"/>
      <c r="KB309" s="33"/>
      <c r="KC309" s="33"/>
      <c r="KD309" s="33"/>
      <c r="KE309" s="33"/>
      <c r="KF309" s="33"/>
      <c r="KG309" s="33"/>
      <c r="KH309" s="33"/>
      <c r="KI309" s="33"/>
      <c r="KJ309" s="33"/>
      <c r="KK309" s="33"/>
      <c r="KL309" s="33"/>
      <c r="KM309" s="33"/>
      <c r="KN309" s="33"/>
      <c r="KO309" s="33"/>
      <c r="KP309" s="33"/>
      <c r="KQ309" s="33"/>
      <c r="KR309" s="33"/>
      <c r="KS309" s="33"/>
      <c r="KT309" s="33"/>
      <c r="KU309" s="33"/>
      <c r="KV309" s="33"/>
      <c r="KW309" s="33"/>
      <c r="KX309" s="33"/>
      <c r="KY309" s="33"/>
      <c r="KZ309" s="33"/>
      <c r="LA309" s="33"/>
      <c r="LB309" s="33"/>
      <c r="LC309" s="33"/>
      <c r="LD309" s="33"/>
      <c r="LE309" s="33"/>
      <c r="LF309" s="33"/>
      <c r="LG309" s="33"/>
      <c r="LH309" s="33"/>
      <c r="LI309" s="33"/>
      <c r="LJ309" s="33"/>
      <c r="LK309" s="33"/>
      <c r="LL309" s="33"/>
      <c r="LM309" s="33"/>
      <c r="LN309" s="33"/>
      <c r="LO309" s="33"/>
      <c r="LP309" s="33"/>
      <c r="LQ309" s="33"/>
      <c r="LR309" s="33"/>
      <c r="LS309" s="33"/>
      <c r="LT309" s="33"/>
      <c r="LU309" s="33"/>
      <c r="LV309" s="33"/>
      <c r="LW309" s="33"/>
      <c r="LX309" s="33"/>
      <c r="LY309" s="33"/>
      <c r="LZ309" s="33"/>
      <c r="MA309" s="33"/>
      <c r="MB309" s="33"/>
      <c r="MC309" s="33"/>
      <c r="MD309" s="33"/>
      <c r="ME309" s="33"/>
      <c r="MF309" s="33"/>
      <c r="MG309" s="33"/>
      <c r="MH309" s="33"/>
      <c r="MI309" s="33"/>
      <c r="MJ309" s="33"/>
      <c r="MK309" s="33"/>
      <c r="ML309" s="33"/>
      <c r="MM309" s="33"/>
      <c r="MN309" s="33"/>
      <c r="MO309" s="33"/>
      <c r="MP309" s="33"/>
      <c r="MQ309" s="33"/>
      <c r="MR309" s="33"/>
      <c r="MS309" s="33"/>
      <c r="MT309" s="33"/>
      <c r="MU309" s="33"/>
      <c r="MV309" s="33"/>
      <c r="MW309" s="33"/>
      <c r="MX309" s="33"/>
      <c r="MY309" s="33"/>
      <c r="MZ309" s="33"/>
      <c r="NA309" s="33"/>
      <c r="NB309" s="33"/>
      <c r="NC309" s="33"/>
      <c r="ND309" s="33"/>
      <c r="NE309" s="33"/>
      <c r="NF309" s="33"/>
      <c r="NG309" s="33"/>
      <c r="NH309" s="33"/>
      <c r="NI309" s="33"/>
      <c r="NJ309" s="33"/>
      <c r="NK309" s="33"/>
      <c r="NL309" s="33"/>
      <c r="NM309" s="33"/>
      <c r="NN309" s="33"/>
      <c r="NO309" s="33"/>
      <c r="NP309" s="33"/>
      <c r="NQ309" s="33"/>
      <c r="NR309" s="33"/>
      <c r="NS309" s="33"/>
      <c r="NT309" s="33"/>
      <c r="NU309" s="33"/>
      <c r="NV309" s="33"/>
      <c r="NW309" s="33"/>
      <c r="NX309" s="33"/>
      <c r="NY309" s="33"/>
      <c r="NZ309" s="33"/>
      <c r="OA309" s="33"/>
      <c r="OB309" s="33"/>
      <c r="OC309" s="33"/>
      <c r="OD309" s="33"/>
      <c r="OE309" s="33"/>
      <c r="OF309" s="33"/>
      <c r="OG309" s="33"/>
      <c r="OH309" s="33"/>
      <c r="OI309" s="33"/>
      <c r="OJ309" s="33"/>
      <c r="OK309" s="33"/>
      <c r="OL309" s="33"/>
      <c r="OM309" s="33"/>
      <c r="ON309" s="33"/>
      <c r="OO309" s="33"/>
      <c r="OP309" s="33"/>
      <c r="OQ309" s="33"/>
      <c r="OR309" s="33"/>
      <c r="OS309" s="33"/>
      <c r="OT309" s="33"/>
      <c r="OU309" s="33"/>
      <c r="OV309" s="33"/>
      <c r="OW309" s="33"/>
      <c r="OX309" s="33"/>
      <c r="OY309" s="33"/>
      <c r="OZ309" s="33"/>
      <c r="PA309" s="33"/>
      <c r="PB309" s="33"/>
      <c r="PC309" s="33"/>
      <c r="PD309" s="33"/>
      <c r="PE309" s="33"/>
      <c r="PF309" s="33"/>
      <c r="PG309" s="33"/>
      <c r="PH309" s="33"/>
      <c r="PI309" s="33"/>
      <c r="PJ309" s="33"/>
      <c r="PK309" s="33"/>
      <c r="PL309" s="33"/>
      <c r="PM309" s="33"/>
      <c r="PN309" s="33"/>
      <c r="PO309" s="33"/>
      <c r="PP309" s="33"/>
      <c r="PQ309" s="33"/>
      <c r="PR309" s="33"/>
      <c r="PS309" s="33"/>
      <c r="PT309" s="33"/>
      <c r="PU309" s="33"/>
      <c r="PV309" s="33"/>
      <c r="PW309" s="33"/>
      <c r="PX309" s="33"/>
      <c r="PY309" s="33"/>
      <c r="PZ309" s="33"/>
      <c r="QA309" s="33"/>
      <c r="QB309" s="33"/>
      <c r="QC309" s="33"/>
      <c r="QD309" s="33"/>
      <c r="QE309" s="33"/>
      <c r="QF309" s="33"/>
      <c r="QG309" s="33"/>
      <c r="QH309" s="33"/>
      <c r="QI309" s="33"/>
      <c r="QJ309" s="33"/>
      <c r="QK309" s="33"/>
      <c r="QL309" s="33"/>
      <c r="QM309" s="33"/>
      <c r="QN309" s="33"/>
      <c r="QO309" s="33"/>
      <c r="QP309" s="33"/>
      <c r="QQ309" s="33"/>
      <c r="QR309" s="33"/>
      <c r="QS309" s="33"/>
      <c r="QT309" s="33"/>
      <c r="QU309" s="33"/>
      <c r="QV309" s="33"/>
      <c r="QW309" s="33"/>
      <c r="QX309" s="33"/>
      <c r="QY309" s="33"/>
      <c r="QZ309" s="33"/>
      <c r="RA309" s="33"/>
      <c r="RB309" s="33"/>
      <c r="RC309" s="33"/>
      <c r="RD309" s="33"/>
      <c r="RE309" s="33"/>
      <c r="RF309" s="33"/>
      <c r="RG309" s="33"/>
      <c r="RH309" s="33"/>
      <c r="RI309" s="33"/>
      <c r="RJ309" s="33"/>
      <c r="RK309" s="33"/>
      <c r="RL309" s="33"/>
      <c r="RM309" s="33"/>
      <c r="RN309" s="33"/>
      <c r="RO309" s="33"/>
      <c r="RP309" s="33"/>
      <c r="RQ309" s="33"/>
      <c r="RR309" s="33"/>
      <c r="RS309" s="33"/>
      <c r="RT309" s="33"/>
      <c r="RU309" s="33"/>
      <c r="RV309" s="33"/>
      <c r="RW309" s="33"/>
      <c r="RX309" s="33"/>
      <c r="RY309" s="33"/>
      <c r="RZ309" s="33"/>
      <c r="SA309" s="33"/>
      <c r="SB309" s="33"/>
      <c r="SC309" s="33"/>
      <c r="SD309" s="33"/>
      <c r="SE309" s="33"/>
      <c r="SF309" s="33"/>
      <c r="SG309" s="33"/>
      <c r="SH309" s="33"/>
      <c r="SI309" s="33"/>
      <c r="SJ309" s="33"/>
      <c r="SK309" s="33"/>
      <c r="SL309" s="33"/>
      <c r="SM309" s="33"/>
      <c r="SN309" s="33"/>
      <c r="SO309" s="33"/>
      <c r="SP309" s="33"/>
      <c r="SQ309" s="33"/>
      <c r="SR309" s="33"/>
      <c r="SS309" s="33"/>
      <c r="ST309" s="33"/>
      <c r="SU309" s="33"/>
      <c r="SV309" s="33"/>
      <c r="SW309" s="33"/>
      <c r="SX309" s="33"/>
      <c r="SY309" s="33"/>
      <c r="SZ309" s="33"/>
      <c r="TA309" s="33"/>
      <c r="TB309" s="33"/>
      <c r="TC309" s="33"/>
      <c r="TD309" s="33"/>
      <c r="TE309" s="33"/>
    </row>
    <row r="310" spans="1:525" s="22" customFormat="1" ht="47.25" x14ac:dyDescent="0.25">
      <c r="A310" s="56" t="s">
        <v>206</v>
      </c>
      <c r="B310" s="84" t="str">
        <f>'дод 3'!A19</f>
        <v>0160</v>
      </c>
      <c r="C310" s="84" t="str">
        <f>'дод 3'!B19</f>
        <v>0111</v>
      </c>
      <c r="D310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310" s="139">
        <f t="shared" ref="E310:E315" si="162">F310+I310</f>
        <v>9199900</v>
      </c>
      <c r="F310" s="139">
        <f>9916700-716800</f>
        <v>9199900</v>
      </c>
      <c r="G310" s="139">
        <f>7704300-587500</f>
        <v>7116800</v>
      </c>
      <c r="H310" s="139">
        <v>164400</v>
      </c>
      <c r="I310" s="139"/>
      <c r="J310" s="139">
        <f t="shared" si="147"/>
        <v>0</v>
      </c>
      <c r="K310" s="139"/>
      <c r="L310" s="139"/>
      <c r="M310" s="139"/>
      <c r="N310" s="139"/>
      <c r="O310" s="139"/>
      <c r="P310" s="139">
        <f t="shared" ref="P310:P315" si="163">E310+J310</f>
        <v>9199900</v>
      </c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  <c r="MJ310" s="23"/>
      <c r="MK310" s="23"/>
      <c r="ML310" s="23"/>
      <c r="MM310" s="23"/>
      <c r="MN310" s="23"/>
      <c r="MO310" s="23"/>
      <c r="MP310" s="23"/>
      <c r="MQ310" s="23"/>
      <c r="MR310" s="23"/>
      <c r="MS310" s="23"/>
      <c r="MT310" s="23"/>
      <c r="MU310" s="23"/>
      <c r="MV310" s="23"/>
      <c r="MW310" s="23"/>
      <c r="MX310" s="23"/>
      <c r="MY310" s="23"/>
      <c r="MZ310" s="23"/>
      <c r="NA310" s="23"/>
      <c r="NB310" s="23"/>
      <c r="NC310" s="23"/>
      <c r="ND310" s="23"/>
      <c r="NE310" s="23"/>
      <c r="NF310" s="23"/>
      <c r="NG310" s="23"/>
      <c r="NH310" s="23"/>
      <c r="NI310" s="23"/>
      <c r="NJ310" s="23"/>
      <c r="NK310" s="23"/>
      <c r="NL310" s="23"/>
      <c r="NM310" s="23"/>
      <c r="NN310" s="23"/>
      <c r="NO310" s="23"/>
      <c r="NP310" s="23"/>
      <c r="NQ310" s="23"/>
      <c r="NR310" s="23"/>
      <c r="NS310" s="23"/>
      <c r="NT310" s="23"/>
      <c r="NU310" s="23"/>
      <c r="NV310" s="23"/>
      <c r="NW310" s="23"/>
      <c r="NX310" s="23"/>
      <c r="NY310" s="23"/>
      <c r="NZ310" s="23"/>
      <c r="OA310" s="23"/>
      <c r="OB310" s="23"/>
      <c r="OC310" s="23"/>
      <c r="OD310" s="23"/>
      <c r="OE310" s="23"/>
      <c r="OF310" s="23"/>
      <c r="OG310" s="23"/>
      <c r="OH310" s="23"/>
      <c r="OI310" s="23"/>
      <c r="OJ310" s="23"/>
      <c r="OK310" s="23"/>
      <c r="OL310" s="23"/>
      <c r="OM310" s="23"/>
      <c r="ON310" s="23"/>
      <c r="OO310" s="23"/>
      <c r="OP310" s="23"/>
      <c r="OQ310" s="23"/>
      <c r="OR310" s="23"/>
      <c r="OS310" s="23"/>
      <c r="OT310" s="23"/>
      <c r="OU310" s="23"/>
      <c r="OV310" s="23"/>
      <c r="OW310" s="23"/>
      <c r="OX310" s="23"/>
      <c r="OY310" s="23"/>
      <c r="OZ310" s="23"/>
      <c r="PA310" s="23"/>
      <c r="PB310" s="23"/>
      <c r="PC310" s="23"/>
      <c r="PD310" s="23"/>
      <c r="PE310" s="23"/>
      <c r="PF310" s="23"/>
      <c r="PG310" s="23"/>
      <c r="PH310" s="23"/>
      <c r="PI310" s="23"/>
      <c r="PJ310" s="23"/>
      <c r="PK310" s="23"/>
      <c r="PL310" s="23"/>
      <c r="PM310" s="23"/>
      <c r="PN310" s="23"/>
      <c r="PO310" s="23"/>
      <c r="PP310" s="23"/>
      <c r="PQ310" s="23"/>
      <c r="PR310" s="23"/>
      <c r="PS310" s="23"/>
      <c r="PT310" s="23"/>
      <c r="PU310" s="23"/>
      <c r="PV310" s="23"/>
      <c r="PW310" s="23"/>
      <c r="PX310" s="23"/>
      <c r="PY310" s="23"/>
      <c r="PZ310" s="23"/>
      <c r="QA310" s="23"/>
      <c r="QB310" s="23"/>
      <c r="QC310" s="23"/>
      <c r="QD310" s="23"/>
      <c r="QE310" s="23"/>
      <c r="QF310" s="23"/>
      <c r="QG310" s="23"/>
      <c r="QH310" s="23"/>
      <c r="QI310" s="23"/>
      <c r="QJ310" s="23"/>
      <c r="QK310" s="23"/>
      <c r="QL310" s="23"/>
      <c r="QM310" s="23"/>
      <c r="QN310" s="23"/>
      <c r="QO310" s="23"/>
      <c r="QP310" s="23"/>
      <c r="QQ310" s="23"/>
      <c r="QR310" s="23"/>
      <c r="QS310" s="23"/>
      <c r="QT310" s="23"/>
      <c r="QU310" s="23"/>
      <c r="QV310" s="23"/>
      <c r="QW310" s="23"/>
      <c r="QX310" s="23"/>
      <c r="QY310" s="23"/>
      <c r="QZ310" s="23"/>
      <c r="RA310" s="23"/>
      <c r="RB310" s="23"/>
      <c r="RC310" s="23"/>
      <c r="RD310" s="23"/>
      <c r="RE310" s="23"/>
      <c r="RF310" s="23"/>
      <c r="RG310" s="23"/>
      <c r="RH310" s="23"/>
      <c r="RI310" s="23"/>
      <c r="RJ310" s="23"/>
      <c r="RK310" s="23"/>
      <c r="RL310" s="23"/>
      <c r="RM310" s="23"/>
      <c r="RN310" s="23"/>
      <c r="RO310" s="23"/>
      <c r="RP310" s="23"/>
      <c r="RQ310" s="23"/>
      <c r="RR310" s="23"/>
      <c r="RS310" s="23"/>
      <c r="RT310" s="23"/>
      <c r="RU310" s="23"/>
      <c r="RV310" s="23"/>
      <c r="RW310" s="23"/>
      <c r="RX310" s="23"/>
      <c r="RY310" s="23"/>
      <c r="RZ310" s="23"/>
      <c r="SA310" s="23"/>
      <c r="SB310" s="23"/>
      <c r="SC310" s="23"/>
      <c r="SD310" s="23"/>
      <c r="SE310" s="23"/>
      <c r="SF310" s="23"/>
      <c r="SG310" s="23"/>
      <c r="SH310" s="23"/>
      <c r="SI310" s="23"/>
      <c r="SJ310" s="23"/>
      <c r="SK310" s="23"/>
      <c r="SL310" s="23"/>
      <c r="SM310" s="23"/>
      <c r="SN310" s="23"/>
      <c r="SO310" s="23"/>
      <c r="SP310" s="23"/>
      <c r="SQ310" s="23"/>
      <c r="SR310" s="23"/>
      <c r="SS310" s="23"/>
      <c r="ST310" s="23"/>
      <c r="SU310" s="23"/>
      <c r="SV310" s="23"/>
      <c r="SW310" s="23"/>
      <c r="SX310" s="23"/>
      <c r="SY310" s="23"/>
      <c r="SZ310" s="23"/>
      <c r="TA310" s="23"/>
      <c r="TB310" s="23"/>
      <c r="TC310" s="23"/>
      <c r="TD310" s="23"/>
      <c r="TE310" s="23"/>
    </row>
    <row r="311" spans="1:525" s="22" customFormat="1" ht="31.5" x14ac:dyDescent="0.25">
      <c r="A311" s="56" t="s">
        <v>306</v>
      </c>
      <c r="B311" s="84" t="str">
        <f>'дод 3'!A172</f>
        <v>6090</v>
      </c>
      <c r="C311" s="84" t="str">
        <f>'дод 3'!B172</f>
        <v>0640</v>
      </c>
      <c r="D311" s="57" t="str">
        <f>'дод 3'!C172</f>
        <v>Інша діяльність у сфері житлово-комунального господарства</v>
      </c>
      <c r="E311" s="139">
        <f t="shared" si="162"/>
        <v>135000</v>
      </c>
      <c r="F311" s="139">
        <v>135000</v>
      </c>
      <c r="G311" s="139"/>
      <c r="H311" s="139"/>
      <c r="I311" s="139"/>
      <c r="J311" s="139">
        <f t="shared" si="147"/>
        <v>0</v>
      </c>
      <c r="K311" s="139"/>
      <c r="L311" s="139"/>
      <c r="M311" s="139"/>
      <c r="N311" s="139"/>
      <c r="O311" s="139"/>
      <c r="P311" s="139">
        <f t="shared" si="163"/>
        <v>135000</v>
      </c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  <c r="SQ311" s="23"/>
      <c r="SR311" s="23"/>
      <c r="SS311" s="23"/>
      <c r="ST311" s="23"/>
      <c r="SU311" s="23"/>
      <c r="SV311" s="23"/>
      <c r="SW311" s="23"/>
      <c r="SX311" s="23"/>
      <c r="SY311" s="23"/>
      <c r="SZ311" s="23"/>
      <c r="TA311" s="23"/>
      <c r="TB311" s="23"/>
      <c r="TC311" s="23"/>
      <c r="TD311" s="23"/>
      <c r="TE311" s="23"/>
    </row>
    <row r="312" spans="1:525" s="22" customFormat="1" ht="31.5" x14ac:dyDescent="0.25">
      <c r="A312" s="56" t="s">
        <v>585</v>
      </c>
      <c r="B312" s="84">
        <v>7340</v>
      </c>
      <c r="C312" s="56" t="s">
        <v>110</v>
      </c>
      <c r="D312" s="57" t="str">
        <f>'дод 3'!C191</f>
        <v>Проектування, реставрація та охорона пам'яток архітектури</v>
      </c>
      <c r="E312" s="139">
        <f t="shared" si="162"/>
        <v>247500</v>
      </c>
      <c r="F312" s="139">
        <v>247500</v>
      </c>
      <c r="G312" s="139"/>
      <c r="H312" s="139"/>
      <c r="I312" s="139"/>
      <c r="J312" s="139">
        <f t="shared" si="147"/>
        <v>0</v>
      </c>
      <c r="K312" s="139"/>
      <c r="L312" s="139"/>
      <c r="M312" s="139"/>
      <c r="N312" s="139"/>
      <c r="O312" s="139"/>
      <c r="P312" s="139">
        <f t="shared" si="163"/>
        <v>247500</v>
      </c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</row>
    <row r="313" spans="1:525" s="22" customFormat="1" ht="31.5" hidden="1" customHeight="1" x14ac:dyDescent="0.25">
      <c r="A313" s="56" t="s">
        <v>445</v>
      </c>
      <c r="B313" s="56" t="s">
        <v>446</v>
      </c>
      <c r="C313" s="56" t="s">
        <v>110</v>
      </c>
      <c r="D313" s="57" t="s">
        <v>447</v>
      </c>
      <c r="E313" s="139">
        <f t="shared" si="162"/>
        <v>0</v>
      </c>
      <c r="F313" s="139"/>
      <c r="G313" s="139"/>
      <c r="H313" s="139"/>
      <c r="I313" s="139"/>
      <c r="J313" s="139">
        <f t="shared" si="147"/>
        <v>0</v>
      </c>
      <c r="K313" s="139">
        <f>900000-900000</f>
        <v>0</v>
      </c>
      <c r="L313" s="139"/>
      <c r="M313" s="139"/>
      <c r="N313" s="139"/>
      <c r="O313" s="139">
        <f>900000-900000</f>
        <v>0</v>
      </c>
      <c r="P313" s="139">
        <f t="shared" si="163"/>
        <v>0</v>
      </c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  <c r="SQ313" s="23"/>
      <c r="SR313" s="23"/>
      <c r="SS313" s="23"/>
      <c r="ST313" s="23"/>
      <c r="SU313" s="23"/>
      <c r="SV313" s="23"/>
      <c r="SW313" s="23"/>
      <c r="SX313" s="23"/>
      <c r="SY313" s="23"/>
      <c r="SZ313" s="23"/>
      <c r="TA313" s="23"/>
      <c r="TB313" s="23"/>
      <c r="TC313" s="23"/>
      <c r="TD313" s="23"/>
      <c r="TE313" s="23"/>
    </row>
    <row r="314" spans="1:525" s="22" customFormat="1" ht="31.5" x14ac:dyDescent="0.25">
      <c r="A314" s="56" t="s">
        <v>530</v>
      </c>
      <c r="B314" s="56" t="s">
        <v>531</v>
      </c>
      <c r="C314" s="56" t="s">
        <v>81</v>
      </c>
      <c r="D314" s="57" t="str">
        <f>'дод 3'!C199</f>
        <v>Реалізація інших заходів щодо соціально-економічного розвитку територій</v>
      </c>
      <c r="E314" s="139">
        <f t="shared" si="162"/>
        <v>3150000</v>
      </c>
      <c r="F314" s="139"/>
      <c r="G314" s="139"/>
      <c r="H314" s="139"/>
      <c r="I314" s="139">
        <v>3150000</v>
      </c>
      <c r="J314" s="139">
        <f t="shared" ref="J314" si="164">L314+O314</f>
        <v>0</v>
      </c>
      <c r="K314" s="139"/>
      <c r="L314" s="139"/>
      <c r="M314" s="139"/>
      <c r="N314" s="139"/>
      <c r="O314" s="139"/>
      <c r="P314" s="139">
        <f t="shared" si="163"/>
        <v>3150000</v>
      </c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  <c r="SQ314" s="23"/>
      <c r="SR314" s="23"/>
      <c r="SS314" s="23"/>
      <c r="ST314" s="23"/>
      <c r="SU314" s="23"/>
      <c r="SV314" s="23"/>
      <c r="SW314" s="23"/>
      <c r="SX314" s="23"/>
      <c r="SY314" s="23"/>
      <c r="SZ314" s="23"/>
      <c r="TA314" s="23"/>
      <c r="TB314" s="23"/>
      <c r="TC314" s="23"/>
      <c r="TD314" s="23"/>
      <c r="TE314" s="23"/>
    </row>
    <row r="315" spans="1:525" s="22" customFormat="1" ht="132.75" customHeight="1" x14ac:dyDescent="0.25">
      <c r="A315" s="89" t="s">
        <v>294</v>
      </c>
      <c r="B315" s="42" t="str">
        <f>'дод 3'!A228</f>
        <v>7691</v>
      </c>
      <c r="C315" s="42" t="str">
        <f>'дод 3'!B228</f>
        <v>0490</v>
      </c>
      <c r="D315" s="36" t="str">
        <f>'дод 3'!C228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15" s="139">
        <f t="shared" si="162"/>
        <v>0</v>
      </c>
      <c r="F315" s="139"/>
      <c r="G315" s="139"/>
      <c r="H315" s="139"/>
      <c r="I315" s="139"/>
      <c r="J315" s="139">
        <f t="shared" si="147"/>
        <v>937482</v>
      </c>
      <c r="K315" s="139"/>
      <c r="L315" s="139">
        <v>937482</v>
      </c>
      <c r="M315" s="139"/>
      <c r="N315" s="139"/>
      <c r="O315" s="139"/>
      <c r="P315" s="139">
        <f t="shared" si="163"/>
        <v>937482</v>
      </c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  <c r="SQ315" s="23"/>
      <c r="SR315" s="23"/>
      <c r="SS315" s="23"/>
      <c r="ST315" s="23"/>
      <c r="SU315" s="23"/>
      <c r="SV315" s="23"/>
      <c r="SW315" s="23"/>
      <c r="SX315" s="23"/>
      <c r="SY315" s="23"/>
      <c r="SZ315" s="23"/>
      <c r="TA315" s="23"/>
      <c r="TB315" s="23"/>
      <c r="TC315" s="23"/>
      <c r="TD315" s="23"/>
      <c r="TE315" s="23"/>
    </row>
    <row r="316" spans="1:525" s="27" customFormat="1" ht="48" customHeight="1" x14ac:dyDescent="0.25">
      <c r="A316" s="96" t="s">
        <v>209</v>
      </c>
      <c r="B316" s="98"/>
      <c r="C316" s="98"/>
      <c r="D316" s="93" t="s">
        <v>41</v>
      </c>
      <c r="E316" s="137">
        <f>E317</f>
        <v>2275600</v>
      </c>
      <c r="F316" s="137">
        <f t="shared" ref="F316:J317" si="165">F317</f>
        <v>2275600</v>
      </c>
      <c r="G316" s="137">
        <f t="shared" si="165"/>
        <v>1579200</v>
      </c>
      <c r="H316" s="137">
        <f t="shared" si="165"/>
        <v>88100</v>
      </c>
      <c r="I316" s="137">
        <f t="shared" si="165"/>
        <v>0</v>
      </c>
      <c r="J316" s="137">
        <f t="shared" si="165"/>
        <v>0</v>
      </c>
      <c r="K316" s="137">
        <f t="shared" ref="K316:K317" si="166">K317</f>
        <v>0</v>
      </c>
      <c r="L316" s="137">
        <f t="shared" ref="L316:L317" si="167">L317</f>
        <v>0</v>
      </c>
      <c r="M316" s="137">
        <f t="shared" ref="M316:M317" si="168">M317</f>
        <v>0</v>
      </c>
      <c r="N316" s="137">
        <f t="shared" ref="N316:N317" si="169">N317</f>
        <v>0</v>
      </c>
      <c r="O316" s="137">
        <f t="shared" ref="O316:P317" si="170">O317</f>
        <v>0</v>
      </c>
      <c r="P316" s="137">
        <f t="shared" si="170"/>
        <v>2275600</v>
      </c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  <c r="IP316" s="32"/>
      <c r="IQ316" s="32"/>
      <c r="IR316" s="32"/>
      <c r="IS316" s="32"/>
      <c r="IT316" s="32"/>
      <c r="IU316" s="32"/>
      <c r="IV316" s="32"/>
      <c r="IW316" s="32"/>
      <c r="IX316" s="32"/>
      <c r="IY316" s="32"/>
      <c r="IZ316" s="32"/>
      <c r="JA316" s="32"/>
      <c r="JB316" s="32"/>
      <c r="JC316" s="32"/>
      <c r="JD316" s="32"/>
      <c r="JE316" s="32"/>
      <c r="JF316" s="32"/>
      <c r="JG316" s="32"/>
      <c r="JH316" s="32"/>
      <c r="JI316" s="32"/>
      <c r="JJ316" s="32"/>
      <c r="JK316" s="32"/>
      <c r="JL316" s="32"/>
      <c r="JM316" s="32"/>
      <c r="JN316" s="32"/>
      <c r="JO316" s="32"/>
      <c r="JP316" s="32"/>
      <c r="JQ316" s="32"/>
      <c r="JR316" s="32"/>
      <c r="JS316" s="32"/>
      <c r="JT316" s="32"/>
      <c r="JU316" s="32"/>
      <c r="JV316" s="32"/>
      <c r="JW316" s="32"/>
      <c r="JX316" s="32"/>
      <c r="JY316" s="32"/>
      <c r="JZ316" s="32"/>
      <c r="KA316" s="32"/>
      <c r="KB316" s="32"/>
      <c r="KC316" s="32"/>
      <c r="KD316" s="32"/>
      <c r="KE316" s="32"/>
      <c r="KF316" s="32"/>
      <c r="KG316" s="32"/>
      <c r="KH316" s="32"/>
      <c r="KI316" s="32"/>
      <c r="KJ316" s="32"/>
      <c r="KK316" s="32"/>
      <c r="KL316" s="32"/>
      <c r="KM316" s="32"/>
      <c r="KN316" s="32"/>
      <c r="KO316" s="32"/>
      <c r="KP316" s="32"/>
      <c r="KQ316" s="32"/>
      <c r="KR316" s="32"/>
      <c r="KS316" s="32"/>
      <c r="KT316" s="32"/>
      <c r="KU316" s="32"/>
      <c r="KV316" s="32"/>
      <c r="KW316" s="32"/>
      <c r="KX316" s="32"/>
      <c r="KY316" s="32"/>
      <c r="KZ316" s="32"/>
      <c r="LA316" s="32"/>
      <c r="LB316" s="32"/>
      <c r="LC316" s="32"/>
      <c r="LD316" s="32"/>
      <c r="LE316" s="32"/>
      <c r="LF316" s="32"/>
      <c r="LG316" s="32"/>
      <c r="LH316" s="32"/>
      <c r="LI316" s="32"/>
      <c r="LJ316" s="32"/>
      <c r="LK316" s="32"/>
      <c r="LL316" s="32"/>
      <c r="LM316" s="32"/>
      <c r="LN316" s="32"/>
      <c r="LO316" s="32"/>
      <c r="LP316" s="32"/>
      <c r="LQ316" s="32"/>
      <c r="LR316" s="32"/>
      <c r="LS316" s="32"/>
      <c r="LT316" s="32"/>
      <c r="LU316" s="32"/>
      <c r="LV316" s="32"/>
      <c r="LW316" s="32"/>
      <c r="LX316" s="32"/>
      <c r="LY316" s="32"/>
      <c r="LZ316" s="32"/>
      <c r="MA316" s="32"/>
      <c r="MB316" s="32"/>
      <c r="MC316" s="32"/>
      <c r="MD316" s="32"/>
      <c r="ME316" s="32"/>
      <c r="MF316" s="32"/>
      <c r="MG316" s="32"/>
      <c r="MH316" s="32"/>
      <c r="MI316" s="32"/>
      <c r="MJ316" s="32"/>
      <c r="MK316" s="32"/>
      <c r="ML316" s="32"/>
      <c r="MM316" s="32"/>
      <c r="MN316" s="32"/>
      <c r="MO316" s="32"/>
      <c r="MP316" s="32"/>
      <c r="MQ316" s="32"/>
      <c r="MR316" s="32"/>
      <c r="MS316" s="32"/>
      <c r="MT316" s="32"/>
      <c r="MU316" s="32"/>
      <c r="MV316" s="32"/>
      <c r="MW316" s="32"/>
      <c r="MX316" s="32"/>
      <c r="MY316" s="32"/>
      <c r="MZ316" s="32"/>
      <c r="NA316" s="32"/>
      <c r="NB316" s="32"/>
      <c r="NC316" s="32"/>
      <c r="ND316" s="32"/>
      <c r="NE316" s="32"/>
      <c r="NF316" s="32"/>
      <c r="NG316" s="32"/>
      <c r="NH316" s="32"/>
      <c r="NI316" s="32"/>
      <c r="NJ316" s="32"/>
      <c r="NK316" s="32"/>
      <c r="NL316" s="32"/>
      <c r="NM316" s="32"/>
      <c r="NN316" s="32"/>
      <c r="NO316" s="32"/>
      <c r="NP316" s="32"/>
      <c r="NQ316" s="32"/>
      <c r="NR316" s="32"/>
      <c r="NS316" s="32"/>
      <c r="NT316" s="32"/>
      <c r="NU316" s="32"/>
      <c r="NV316" s="32"/>
      <c r="NW316" s="32"/>
      <c r="NX316" s="32"/>
      <c r="NY316" s="32"/>
      <c r="NZ316" s="32"/>
      <c r="OA316" s="32"/>
      <c r="OB316" s="32"/>
      <c r="OC316" s="32"/>
      <c r="OD316" s="32"/>
      <c r="OE316" s="32"/>
      <c r="OF316" s="32"/>
      <c r="OG316" s="32"/>
      <c r="OH316" s="32"/>
      <c r="OI316" s="32"/>
      <c r="OJ316" s="32"/>
      <c r="OK316" s="32"/>
      <c r="OL316" s="32"/>
      <c r="OM316" s="32"/>
      <c r="ON316" s="32"/>
      <c r="OO316" s="32"/>
      <c r="OP316" s="32"/>
      <c r="OQ316" s="32"/>
      <c r="OR316" s="32"/>
      <c r="OS316" s="32"/>
      <c r="OT316" s="32"/>
      <c r="OU316" s="32"/>
      <c r="OV316" s="32"/>
      <c r="OW316" s="32"/>
      <c r="OX316" s="32"/>
      <c r="OY316" s="32"/>
      <c r="OZ316" s="32"/>
      <c r="PA316" s="32"/>
      <c r="PB316" s="32"/>
      <c r="PC316" s="32"/>
      <c r="PD316" s="32"/>
      <c r="PE316" s="32"/>
      <c r="PF316" s="32"/>
      <c r="PG316" s="32"/>
      <c r="PH316" s="32"/>
      <c r="PI316" s="32"/>
      <c r="PJ316" s="32"/>
      <c r="PK316" s="32"/>
      <c r="PL316" s="32"/>
      <c r="PM316" s="32"/>
      <c r="PN316" s="32"/>
      <c r="PO316" s="32"/>
      <c r="PP316" s="32"/>
      <c r="PQ316" s="32"/>
      <c r="PR316" s="32"/>
      <c r="PS316" s="32"/>
      <c r="PT316" s="32"/>
      <c r="PU316" s="32"/>
      <c r="PV316" s="32"/>
      <c r="PW316" s="32"/>
      <c r="PX316" s="32"/>
      <c r="PY316" s="32"/>
      <c r="PZ316" s="32"/>
      <c r="QA316" s="32"/>
      <c r="QB316" s="32"/>
      <c r="QC316" s="32"/>
      <c r="QD316" s="32"/>
      <c r="QE316" s="32"/>
      <c r="QF316" s="32"/>
      <c r="QG316" s="32"/>
      <c r="QH316" s="32"/>
      <c r="QI316" s="32"/>
      <c r="QJ316" s="32"/>
      <c r="QK316" s="32"/>
      <c r="QL316" s="32"/>
      <c r="QM316" s="32"/>
      <c r="QN316" s="32"/>
      <c r="QO316" s="32"/>
      <c r="QP316" s="32"/>
      <c r="QQ316" s="32"/>
      <c r="QR316" s="32"/>
      <c r="QS316" s="32"/>
      <c r="QT316" s="32"/>
      <c r="QU316" s="32"/>
      <c r="QV316" s="32"/>
      <c r="QW316" s="32"/>
      <c r="QX316" s="32"/>
      <c r="QY316" s="32"/>
      <c r="QZ316" s="32"/>
      <c r="RA316" s="32"/>
      <c r="RB316" s="32"/>
      <c r="RC316" s="32"/>
      <c r="RD316" s="32"/>
      <c r="RE316" s="32"/>
      <c r="RF316" s="32"/>
      <c r="RG316" s="32"/>
      <c r="RH316" s="32"/>
      <c r="RI316" s="32"/>
      <c r="RJ316" s="32"/>
      <c r="RK316" s="32"/>
      <c r="RL316" s="32"/>
      <c r="RM316" s="32"/>
      <c r="RN316" s="32"/>
      <c r="RO316" s="32"/>
      <c r="RP316" s="32"/>
      <c r="RQ316" s="32"/>
      <c r="RR316" s="32"/>
      <c r="RS316" s="32"/>
      <c r="RT316" s="32"/>
      <c r="RU316" s="32"/>
      <c r="RV316" s="32"/>
      <c r="RW316" s="32"/>
      <c r="RX316" s="32"/>
      <c r="RY316" s="32"/>
      <c r="RZ316" s="32"/>
      <c r="SA316" s="32"/>
      <c r="SB316" s="32"/>
      <c r="SC316" s="32"/>
      <c r="SD316" s="32"/>
      <c r="SE316" s="32"/>
      <c r="SF316" s="32"/>
      <c r="SG316" s="32"/>
      <c r="SH316" s="32"/>
      <c r="SI316" s="32"/>
      <c r="SJ316" s="32"/>
      <c r="SK316" s="32"/>
      <c r="SL316" s="32"/>
      <c r="SM316" s="32"/>
      <c r="SN316" s="32"/>
      <c r="SO316" s="32"/>
      <c r="SP316" s="32"/>
      <c r="SQ316" s="32"/>
      <c r="SR316" s="32"/>
      <c r="SS316" s="32"/>
      <c r="ST316" s="32"/>
      <c r="SU316" s="32"/>
      <c r="SV316" s="32"/>
      <c r="SW316" s="32"/>
      <c r="SX316" s="32"/>
      <c r="SY316" s="32"/>
      <c r="SZ316" s="32"/>
      <c r="TA316" s="32"/>
      <c r="TB316" s="32"/>
      <c r="TC316" s="32"/>
      <c r="TD316" s="32"/>
      <c r="TE316" s="32"/>
    </row>
    <row r="317" spans="1:525" s="34" customFormat="1" ht="35.25" customHeight="1" x14ac:dyDescent="0.25">
      <c r="A317" s="86" t="s">
        <v>207</v>
      </c>
      <c r="B317" s="95"/>
      <c r="C317" s="95"/>
      <c r="D317" s="70" t="s">
        <v>41</v>
      </c>
      <c r="E317" s="138">
        <f>E318</f>
        <v>2275600</v>
      </c>
      <c r="F317" s="138">
        <f t="shared" si="165"/>
        <v>2275600</v>
      </c>
      <c r="G317" s="138">
        <f t="shared" si="165"/>
        <v>1579200</v>
      </c>
      <c r="H317" s="138">
        <f t="shared" si="165"/>
        <v>88100</v>
      </c>
      <c r="I317" s="138">
        <f t="shared" si="165"/>
        <v>0</v>
      </c>
      <c r="J317" s="138">
        <f t="shared" si="165"/>
        <v>0</v>
      </c>
      <c r="K317" s="138">
        <f t="shared" si="166"/>
        <v>0</v>
      </c>
      <c r="L317" s="138">
        <f t="shared" si="167"/>
        <v>0</v>
      </c>
      <c r="M317" s="138">
        <f t="shared" si="168"/>
        <v>0</v>
      </c>
      <c r="N317" s="138">
        <f t="shared" si="169"/>
        <v>0</v>
      </c>
      <c r="O317" s="138">
        <f t="shared" si="170"/>
        <v>0</v>
      </c>
      <c r="P317" s="138">
        <f t="shared" si="170"/>
        <v>2275600</v>
      </c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  <c r="IV317" s="33"/>
      <c r="IW317" s="33"/>
      <c r="IX317" s="33"/>
      <c r="IY317" s="33"/>
      <c r="IZ317" s="33"/>
      <c r="JA317" s="33"/>
      <c r="JB317" s="33"/>
      <c r="JC317" s="33"/>
      <c r="JD317" s="33"/>
      <c r="JE317" s="33"/>
      <c r="JF317" s="33"/>
      <c r="JG317" s="33"/>
      <c r="JH317" s="33"/>
      <c r="JI317" s="33"/>
      <c r="JJ317" s="33"/>
      <c r="JK317" s="33"/>
      <c r="JL317" s="33"/>
      <c r="JM317" s="33"/>
      <c r="JN317" s="33"/>
      <c r="JO317" s="33"/>
      <c r="JP317" s="33"/>
      <c r="JQ317" s="33"/>
      <c r="JR317" s="33"/>
      <c r="JS317" s="33"/>
      <c r="JT317" s="33"/>
      <c r="JU317" s="33"/>
      <c r="JV317" s="33"/>
      <c r="JW317" s="33"/>
      <c r="JX317" s="33"/>
      <c r="JY317" s="33"/>
      <c r="JZ317" s="33"/>
      <c r="KA317" s="33"/>
      <c r="KB317" s="33"/>
      <c r="KC317" s="33"/>
      <c r="KD317" s="33"/>
      <c r="KE317" s="33"/>
      <c r="KF317" s="33"/>
      <c r="KG317" s="33"/>
      <c r="KH317" s="33"/>
      <c r="KI317" s="33"/>
      <c r="KJ317" s="33"/>
      <c r="KK317" s="33"/>
      <c r="KL317" s="33"/>
      <c r="KM317" s="33"/>
      <c r="KN317" s="33"/>
      <c r="KO317" s="33"/>
      <c r="KP317" s="33"/>
      <c r="KQ317" s="33"/>
      <c r="KR317" s="33"/>
      <c r="KS317" s="33"/>
      <c r="KT317" s="33"/>
      <c r="KU317" s="33"/>
      <c r="KV317" s="33"/>
      <c r="KW317" s="33"/>
      <c r="KX317" s="33"/>
      <c r="KY317" s="33"/>
      <c r="KZ317" s="33"/>
      <c r="LA317" s="33"/>
      <c r="LB317" s="33"/>
      <c r="LC317" s="33"/>
      <c r="LD317" s="33"/>
      <c r="LE317" s="33"/>
      <c r="LF317" s="33"/>
      <c r="LG317" s="33"/>
      <c r="LH317" s="33"/>
      <c r="LI317" s="33"/>
      <c r="LJ317" s="33"/>
      <c r="LK317" s="33"/>
      <c r="LL317" s="33"/>
      <c r="LM317" s="33"/>
      <c r="LN317" s="33"/>
      <c r="LO317" s="33"/>
      <c r="LP317" s="33"/>
      <c r="LQ317" s="33"/>
      <c r="LR317" s="33"/>
      <c r="LS317" s="33"/>
      <c r="LT317" s="33"/>
      <c r="LU317" s="33"/>
      <c r="LV317" s="33"/>
      <c r="LW317" s="33"/>
      <c r="LX317" s="33"/>
      <c r="LY317" s="33"/>
      <c r="LZ317" s="33"/>
      <c r="MA317" s="33"/>
      <c r="MB317" s="33"/>
      <c r="MC317" s="33"/>
      <c r="MD317" s="33"/>
      <c r="ME317" s="33"/>
      <c r="MF317" s="33"/>
      <c r="MG317" s="33"/>
      <c r="MH317" s="33"/>
      <c r="MI317" s="33"/>
      <c r="MJ317" s="33"/>
      <c r="MK317" s="33"/>
      <c r="ML317" s="33"/>
      <c r="MM317" s="33"/>
      <c r="MN317" s="33"/>
      <c r="MO317" s="33"/>
      <c r="MP317" s="33"/>
      <c r="MQ317" s="33"/>
      <c r="MR317" s="33"/>
      <c r="MS317" s="33"/>
      <c r="MT317" s="33"/>
      <c r="MU317" s="33"/>
      <c r="MV317" s="33"/>
      <c r="MW317" s="33"/>
      <c r="MX317" s="33"/>
      <c r="MY317" s="33"/>
      <c r="MZ317" s="33"/>
      <c r="NA317" s="33"/>
      <c r="NB317" s="33"/>
      <c r="NC317" s="33"/>
      <c r="ND317" s="33"/>
      <c r="NE317" s="33"/>
      <c r="NF317" s="33"/>
      <c r="NG317" s="33"/>
      <c r="NH317" s="33"/>
      <c r="NI317" s="33"/>
      <c r="NJ317" s="33"/>
      <c r="NK317" s="33"/>
      <c r="NL317" s="33"/>
      <c r="NM317" s="33"/>
      <c r="NN317" s="33"/>
      <c r="NO317" s="33"/>
      <c r="NP317" s="33"/>
      <c r="NQ317" s="33"/>
      <c r="NR317" s="33"/>
      <c r="NS317" s="33"/>
      <c r="NT317" s="33"/>
      <c r="NU317" s="33"/>
      <c r="NV317" s="33"/>
      <c r="NW317" s="33"/>
      <c r="NX317" s="33"/>
      <c r="NY317" s="33"/>
      <c r="NZ317" s="33"/>
      <c r="OA317" s="33"/>
      <c r="OB317" s="33"/>
      <c r="OC317" s="33"/>
      <c r="OD317" s="33"/>
      <c r="OE317" s="33"/>
      <c r="OF317" s="33"/>
      <c r="OG317" s="33"/>
      <c r="OH317" s="33"/>
      <c r="OI317" s="33"/>
      <c r="OJ317" s="33"/>
      <c r="OK317" s="33"/>
      <c r="OL317" s="33"/>
      <c r="OM317" s="33"/>
      <c r="ON317" s="33"/>
      <c r="OO317" s="33"/>
      <c r="OP317" s="33"/>
      <c r="OQ317" s="33"/>
      <c r="OR317" s="33"/>
      <c r="OS317" s="33"/>
      <c r="OT317" s="33"/>
      <c r="OU317" s="33"/>
      <c r="OV317" s="33"/>
      <c r="OW317" s="33"/>
      <c r="OX317" s="33"/>
      <c r="OY317" s="33"/>
      <c r="OZ317" s="33"/>
      <c r="PA317" s="33"/>
      <c r="PB317" s="33"/>
      <c r="PC317" s="33"/>
      <c r="PD317" s="33"/>
      <c r="PE317" s="33"/>
      <c r="PF317" s="33"/>
      <c r="PG317" s="33"/>
      <c r="PH317" s="33"/>
      <c r="PI317" s="33"/>
      <c r="PJ317" s="33"/>
      <c r="PK317" s="33"/>
      <c r="PL317" s="33"/>
      <c r="PM317" s="33"/>
      <c r="PN317" s="33"/>
      <c r="PO317" s="33"/>
      <c r="PP317" s="33"/>
      <c r="PQ317" s="33"/>
      <c r="PR317" s="33"/>
      <c r="PS317" s="33"/>
      <c r="PT317" s="33"/>
      <c r="PU317" s="33"/>
      <c r="PV317" s="33"/>
      <c r="PW317" s="33"/>
      <c r="PX317" s="33"/>
      <c r="PY317" s="33"/>
      <c r="PZ317" s="33"/>
      <c r="QA317" s="33"/>
      <c r="QB317" s="33"/>
      <c r="QC317" s="33"/>
      <c r="QD317" s="33"/>
      <c r="QE317" s="33"/>
      <c r="QF317" s="33"/>
      <c r="QG317" s="33"/>
      <c r="QH317" s="33"/>
      <c r="QI317" s="33"/>
      <c r="QJ317" s="33"/>
      <c r="QK317" s="33"/>
      <c r="QL317" s="33"/>
      <c r="QM317" s="33"/>
      <c r="QN317" s="33"/>
      <c r="QO317" s="33"/>
      <c r="QP317" s="33"/>
      <c r="QQ317" s="33"/>
      <c r="QR317" s="33"/>
      <c r="QS317" s="33"/>
      <c r="QT317" s="33"/>
      <c r="QU317" s="33"/>
      <c r="QV317" s="33"/>
      <c r="QW317" s="33"/>
      <c r="QX317" s="33"/>
      <c r="QY317" s="33"/>
      <c r="QZ317" s="33"/>
      <c r="RA317" s="33"/>
      <c r="RB317" s="33"/>
      <c r="RC317" s="33"/>
      <c r="RD317" s="33"/>
      <c r="RE317" s="33"/>
      <c r="RF317" s="33"/>
      <c r="RG317" s="33"/>
      <c r="RH317" s="33"/>
      <c r="RI317" s="33"/>
      <c r="RJ317" s="33"/>
      <c r="RK317" s="33"/>
      <c r="RL317" s="33"/>
      <c r="RM317" s="33"/>
      <c r="RN317" s="33"/>
      <c r="RO317" s="33"/>
      <c r="RP317" s="33"/>
      <c r="RQ317" s="33"/>
      <c r="RR317" s="33"/>
      <c r="RS317" s="33"/>
      <c r="RT317" s="33"/>
      <c r="RU317" s="33"/>
      <c r="RV317" s="33"/>
      <c r="RW317" s="33"/>
      <c r="RX317" s="33"/>
      <c r="RY317" s="33"/>
      <c r="RZ317" s="33"/>
      <c r="SA317" s="33"/>
      <c r="SB317" s="33"/>
      <c r="SC317" s="33"/>
      <c r="SD317" s="33"/>
      <c r="SE317" s="33"/>
      <c r="SF317" s="33"/>
      <c r="SG317" s="33"/>
      <c r="SH317" s="33"/>
      <c r="SI317" s="33"/>
      <c r="SJ317" s="33"/>
      <c r="SK317" s="33"/>
      <c r="SL317" s="33"/>
      <c r="SM317" s="33"/>
      <c r="SN317" s="33"/>
      <c r="SO317" s="33"/>
      <c r="SP317" s="33"/>
      <c r="SQ317" s="33"/>
      <c r="SR317" s="33"/>
      <c r="SS317" s="33"/>
      <c r="ST317" s="33"/>
      <c r="SU317" s="33"/>
      <c r="SV317" s="33"/>
      <c r="SW317" s="33"/>
      <c r="SX317" s="33"/>
      <c r="SY317" s="33"/>
      <c r="SZ317" s="33"/>
      <c r="TA317" s="33"/>
      <c r="TB317" s="33"/>
      <c r="TC317" s="33"/>
      <c r="TD317" s="33"/>
      <c r="TE317" s="33"/>
    </row>
    <row r="318" spans="1:525" s="22" customFormat="1" ht="49.5" customHeight="1" x14ac:dyDescent="0.25">
      <c r="A318" s="56" t="s">
        <v>208</v>
      </c>
      <c r="B318" s="84" t="str">
        <f>'дод 3'!A19</f>
        <v>0160</v>
      </c>
      <c r="C318" s="84" t="str">
        <f>'дод 3'!B19</f>
        <v>0111</v>
      </c>
      <c r="D318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318" s="139">
        <f>F318+I318</f>
        <v>2275600</v>
      </c>
      <c r="F318" s="139">
        <f>4535900-2260300</f>
        <v>2275600</v>
      </c>
      <c r="G318" s="139">
        <f>3431900-1852700</f>
        <v>1579200</v>
      </c>
      <c r="H318" s="139">
        <v>88100</v>
      </c>
      <c r="I318" s="139"/>
      <c r="J318" s="139">
        <f>L318+O318</f>
        <v>0</v>
      </c>
      <c r="K318" s="139"/>
      <c r="L318" s="139"/>
      <c r="M318" s="139"/>
      <c r="N318" s="139"/>
      <c r="O318" s="139"/>
      <c r="P318" s="139">
        <f>E318+J318</f>
        <v>2275600</v>
      </c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  <c r="IT318" s="23"/>
      <c r="IU318" s="23"/>
      <c r="IV318" s="23"/>
      <c r="IW318" s="23"/>
      <c r="IX318" s="23"/>
      <c r="IY318" s="23"/>
      <c r="IZ318" s="23"/>
      <c r="JA318" s="23"/>
      <c r="JB318" s="23"/>
      <c r="JC318" s="23"/>
      <c r="JD318" s="23"/>
      <c r="JE318" s="23"/>
      <c r="JF318" s="23"/>
      <c r="JG318" s="23"/>
      <c r="JH318" s="23"/>
      <c r="JI318" s="23"/>
      <c r="JJ318" s="23"/>
      <c r="JK318" s="23"/>
      <c r="JL318" s="23"/>
      <c r="JM318" s="23"/>
      <c r="JN318" s="23"/>
      <c r="JO318" s="23"/>
      <c r="JP318" s="23"/>
      <c r="JQ318" s="23"/>
      <c r="JR318" s="23"/>
      <c r="JS318" s="23"/>
      <c r="JT318" s="23"/>
      <c r="JU318" s="23"/>
      <c r="JV318" s="23"/>
      <c r="JW318" s="23"/>
      <c r="JX318" s="23"/>
      <c r="JY318" s="23"/>
      <c r="JZ318" s="23"/>
      <c r="KA318" s="23"/>
      <c r="KB318" s="23"/>
      <c r="KC318" s="23"/>
      <c r="KD318" s="23"/>
      <c r="KE318" s="23"/>
      <c r="KF318" s="23"/>
      <c r="KG318" s="23"/>
      <c r="KH318" s="23"/>
      <c r="KI318" s="23"/>
      <c r="KJ318" s="23"/>
      <c r="KK318" s="23"/>
      <c r="KL318" s="23"/>
      <c r="KM318" s="23"/>
      <c r="KN318" s="23"/>
      <c r="KO318" s="23"/>
      <c r="KP318" s="23"/>
      <c r="KQ318" s="23"/>
      <c r="KR318" s="23"/>
      <c r="KS318" s="23"/>
      <c r="KT318" s="23"/>
      <c r="KU318" s="23"/>
      <c r="KV318" s="23"/>
      <c r="KW318" s="23"/>
      <c r="KX318" s="23"/>
      <c r="KY318" s="23"/>
      <c r="KZ318" s="23"/>
      <c r="LA318" s="23"/>
      <c r="LB318" s="23"/>
      <c r="LC318" s="23"/>
      <c r="LD318" s="23"/>
      <c r="LE318" s="23"/>
      <c r="LF318" s="23"/>
      <c r="LG318" s="23"/>
      <c r="LH318" s="23"/>
      <c r="LI318" s="23"/>
      <c r="LJ318" s="23"/>
      <c r="LK318" s="23"/>
      <c r="LL318" s="23"/>
      <c r="LM318" s="23"/>
      <c r="LN318" s="23"/>
      <c r="LO318" s="23"/>
      <c r="LP318" s="23"/>
      <c r="LQ318" s="23"/>
      <c r="LR318" s="23"/>
      <c r="LS318" s="23"/>
      <c r="LT318" s="23"/>
      <c r="LU318" s="23"/>
      <c r="LV318" s="23"/>
      <c r="LW318" s="23"/>
      <c r="LX318" s="23"/>
      <c r="LY318" s="23"/>
      <c r="LZ318" s="23"/>
      <c r="MA318" s="23"/>
      <c r="MB318" s="23"/>
      <c r="MC318" s="23"/>
      <c r="MD318" s="23"/>
      <c r="ME318" s="23"/>
      <c r="MF318" s="23"/>
      <c r="MG318" s="23"/>
      <c r="MH318" s="23"/>
      <c r="MI318" s="23"/>
      <c r="MJ318" s="23"/>
      <c r="MK318" s="23"/>
      <c r="ML318" s="23"/>
      <c r="MM318" s="23"/>
      <c r="MN318" s="23"/>
      <c r="MO318" s="23"/>
      <c r="MP318" s="23"/>
      <c r="MQ318" s="23"/>
      <c r="MR318" s="23"/>
      <c r="MS318" s="23"/>
      <c r="MT318" s="23"/>
      <c r="MU318" s="23"/>
      <c r="MV318" s="23"/>
      <c r="MW318" s="23"/>
      <c r="MX318" s="23"/>
      <c r="MY318" s="23"/>
      <c r="MZ318" s="23"/>
      <c r="NA318" s="23"/>
      <c r="NB318" s="23"/>
      <c r="NC318" s="23"/>
      <c r="ND318" s="23"/>
      <c r="NE318" s="23"/>
      <c r="NF318" s="23"/>
      <c r="NG318" s="23"/>
      <c r="NH318" s="23"/>
      <c r="NI318" s="23"/>
      <c r="NJ318" s="23"/>
      <c r="NK318" s="23"/>
      <c r="NL318" s="23"/>
      <c r="NM318" s="23"/>
      <c r="NN318" s="23"/>
      <c r="NO318" s="23"/>
      <c r="NP318" s="23"/>
      <c r="NQ318" s="23"/>
      <c r="NR318" s="23"/>
      <c r="NS318" s="23"/>
      <c r="NT318" s="23"/>
      <c r="NU318" s="23"/>
      <c r="NV318" s="23"/>
      <c r="NW318" s="23"/>
      <c r="NX318" s="23"/>
      <c r="NY318" s="23"/>
      <c r="NZ318" s="23"/>
      <c r="OA318" s="23"/>
      <c r="OB318" s="23"/>
      <c r="OC318" s="23"/>
      <c r="OD318" s="23"/>
      <c r="OE318" s="23"/>
      <c r="OF318" s="23"/>
      <c r="OG318" s="23"/>
      <c r="OH318" s="23"/>
      <c r="OI318" s="23"/>
      <c r="OJ318" s="23"/>
      <c r="OK318" s="23"/>
      <c r="OL318" s="23"/>
      <c r="OM318" s="23"/>
      <c r="ON318" s="23"/>
      <c r="OO318" s="23"/>
      <c r="OP318" s="23"/>
      <c r="OQ318" s="23"/>
      <c r="OR318" s="23"/>
      <c r="OS318" s="23"/>
      <c r="OT318" s="23"/>
      <c r="OU318" s="23"/>
      <c r="OV318" s="23"/>
      <c r="OW318" s="23"/>
      <c r="OX318" s="23"/>
      <c r="OY318" s="23"/>
      <c r="OZ318" s="23"/>
      <c r="PA318" s="23"/>
      <c r="PB318" s="23"/>
      <c r="PC318" s="23"/>
      <c r="PD318" s="23"/>
      <c r="PE318" s="23"/>
      <c r="PF318" s="23"/>
      <c r="PG318" s="23"/>
      <c r="PH318" s="23"/>
      <c r="PI318" s="23"/>
      <c r="PJ318" s="23"/>
      <c r="PK318" s="23"/>
      <c r="PL318" s="23"/>
      <c r="PM318" s="23"/>
      <c r="PN318" s="23"/>
      <c r="PO318" s="23"/>
      <c r="PP318" s="23"/>
      <c r="PQ318" s="23"/>
      <c r="PR318" s="23"/>
      <c r="PS318" s="23"/>
      <c r="PT318" s="23"/>
      <c r="PU318" s="23"/>
      <c r="PV318" s="23"/>
      <c r="PW318" s="23"/>
      <c r="PX318" s="23"/>
      <c r="PY318" s="23"/>
      <c r="PZ318" s="23"/>
      <c r="QA318" s="23"/>
      <c r="QB318" s="23"/>
      <c r="QC318" s="23"/>
      <c r="QD318" s="23"/>
      <c r="QE318" s="23"/>
      <c r="QF318" s="23"/>
      <c r="QG318" s="23"/>
      <c r="QH318" s="23"/>
      <c r="QI318" s="23"/>
      <c r="QJ318" s="23"/>
      <c r="QK318" s="23"/>
      <c r="QL318" s="23"/>
      <c r="QM318" s="23"/>
      <c r="QN318" s="23"/>
      <c r="QO318" s="23"/>
      <c r="QP318" s="23"/>
      <c r="QQ318" s="23"/>
      <c r="QR318" s="23"/>
      <c r="QS318" s="23"/>
      <c r="QT318" s="23"/>
      <c r="QU318" s="23"/>
      <c r="QV318" s="23"/>
      <c r="QW318" s="23"/>
      <c r="QX318" s="23"/>
      <c r="QY318" s="23"/>
      <c r="QZ318" s="23"/>
      <c r="RA318" s="23"/>
      <c r="RB318" s="23"/>
      <c r="RC318" s="23"/>
      <c r="RD318" s="23"/>
      <c r="RE318" s="23"/>
      <c r="RF318" s="23"/>
      <c r="RG318" s="23"/>
      <c r="RH318" s="23"/>
      <c r="RI318" s="23"/>
      <c r="RJ318" s="23"/>
      <c r="RK318" s="23"/>
      <c r="RL318" s="23"/>
      <c r="RM318" s="23"/>
      <c r="RN318" s="23"/>
      <c r="RO318" s="23"/>
      <c r="RP318" s="23"/>
      <c r="RQ318" s="23"/>
      <c r="RR318" s="23"/>
      <c r="RS318" s="23"/>
      <c r="RT318" s="23"/>
      <c r="RU318" s="23"/>
      <c r="RV318" s="23"/>
      <c r="RW318" s="23"/>
      <c r="RX318" s="23"/>
      <c r="RY318" s="23"/>
      <c r="RZ318" s="23"/>
      <c r="SA318" s="23"/>
      <c r="SB318" s="23"/>
      <c r="SC318" s="23"/>
      <c r="SD318" s="23"/>
      <c r="SE318" s="23"/>
      <c r="SF318" s="23"/>
      <c r="SG318" s="23"/>
      <c r="SH318" s="23"/>
      <c r="SI318" s="23"/>
      <c r="SJ318" s="23"/>
      <c r="SK318" s="23"/>
      <c r="SL318" s="23"/>
      <c r="SM318" s="23"/>
      <c r="SN318" s="23"/>
      <c r="SO318" s="23"/>
      <c r="SP318" s="23"/>
      <c r="SQ318" s="23"/>
      <c r="SR318" s="23"/>
      <c r="SS318" s="23"/>
      <c r="ST318" s="23"/>
      <c r="SU318" s="23"/>
      <c r="SV318" s="23"/>
      <c r="SW318" s="23"/>
      <c r="SX318" s="23"/>
      <c r="SY318" s="23"/>
      <c r="SZ318" s="23"/>
      <c r="TA318" s="23"/>
      <c r="TB318" s="23"/>
      <c r="TC318" s="23"/>
      <c r="TD318" s="23"/>
      <c r="TE318" s="23"/>
    </row>
    <row r="319" spans="1:525" s="27" customFormat="1" ht="40.5" customHeight="1" x14ac:dyDescent="0.25">
      <c r="A319" s="96" t="s">
        <v>210</v>
      </c>
      <c r="B319" s="98"/>
      <c r="C319" s="98"/>
      <c r="D319" s="93" t="s">
        <v>38</v>
      </c>
      <c r="E319" s="137">
        <f>E320</f>
        <v>21726000</v>
      </c>
      <c r="F319" s="137">
        <f t="shared" ref="F319:J319" si="171">F320</f>
        <v>21126000</v>
      </c>
      <c r="G319" s="137">
        <f t="shared" si="171"/>
        <v>14273200</v>
      </c>
      <c r="H319" s="137">
        <f t="shared" si="171"/>
        <v>628000</v>
      </c>
      <c r="I319" s="137">
        <f t="shared" si="171"/>
        <v>600000</v>
      </c>
      <c r="J319" s="137">
        <f t="shared" si="171"/>
        <v>175000</v>
      </c>
      <c r="K319" s="137">
        <f t="shared" ref="K319" si="172">K320</f>
        <v>175000</v>
      </c>
      <c r="L319" s="137">
        <f t="shared" ref="L319" si="173">L320</f>
        <v>0</v>
      </c>
      <c r="M319" s="137">
        <f t="shared" ref="M319" si="174">M320</f>
        <v>0</v>
      </c>
      <c r="N319" s="137">
        <f t="shared" ref="N319" si="175">N320</f>
        <v>0</v>
      </c>
      <c r="O319" s="137">
        <f t="shared" ref="O319" si="176">O320</f>
        <v>175000</v>
      </c>
      <c r="P319" s="137">
        <f>P320</f>
        <v>21901000</v>
      </c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  <c r="IQ319" s="32"/>
      <c r="IR319" s="32"/>
      <c r="IS319" s="32"/>
      <c r="IT319" s="32"/>
      <c r="IU319" s="32"/>
      <c r="IV319" s="32"/>
      <c r="IW319" s="32"/>
      <c r="IX319" s="32"/>
      <c r="IY319" s="32"/>
      <c r="IZ319" s="32"/>
      <c r="JA319" s="32"/>
      <c r="JB319" s="32"/>
      <c r="JC319" s="32"/>
      <c r="JD319" s="32"/>
      <c r="JE319" s="32"/>
      <c r="JF319" s="32"/>
      <c r="JG319" s="32"/>
      <c r="JH319" s="32"/>
      <c r="JI319" s="32"/>
      <c r="JJ319" s="32"/>
      <c r="JK319" s="32"/>
      <c r="JL319" s="32"/>
      <c r="JM319" s="32"/>
      <c r="JN319" s="32"/>
      <c r="JO319" s="32"/>
      <c r="JP319" s="32"/>
      <c r="JQ319" s="32"/>
      <c r="JR319" s="32"/>
      <c r="JS319" s="32"/>
      <c r="JT319" s="32"/>
      <c r="JU319" s="32"/>
      <c r="JV319" s="32"/>
      <c r="JW319" s="32"/>
      <c r="JX319" s="32"/>
      <c r="JY319" s="32"/>
      <c r="JZ319" s="32"/>
      <c r="KA319" s="32"/>
      <c r="KB319" s="32"/>
      <c r="KC319" s="32"/>
      <c r="KD319" s="32"/>
      <c r="KE319" s="32"/>
      <c r="KF319" s="32"/>
      <c r="KG319" s="32"/>
      <c r="KH319" s="32"/>
      <c r="KI319" s="32"/>
      <c r="KJ319" s="32"/>
      <c r="KK319" s="32"/>
      <c r="KL319" s="32"/>
      <c r="KM319" s="32"/>
      <c r="KN319" s="32"/>
      <c r="KO319" s="32"/>
      <c r="KP319" s="32"/>
      <c r="KQ319" s="32"/>
      <c r="KR319" s="32"/>
      <c r="KS319" s="32"/>
      <c r="KT319" s="32"/>
      <c r="KU319" s="32"/>
      <c r="KV319" s="32"/>
      <c r="KW319" s="32"/>
      <c r="KX319" s="32"/>
      <c r="KY319" s="32"/>
      <c r="KZ319" s="32"/>
      <c r="LA319" s="32"/>
      <c r="LB319" s="32"/>
      <c r="LC319" s="32"/>
      <c r="LD319" s="32"/>
      <c r="LE319" s="32"/>
      <c r="LF319" s="32"/>
      <c r="LG319" s="32"/>
      <c r="LH319" s="32"/>
      <c r="LI319" s="32"/>
      <c r="LJ319" s="32"/>
      <c r="LK319" s="32"/>
      <c r="LL319" s="32"/>
      <c r="LM319" s="32"/>
      <c r="LN319" s="32"/>
      <c r="LO319" s="32"/>
      <c r="LP319" s="32"/>
      <c r="LQ319" s="32"/>
      <c r="LR319" s="32"/>
      <c r="LS319" s="32"/>
      <c r="LT319" s="32"/>
      <c r="LU319" s="32"/>
      <c r="LV319" s="32"/>
      <c r="LW319" s="32"/>
      <c r="LX319" s="32"/>
      <c r="LY319" s="32"/>
      <c r="LZ319" s="32"/>
      <c r="MA319" s="32"/>
      <c r="MB319" s="32"/>
      <c r="MC319" s="32"/>
      <c r="MD319" s="32"/>
      <c r="ME319" s="32"/>
      <c r="MF319" s="32"/>
      <c r="MG319" s="32"/>
      <c r="MH319" s="32"/>
      <c r="MI319" s="32"/>
      <c r="MJ319" s="32"/>
      <c r="MK319" s="32"/>
      <c r="ML319" s="32"/>
      <c r="MM319" s="32"/>
      <c r="MN319" s="32"/>
      <c r="MO319" s="32"/>
      <c r="MP319" s="32"/>
      <c r="MQ319" s="32"/>
      <c r="MR319" s="32"/>
      <c r="MS319" s="32"/>
      <c r="MT319" s="32"/>
      <c r="MU319" s="32"/>
      <c r="MV319" s="32"/>
      <c r="MW319" s="32"/>
      <c r="MX319" s="32"/>
      <c r="MY319" s="32"/>
      <c r="MZ319" s="32"/>
      <c r="NA319" s="32"/>
      <c r="NB319" s="32"/>
      <c r="NC319" s="32"/>
      <c r="ND319" s="32"/>
      <c r="NE319" s="32"/>
      <c r="NF319" s="32"/>
      <c r="NG319" s="32"/>
      <c r="NH319" s="32"/>
      <c r="NI319" s="32"/>
      <c r="NJ319" s="32"/>
      <c r="NK319" s="32"/>
      <c r="NL319" s="32"/>
      <c r="NM319" s="32"/>
      <c r="NN319" s="32"/>
      <c r="NO319" s="32"/>
      <c r="NP319" s="32"/>
      <c r="NQ319" s="32"/>
      <c r="NR319" s="32"/>
      <c r="NS319" s="32"/>
      <c r="NT319" s="32"/>
      <c r="NU319" s="32"/>
      <c r="NV319" s="32"/>
      <c r="NW319" s="32"/>
      <c r="NX319" s="32"/>
      <c r="NY319" s="32"/>
      <c r="NZ319" s="32"/>
      <c r="OA319" s="32"/>
      <c r="OB319" s="32"/>
      <c r="OC319" s="32"/>
      <c r="OD319" s="32"/>
      <c r="OE319" s="32"/>
      <c r="OF319" s="32"/>
      <c r="OG319" s="32"/>
      <c r="OH319" s="32"/>
      <c r="OI319" s="32"/>
      <c r="OJ319" s="32"/>
      <c r="OK319" s="32"/>
      <c r="OL319" s="32"/>
      <c r="OM319" s="32"/>
      <c r="ON319" s="32"/>
      <c r="OO319" s="32"/>
      <c r="OP319" s="32"/>
      <c r="OQ319" s="32"/>
      <c r="OR319" s="32"/>
      <c r="OS319" s="32"/>
      <c r="OT319" s="32"/>
      <c r="OU319" s="32"/>
      <c r="OV319" s="32"/>
      <c r="OW319" s="32"/>
      <c r="OX319" s="32"/>
      <c r="OY319" s="32"/>
      <c r="OZ319" s="32"/>
      <c r="PA319" s="32"/>
      <c r="PB319" s="32"/>
      <c r="PC319" s="32"/>
      <c r="PD319" s="32"/>
      <c r="PE319" s="32"/>
      <c r="PF319" s="32"/>
      <c r="PG319" s="32"/>
      <c r="PH319" s="32"/>
      <c r="PI319" s="32"/>
      <c r="PJ319" s="32"/>
      <c r="PK319" s="32"/>
      <c r="PL319" s="32"/>
      <c r="PM319" s="32"/>
      <c r="PN319" s="32"/>
      <c r="PO319" s="32"/>
      <c r="PP319" s="32"/>
      <c r="PQ319" s="32"/>
      <c r="PR319" s="32"/>
      <c r="PS319" s="32"/>
      <c r="PT319" s="32"/>
      <c r="PU319" s="32"/>
      <c r="PV319" s="32"/>
      <c r="PW319" s="32"/>
      <c r="PX319" s="32"/>
      <c r="PY319" s="32"/>
      <c r="PZ319" s="32"/>
      <c r="QA319" s="32"/>
      <c r="QB319" s="32"/>
      <c r="QC319" s="32"/>
      <c r="QD319" s="32"/>
      <c r="QE319" s="32"/>
      <c r="QF319" s="32"/>
      <c r="QG319" s="32"/>
      <c r="QH319" s="32"/>
      <c r="QI319" s="32"/>
      <c r="QJ319" s="32"/>
      <c r="QK319" s="32"/>
      <c r="QL319" s="32"/>
      <c r="QM319" s="32"/>
      <c r="QN319" s="32"/>
      <c r="QO319" s="32"/>
      <c r="QP319" s="32"/>
      <c r="QQ319" s="32"/>
      <c r="QR319" s="32"/>
      <c r="QS319" s="32"/>
      <c r="QT319" s="32"/>
      <c r="QU319" s="32"/>
      <c r="QV319" s="32"/>
      <c r="QW319" s="32"/>
      <c r="QX319" s="32"/>
      <c r="QY319" s="32"/>
      <c r="QZ319" s="32"/>
      <c r="RA319" s="32"/>
      <c r="RB319" s="32"/>
      <c r="RC319" s="32"/>
      <c r="RD319" s="32"/>
      <c r="RE319" s="32"/>
      <c r="RF319" s="32"/>
      <c r="RG319" s="32"/>
      <c r="RH319" s="32"/>
      <c r="RI319" s="32"/>
      <c r="RJ319" s="32"/>
      <c r="RK319" s="32"/>
      <c r="RL319" s="32"/>
      <c r="RM319" s="32"/>
      <c r="RN319" s="32"/>
      <c r="RO319" s="32"/>
      <c r="RP319" s="32"/>
      <c r="RQ319" s="32"/>
      <c r="RR319" s="32"/>
      <c r="RS319" s="32"/>
      <c r="RT319" s="32"/>
      <c r="RU319" s="32"/>
      <c r="RV319" s="32"/>
      <c r="RW319" s="32"/>
      <c r="RX319" s="32"/>
      <c r="RY319" s="32"/>
      <c r="RZ319" s="32"/>
      <c r="SA319" s="32"/>
      <c r="SB319" s="32"/>
      <c r="SC319" s="32"/>
      <c r="SD319" s="32"/>
      <c r="SE319" s="32"/>
      <c r="SF319" s="32"/>
      <c r="SG319" s="32"/>
      <c r="SH319" s="32"/>
      <c r="SI319" s="32"/>
      <c r="SJ319" s="32"/>
      <c r="SK319" s="32"/>
      <c r="SL319" s="32"/>
      <c r="SM319" s="32"/>
      <c r="SN319" s="32"/>
      <c r="SO319" s="32"/>
      <c r="SP319" s="32"/>
      <c r="SQ319" s="32"/>
      <c r="SR319" s="32"/>
      <c r="SS319" s="32"/>
      <c r="ST319" s="32"/>
      <c r="SU319" s="32"/>
      <c r="SV319" s="32"/>
      <c r="SW319" s="32"/>
      <c r="SX319" s="32"/>
      <c r="SY319" s="32"/>
      <c r="SZ319" s="32"/>
      <c r="TA319" s="32"/>
      <c r="TB319" s="32"/>
      <c r="TC319" s="32"/>
      <c r="TD319" s="32"/>
      <c r="TE319" s="32"/>
    </row>
    <row r="320" spans="1:525" s="34" customFormat="1" ht="40.5" customHeight="1" x14ac:dyDescent="0.25">
      <c r="A320" s="86" t="s">
        <v>211</v>
      </c>
      <c r="B320" s="95"/>
      <c r="C320" s="95"/>
      <c r="D320" s="70" t="s">
        <v>38</v>
      </c>
      <c r="E320" s="138">
        <f>E321+E322++E323+E324+E325+E326</f>
        <v>21726000</v>
      </c>
      <c r="F320" s="138">
        <f t="shared" ref="F320:P320" si="177">F321+F322++F323+F324+F325+F326</f>
        <v>21126000</v>
      </c>
      <c r="G320" s="138">
        <f t="shared" si="177"/>
        <v>14273200</v>
      </c>
      <c r="H320" s="138">
        <f t="shared" si="177"/>
        <v>628000</v>
      </c>
      <c r="I320" s="138">
        <f t="shared" si="177"/>
        <v>600000</v>
      </c>
      <c r="J320" s="138">
        <f t="shared" si="177"/>
        <v>175000</v>
      </c>
      <c r="K320" s="138">
        <f>K321+K322++K323+K324+K325+K326</f>
        <v>175000</v>
      </c>
      <c r="L320" s="138">
        <f t="shared" si="177"/>
        <v>0</v>
      </c>
      <c r="M320" s="138">
        <f t="shared" si="177"/>
        <v>0</v>
      </c>
      <c r="N320" s="138">
        <f t="shared" si="177"/>
        <v>0</v>
      </c>
      <c r="O320" s="138">
        <f t="shared" si="177"/>
        <v>175000</v>
      </c>
      <c r="P320" s="138">
        <f t="shared" si="177"/>
        <v>21901000</v>
      </c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  <c r="IW320" s="33"/>
      <c r="IX320" s="33"/>
      <c r="IY320" s="33"/>
      <c r="IZ320" s="33"/>
      <c r="JA320" s="33"/>
      <c r="JB320" s="33"/>
      <c r="JC320" s="33"/>
      <c r="JD320" s="33"/>
      <c r="JE320" s="33"/>
      <c r="JF320" s="33"/>
      <c r="JG320" s="33"/>
      <c r="JH320" s="33"/>
      <c r="JI320" s="33"/>
      <c r="JJ320" s="33"/>
      <c r="JK320" s="33"/>
      <c r="JL320" s="33"/>
      <c r="JM320" s="33"/>
      <c r="JN320" s="33"/>
      <c r="JO320" s="33"/>
      <c r="JP320" s="33"/>
      <c r="JQ320" s="33"/>
      <c r="JR320" s="33"/>
      <c r="JS320" s="33"/>
      <c r="JT320" s="33"/>
      <c r="JU320" s="33"/>
      <c r="JV320" s="33"/>
      <c r="JW320" s="33"/>
      <c r="JX320" s="33"/>
      <c r="JY320" s="33"/>
      <c r="JZ320" s="33"/>
      <c r="KA320" s="33"/>
      <c r="KB320" s="33"/>
      <c r="KC320" s="33"/>
      <c r="KD320" s="33"/>
      <c r="KE320" s="33"/>
      <c r="KF320" s="33"/>
      <c r="KG320" s="33"/>
      <c r="KH320" s="33"/>
      <c r="KI320" s="33"/>
      <c r="KJ320" s="33"/>
      <c r="KK320" s="33"/>
      <c r="KL320" s="33"/>
      <c r="KM320" s="33"/>
      <c r="KN320" s="33"/>
      <c r="KO320" s="33"/>
      <c r="KP320" s="33"/>
      <c r="KQ320" s="33"/>
      <c r="KR320" s="33"/>
      <c r="KS320" s="33"/>
      <c r="KT320" s="33"/>
      <c r="KU320" s="33"/>
      <c r="KV320" s="33"/>
      <c r="KW320" s="33"/>
      <c r="KX320" s="33"/>
      <c r="KY320" s="33"/>
      <c r="KZ320" s="33"/>
      <c r="LA320" s="33"/>
      <c r="LB320" s="33"/>
      <c r="LC320" s="33"/>
      <c r="LD320" s="33"/>
      <c r="LE320" s="33"/>
      <c r="LF320" s="33"/>
      <c r="LG320" s="33"/>
      <c r="LH320" s="33"/>
      <c r="LI320" s="33"/>
      <c r="LJ320" s="33"/>
      <c r="LK320" s="33"/>
      <c r="LL320" s="33"/>
      <c r="LM320" s="33"/>
      <c r="LN320" s="33"/>
      <c r="LO320" s="33"/>
      <c r="LP320" s="33"/>
      <c r="LQ320" s="33"/>
      <c r="LR320" s="33"/>
      <c r="LS320" s="33"/>
      <c r="LT320" s="33"/>
      <c r="LU320" s="33"/>
      <c r="LV320" s="33"/>
      <c r="LW320" s="33"/>
      <c r="LX320" s="33"/>
      <c r="LY320" s="33"/>
      <c r="LZ320" s="33"/>
      <c r="MA320" s="33"/>
      <c r="MB320" s="33"/>
      <c r="MC320" s="33"/>
      <c r="MD320" s="33"/>
      <c r="ME320" s="33"/>
      <c r="MF320" s="33"/>
      <c r="MG320" s="33"/>
      <c r="MH320" s="33"/>
      <c r="MI320" s="33"/>
      <c r="MJ320" s="33"/>
      <c r="MK320" s="33"/>
      <c r="ML320" s="33"/>
      <c r="MM320" s="33"/>
      <c r="MN320" s="33"/>
      <c r="MO320" s="33"/>
      <c r="MP320" s="33"/>
      <c r="MQ320" s="33"/>
      <c r="MR320" s="33"/>
      <c r="MS320" s="33"/>
      <c r="MT320" s="33"/>
      <c r="MU320" s="33"/>
      <c r="MV320" s="33"/>
      <c r="MW320" s="33"/>
      <c r="MX320" s="33"/>
      <c r="MY320" s="33"/>
      <c r="MZ320" s="33"/>
      <c r="NA320" s="33"/>
      <c r="NB320" s="33"/>
      <c r="NC320" s="33"/>
      <c r="ND320" s="33"/>
      <c r="NE320" s="33"/>
      <c r="NF320" s="33"/>
      <c r="NG320" s="33"/>
      <c r="NH320" s="33"/>
      <c r="NI320" s="33"/>
      <c r="NJ320" s="33"/>
      <c r="NK320" s="33"/>
      <c r="NL320" s="33"/>
      <c r="NM320" s="33"/>
      <c r="NN320" s="33"/>
      <c r="NO320" s="33"/>
      <c r="NP320" s="33"/>
      <c r="NQ320" s="33"/>
      <c r="NR320" s="33"/>
      <c r="NS320" s="33"/>
      <c r="NT320" s="33"/>
      <c r="NU320" s="33"/>
      <c r="NV320" s="33"/>
      <c r="NW320" s="33"/>
      <c r="NX320" s="33"/>
      <c r="NY320" s="33"/>
      <c r="NZ320" s="33"/>
      <c r="OA320" s="33"/>
      <c r="OB320" s="33"/>
      <c r="OC320" s="33"/>
      <c r="OD320" s="33"/>
      <c r="OE320" s="33"/>
      <c r="OF320" s="33"/>
      <c r="OG320" s="33"/>
      <c r="OH320" s="33"/>
      <c r="OI320" s="33"/>
      <c r="OJ320" s="33"/>
      <c r="OK320" s="33"/>
      <c r="OL320" s="33"/>
      <c r="OM320" s="33"/>
      <c r="ON320" s="33"/>
      <c r="OO320" s="33"/>
      <c r="OP320" s="33"/>
      <c r="OQ320" s="33"/>
      <c r="OR320" s="33"/>
      <c r="OS320" s="33"/>
      <c r="OT320" s="33"/>
      <c r="OU320" s="33"/>
      <c r="OV320" s="33"/>
      <c r="OW320" s="33"/>
      <c r="OX320" s="33"/>
      <c r="OY320" s="33"/>
      <c r="OZ320" s="33"/>
      <c r="PA320" s="33"/>
      <c r="PB320" s="33"/>
      <c r="PC320" s="33"/>
      <c r="PD320" s="33"/>
      <c r="PE320" s="33"/>
      <c r="PF320" s="33"/>
      <c r="PG320" s="33"/>
      <c r="PH320" s="33"/>
      <c r="PI320" s="33"/>
      <c r="PJ320" s="33"/>
      <c r="PK320" s="33"/>
      <c r="PL320" s="33"/>
      <c r="PM320" s="33"/>
      <c r="PN320" s="33"/>
      <c r="PO320" s="33"/>
      <c r="PP320" s="33"/>
      <c r="PQ320" s="33"/>
      <c r="PR320" s="33"/>
      <c r="PS320" s="33"/>
      <c r="PT320" s="33"/>
      <c r="PU320" s="33"/>
      <c r="PV320" s="33"/>
      <c r="PW320" s="33"/>
      <c r="PX320" s="33"/>
      <c r="PY320" s="33"/>
      <c r="PZ320" s="33"/>
      <c r="QA320" s="33"/>
      <c r="QB320" s="33"/>
      <c r="QC320" s="33"/>
      <c r="QD320" s="33"/>
      <c r="QE320" s="33"/>
      <c r="QF320" s="33"/>
      <c r="QG320" s="33"/>
      <c r="QH320" s="33"/>
      <c r="QI320" s="33"/>
      <c r="QJ320" s="33"/>
      <c r="QK320" s="33"/>
      <c r="QL320" s="33"/>
      <c r="QM320" s="33"/>
      <c r="QN320" s="33"/>
      <c r="QO320" s="33"/>
      <c r="QP320" s="33"/>
      <c r="QQ320" s="33"/>
      <c r="QR320" s="33"/>
      <c r="QS320" s="33"/>
      <c r="QT320" s="33"/>
      <c r="QU320" s="33"/>
      <c r="QV320" s="33"/>
      <c r="QW320" s="33"/>
      <c r="QX320" s="33"/>
      <c r="QY320" s="33"/>
      <c r="QZ320" s="33"/>
      <c r="RA320" s="33"/>
      <c r="RB320" s="33"/>
      <c r="RC320" s="33"/>
      <c r="RD320" s="33"/>
      <c r="RE320" s="33"/>
      <c r="RF320" s="33"/>
      <c r="RG320" s="33"/>
      <c r="RH320" s="33"/>
      <c r="RI320" s="33"/>
      <c r="RJ320" s="33"/>
      <c r="RK320" s="33"/>
      <c r="RL320" s="33"/>
      <c r="RM320" s="33"/>
      <c r="RN320" s="33"/>
      <c r="RO320" s="33"/>
      <c r="RP320" s="33"/>
      <c r="RQ320" s="33"/>
      <c r="RR320" s="33"/>
      <c r="RS320" s="33"/>
      <c r="RT320" s="33"/>
      <c r="RU320" s="33"/>
      <c r="RV320" s="33"/>
      <c r="RW320" s="33"/>
      <c r="RX320" s="33"/>
      <c r="RY320" s="33"/>
      <c r="RZ320" s="33"/>
      <c r="SA320" s="33"/>
      <c r="SB320" s="33"/>
      <c r="SC320" s="33"/>
      <c r="SD320" s="33"/>
      <c r="SE320" s="33"/>
      <c r="SF320" s="33"/>
      <c r="SG320" s="33"/>
      <c r="SH320" s="33"/>
      <c r="SI320" s="33"/>
      <c r="SJ320" s="33"/>
      <c r="SK320" s="33"/>
      <c r="SL320" s="33"/>
      <c r="SM320" s="33"/>
      <c r="SN320" s="33"/>
      <c r="SO320" s="33"/>
      <c r="SP320" s="33"/>
      <c r="SQ320" s="33"/>
      <c r="SR320" s="33"/>
      <c r="SS320" s="33"/>
      <c r="ST320" s="33"/>
      <c r="SU320" s="33"/>
      <c r="SV320" s="33"/>
      <c r="SW320" s="33"/>
      <c r="SX320" s="33"/>
      <c r="SY320" s="33"/>
      <c r="SZ320" s="33"/>
      <c r="TA320" s="33"/>
      <c r="TB320" s="33"/>
      <c r="TC320" s="33"/>
      <c r="TD320" s="33"/>
      <c r="TE320" s="33"/>
    </row>
    <row r="321" spans="1:525" s="22" customFormat="1" ht="50.25" customHeight="1" x14ac:dyDescent="0.25">
      <c r="A321" s="56" t="s">
        <v>212</v>
      </c>
      <c r="B321" s="84" t="str">
        <f>'дод 3'!A19</f>
        <v>0160</v>
      </c>
      <c r="C321" s="84" t="str">
        <f>'дод 3'!B19</f>
        <v>0111</v>
      </c>
      <c r="D321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321" s="139">
        <f t="shared" ref="E321:E326" si="178">F321+I321</f>
        <v>18876000</v>
      </c>
      <c r="F321" s="139">
        <f>20327900-1451900</f>
        <v>18876000</v>
      </c>
      <c r="G321" s="139">
        <f>15463300-1190100</f>
        <v>14273200</v>
      </c>
      <c r="H321" s="139">
        <v>628000</v>
      </c>
      <c r="I321" s="139"/>
      <c r="J321" s="139">
        <f>L321+O321</f>
        <v>0</v>
      </c>
      <c r="K321" s="139"/>
      <c r="L321" s="139"/>
      <c r="M321" s="139"/>
      <c r="N321" s="139"/>
      <c r="O321" s="139"/>
      <c r="P321" s="139">
        <f t="shared" ref="P321:P326" si="179">E321+J321</f>
        <v>18876000</v>
      </c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  <c r="MJ321" s="23"/>
      <c r="MK321" s="23"/>
      <c r="ML321" s="23"/>
      <c r="MM321" s="23"/>
      <c r="MN321" s="23"/>
      <c r="MO321" s="23"/>
      <c r="MP321" s="23"/>
      <c r="MQ321" s="23"/>
      <c r="MR321" s="23"/>
      <c r="MS321" s="23"/>
      <c r="MT321" s="23"/>
      <c r="MU321" s="23"/>
      <c r="MV321" s="23"/>
      <c r="MW321" s="23"/>
      <c r="MX321" s="23"/>
      <c r="MY321" s="23"/>
      <c r="MZ321" s="23"/>
      <c r="NA321" s="23"/>
      <c r="NB321" s="23"/>
      <c r="NC321" s="23"/>
      <c r="ND321" s="23"/>
      <c r="NE321" s="23"/>
      <c r="NF321" s="23"/>
      <c r="NG321" s="23"/>
      <c r="NH321" s="23"/>
      <c r="NI321" s="23"/>
      <c r="NJ321" s="23"/>
      <c r="NK321" s="23"/>
      <c r="NL321" s="23"/>
      <c r="NM321" s="23"/>
      <c r="NN321" s="23"/>
      <c r="NO321" s="23"/>
      <c r="NP321" s="23"/>
      <c r="NQ321" s="23"/>
      <c r="NR321" s="23"/>
      <c r="NS321" s="23"/>
      <c r="NT321" s="23"/>
      <c r="NU321" s="23"/>
      <c r="NV321" s="23"/>
      <c r="NW321" s="23"/>
      <c r="NX321" s="23"/>
      <c r="NY321" s="23"/>
      <c r="NZ321" s="23"/>
      <c r="OA321" s="23"/>
      <c r="OB321" s="23"/>
      <c r="OC321" s="23"/>
      <c r="OD321" s="23"/>
      <c r="OE321" s="23"/>
      <c r="OF321" s="23"/>
      <c r="OG321" s="23"/>
      <c r="OH321" s="23"/>
      <c r="OI321" s="23"/>
      <c r="OJ321" s="23"/>
      <c r="OK321" s="23"/>
      <c r="OL321" s="23"/>
      <c r="OM321" s="23"/>
      <c r="ON321" s="23"/>
      <c r="OO321" s="23"/>
      <c r="OP321" s="23"/>
      <c r="OQ321" s="23"/>
      <c r="OR321" s="23"/>
      <c r="OS321" s="23"/>
      <c r="OT321" s="23"/>
      <c r="OU321" s="23"/>
      <c r="OV321" s="23"/>
      <c r="OW321" s="23"/>
      <c r="OX321" s="23"/>
      <c r="OY321" s="23"/>
      <c r="OZ321" s="23"/>
      <c r="PA321" s="23"/>
      <c r="PB321" s="23"/>
      <c r="PC321" s="23"/>
      <c r="PD321" s="23"/>
      <c r="PE321" s="23"/>
      <c r="PF321" s="23"/>
      <c r="PG321" s="23"/>
      <c r="PH321" s="23"/>
      <c r="PI321" s="23"/>
      <c r="PJ321" s="23"/>
      <c r="PK321" s="23"/>
      <c r="PL321" s="23"/>
      <c r="PM321" s="23"/>
      <c r="PN321" s="23"/>
      <c r="PO321" s="23"/>
      <c r="PP321" s="23"/>
      <c r="PQ321" s="23"/>
      <c r="PR321" s="23"/>
      <c r="PS321" s="23"/>
      <c r="PT321" s="23"/>
      <c r="PU321" s="23"/>
      <c r="PV321" s="23"/>
      <c r="PW321" s="23"/>
      <c r="PX321" s="23"/>
      <c r="PY321" s="23"/>
      <c r="PZ321" s="23"/>
      <c r="QA321" s="23"/>
      <c r="QB321" s="23"/>
      <c r="QC321" s="23"/>
      <c r="QD321" s="23"/>
      <c r="QE321" s="23"/>
      <c r="QF321" s="23"/>
      <c r="QG321" s="23"/>
      <c r="QH321" s="23"/>
      <c r="QI321" s="23"/>
      <c r="QJ321" s="23"/>
      <c r="QK321" s="23"/>
      <c r="QL321" s="23"/>
      <c r="QM321" s="23"/>
      <c r="QN321" s="23"/>
      <c r="QO321" s="23"/>
      <c r="QP321" s="23"/>
      <c r="QQ321" s="23"/>
      <c r="QR321" s="23"/>
      <c r="QS321" s="23"/>
      <c r="QT321" s="23"/>
      <c r="QU321" s="23"/>
      <c r="QV321" s="23"/>
      <c r="QW321" s="23"/>
      <c r="QX321" s="23"/>
      <c r="QY321" s="23"/>
      <c r="QZ321" s="23"/>
      <c r="RA321" s="23"/>
      <c r="RB321" s="23"/>
      <c r="RC321" s="23"/>
      <c r="RD321" s="23"/>
      <c r="RE321" s="23"/>
      <c r="RF321" s="23"/>
      <c r="RG321" s="23"/>
      <c r="RH321" s="23"/>
      <c r="RI321" s="23"/>
      <c r="RJ321" s="23"/>
      <c r="RK321" s="23"/>
      <c r="RL321" s="23"/>
      <c r="RM321" s="23"/>
      <c r="RN321" s="23"/>
      <c r="RO321" s="23"/>
      <c r="RP321" s="23"/>
      <c r="RQ321" s="23"/>
      <c r="RR321" s="23"/>
      <c r="RS321" s="23"/>
      <c r="RT321" s="23"/>
      <c r="RU321" s="23"/>
      <c r="RV321" s="23"/>
      <c r="RW321" s="23"/>
      <c r="RX321" s="23"/>
      <c r="RY321" s="23"/>
      <c r="RZ321" s="23"/>
      <c r="SA321" s="23"/>
      <c r="SB321" s="23"/>
      <c r="SC321" s="23"/>
      <c r="SD321" s="23"/>
      <c r="SE321" s="23"/>
      <c r="SF321" s="23"/>
      <c r="SG321" s="23"/>
      <c r="SH321" s="23"/>
      <c r="SI321" s="23"/>
      <c r="SJ321" s="23"/>
      <c r="SK321" s="23"/>
      <c r="SL321" s="23"/>
      <c r="SM321" s="23"/>
      <c r="SN321" s="23"/>
      <c r="SO321" s="23"/>
      <c r="SP321" s="23"/>
      <c r="SQ321" s="23"/>
      <c r="SR321" s="23"/>
      <c r="SS321" s="23"/>
      <c r="ST321" s="23"/>
      <c r="SU321" s="23"/>
      <c r="SV321" s="23"/>
      <c r="SW321" s="23"/>
      <c r="SX321" s="23"/>
      <c r="SY321" s="23"/>
      <c r="SZ321" s="23"/>
      <c r="TA321" s="23"/>
      <c r="TB321" s="23"/>
      <c r="TC321" s="23"/>
      <c r="TD321" s="23"/>
      <c r="TE321" s="23"/>
    </row>
    <row r="322" spans="1:525" s="25" customFormat="1" ht="30.75" customHeight="1" x14ac:dyDescent="0.25">
      <c r="A322" s="56" t="s">
        <v>213</v>
      </c>
      <c r="B322" s="84" t="str">
        <f>'дод 3'!A179</f>
        <v>7130</v>
      </c>
      <c r="C322" s="84" t="str">
        <f>'дод 3'!B179</f>
        <v>0421</v>
      </c>
      <c r="D322" s="57" t="str">
        <f>'дод 3'!C179</f>
        <v>Здійснення заходів із землеустрою</v>
      </c>
      <c r="E322" s="139">
        <f t="shared" si="178"/>
        <v>990000</v>
      </c>
      <c r="F322" s="139">
        <v>990000</v>
      </c>
      <c r="G322" s="139"/>
      <c r="H322" s="139"/>
      <c r="I322" s="139"/>
      <c r="J322" s="139">
        <f t="shared" ref="J322:J326" si="180">L322+O322</f>
        <v>0</v>
      </c>
      <c r="K322" s="139"/>
      <c r="L322" s="139"/>
      <c r="M322" s="139"/>
      <c r="N322" s="139"/>
      <c r="O322" s="139"/>
      <c r="P322" s="139">
        <f t="shared" si="179"/>
        <v>990000</v>
      </c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  <c r="IP322" s="31"/>
      <c r="IQ322" s="31"/>
      <c r="IR322" s="31"/>
      <c r="IS322" s="31"/>
      <c r="IT322" s="31"/>
      <c r="IU322" s="31"/>
      <c r="IV322" s="31"/>
      <c r="IW322" s="31"/>
      <c r="IX322" s="31"/>
      <c r="IY322" s="31"/>
      <c r="IZ322" s="31"/>
      <c r="JA322" s="31"/>
      <c r="JB322" s="31"/>
      <c r="JC322" s="31"/>
      <c r="JD322" s="31"/>
      <c r="JE322" s="31"/>
      <c r="JF322" s="31"/>
      <c r="JG322" s="31"/>
      <c r="JH322" s="31"/>
      <c r="JI322" s="31"/>
      <c r="JJ322" s="31"/>
      <c r="JK322" s="31"/>
      <c r="JL322" s="31"/>
      <c r="JM322" s="31"/>
      <c r="JN322" s="31"/>
      <c r="JO322" s="31"/>
      <c r="JP322" s="31"/>
      <c r="JQ322" s="31"/>
      <c r="JR322" s="31"/>
      <c r="JS322" s="31"/>
      <c r="JT322" s="31"/>
      <c r="JU322" s="31"/>
      <c r="JV322" s="31"/>
      <c r="JW322" s="31"/>
      <c r="JX322" s="31"/>
      <c r="JY322" s="31"/>
      <c r="JZ322" s="31"/>
      <c r="KA322" s="31"/>
      <c r="KB322" s="31"/>
      <c r="KC322" s="31"/>
      <c r="KD322" s="31"/>
      <c r="KE322" s="31"/>
      <c r="KF322" s="31"/>
      <c r="KG322" s="31"/>
      <c r="KH322" s="31"/>
      <c r="KI322" s="31"/>
      <c r="KJ322" s="31"/>
      <c r="KK322" s="31"/>
      <c r="KL322" s="31"/>
      <c r="KM322" s="31"/>
      <c r="KN322" s="31"/>
      <c r="KO322" s="31"/>
      <c r="KP322" s="31"/>
      <c r="KQ322" s="31"/>
      <c r="KR322" s="31"/>
      <c r="KS322" s="31"/>
      <c r="KT322" s="31"/>
      <c r="KU322" s="31"/>
      <c r="KV322" s="31"/>
      <c r="KW322" s="31"/>
      <c r="KX322" s="31"/>
      <c r="KY322" s="31"/>
      <c r="KZ322" s="31"/>
      <c r="LA322" s="31"/>
      <c r="LB322" s="31"/>
      <c r="LC322" s="31"/>
      <c r="LD322" s="31"/>
      <c r="LE322" s="31"/>
      <c r="LF322" s="31"/>
      <c r="LG322" s="31"/>
      <c r="LH322" s="31"/>
      <c r="LI322" s="31"/>
      <c r="LJ322" s="31"/>
      <c r="LK322" s="31"/>
      <c r="LL322" s="31"/>
      <c r="LM322" s="31"/>
      <c r="LN322" s="31"/>
      <c r="LO322" s="31"/>
      <c r="LP322" s="31"/>
      <c r="LQ322" s="31"/>
      <c r="LR322" s="31"/>
      <c r="LS322" s="31"/>
      <c r="LT322" s="31"/>
      <c r="LU322" s="31"/>
      <c r="LV322" s="31"/>
      <c r="LW322" s="31"/>
      <c r="LX322" s="31"/>
      <c r="LY322" s="31"/>
      <c r="LZ322" s="31"/>
      <c r="MA322" s="31"/>
      <c r="MB322" s="31"/>
      <c r="MC322" s="31"/>
      <c r="MD322" s="31"/>
      <c r="ME322" s="31"/>
      <c r="MF322" s="31"/>
      <c r="MG322" s="31"/>
      <c r="MH322" s="31"/>
      <c r="MI322" s="31"/>
      <c r="MJ322" s="31"/>
      <c r="MK322" s="31"/>
      <c r="ML322" s="31"/>
      <c r="MM322" s="31"/>
      <c r="MN322" s="31"/>
      <c r="MO322" s="31"/>
      <c r="MP322" s="31"/>
      <c r="MQ322" s="31"/>
      <c r="MR322" s="31"/>
      <c r="MS322" s="31"/>
      <c r="MT322" s="31"/>
      <c r="MU322" s="31"/>
      <c r="MV322" s="31"/>
      <c r="MW322" s="31"/>
      <c r="MX322" s="31"/>
      <c r="MY322" s="31"/>
      <c r="MZ322" s="31"/>
      <c r="NA322" s="31"/>
      <c r="NB322" s="31"/>
      <c r="NC322" s="31"/>
      <c r="ND322" s="31"/>
      <c r="NE322" s="31"/>
      <c r="NF322" s="31"/>
      <c r="NG322" s="31"/>
      <c r="NH322" s="31"/>
      <c r="NI322" s="31"/>
      <c r="NJ322" s="31"/>
      <c r="NK322" s="31"/>
      <c r="NL322" s="31"/>
      <c r="NM322" s="31"/>
      <c r="NN322" s="31"/>
      <c r="NO322" s="31"/>
      <c r="NP322" s="31"/>
      <c r="NQ322" s="31"/>
      <c r="NR322" s="31"/>
      <c r="NS322" s="31"/>
      <c r="NT322" s="31"/>
      <c r="NU322" s="31"/>
      <c r="NV322" s="31"/>
      <c r="NW322" s="31"/>
      <c r="NX322" s="31"/>
      <c r="NY322" s="31"/>
      <c r="NZ322" s="31"/>
      <c r="OA322" s="31"/>
      <c r="OB322" s="31"/>
      <c r="OC322" s="31"/>
      <c r="OD322" s="31"/>
      <c r="OE322" s="31"/>
      <c r="OF322" s="31"/>
      <c r="OG322" s="31"/>
      <c r="OH322" s="31"/>
      <c r="OI322" s="31"/>
      <c r="OJ322" s="31"/>
      <c r="OK322" s="31"/>
      <c r="OL322" s="31"/>
      <c r="OM322" s="31"/>
      <c r="ON322" s="31"/>
      <c r="OO322" s="31"/>
      <c r="OP322" s="31"/>
      <c r="OQ322" s="31"/>
      <c r="OR322" s="31"/>
      <c r="OS322" s="31"/>
      <c r="OT322" s="31"/>
      <c r="OU322" s="31"/>
      <c r="OV322" s="31"/>
      <c r="OW322" s="31"/>
      <c r="OX322" s="31"/>
      <c r="OY322" s="31"/>
      <c r="OZ322" s="31"/>
      <c r="PA322" s="31"/>
      <c r="PB322" s="31"/>
      <c r="PC322" s="31"/>
      <c r="PD322" s="31"/>
      <c r="PE322" s="31"/>
      <c r="PF322" s="31"/>
      <c r="PG322" s="31"/>
      <c r="PH322" s="31"/>
      <c r="PI322" s="31"/>
      <c r="PJ322" s="31"/>
      <c r="PK322" s="31"/>
      <c r="PL322" s="31"/>
      <c r="PM322" s="31"/>
      <c r="PN322" s="31"/>
      <c r="PO322" s="31"/>
      <c r="PP322" s="31"/>
      <c r="PQ322" s="31"/>
      <c r="PR322" s="31"/>
      <c r="PS322" s="31"/>
      <c r="PT322" s="31"/>
      <c r="PU322" s="31"/>
      <c r="PV322" s="31"/>
      <c r="PW322" s="31"/>
      <c r="PX322" s="31"/>
      <c r="PY322" s="31"/>
      <c r="PZ322" s="31"/>
      <c r="QA322" s="31"/>
      <c r="QB322" s="31"/>
      <c r="QC322" s="31"/>
      <c r="QD322" s="31"/>
      <c r="QE322" s="31"/>
      <c r="QF322" s="31"/>
      <c r="QG322" s="31"/>
      <c r="QH322" s="31"/>
      <c r="QI322" s="31"/>
      <c r="QJ322" s="31"/>
      <c r="QK322" s="31"/>
      <c r="QL322" s="31"/>
      <c r="QM322" s="31"/>
      <c r="QN322" s="31"/>
      <c r="QO322" s="31"/>
      <c r="QP322" s="31"/>
      <c r="QQ322" s="31"/>
      <c r="QR322" s="31"/>
      <c r="QS322" s="31"/>
      <c r="QT322" s="31"/>
      <c r="QU322" s="31"/>
      <c r="QV322" s="31"/>
      <c r="QW322" s="31"/>
      <c r="QX322" s="31"/>
      <c r="QY322" s="31"/>
      <c r="QZ322" s="31"/>
      <c r="RA322" s="31"/>
      <c r="RB322" s="31"/>
      <c r="RC322" s="31"/>
      <c r="RD322" s="31"/>
      <c r="RE322" s="31"/>
      <c r="RF322" s="31"/>
      <c r="RG322" s="31"/>
      <c r="RH322" s="31"/>
      <c r="RI322" s="31"/>
      <c r="RJ322" s="31"/>
      <c r="RK322" s="31"/>
      <c r="RL322" s="31"/>
      <c r="RM322" s="31"/>
      <c r="RN322" s="31"/>
      <c r="RO322" s="31"/>
      <c r="RP322" s="31"/>
      <c r="RQ322" s="31"/>
      <c r="RR322" s="31"/>
      <c r="RS322" s="31"/>
      <c r="RT322" s="31"/>
      <c r="RU322" s="31"/>
      <c r="RV322" s="31"/>
      <c r="RW322" s="31"/>
      <c r="RX322" s="31"/>
      <c r="RY322" s="31"/>
      <c r="RZ322" s="31"/>
      <c r="SA322" s="31"/>
      <c r="SB322" s="31"/>
      <c r="SC322" s="31"/>
      <c r="SD322" s="31"/>
      <c r="SE322" s="31"/>
      <c r="SF322" s="31"/>
      <c r="SG322" s="31"/>
      <c r="SH322" s="31"/>
      <c r="SI322" s="31"/>
      <c r="SJ322" s="31"/>
      <c r="SK322" s="31"/>
      <c r="SL322" s="31"/>
      <c r="SM322" s="31"/>
      <c r="SN322" s="31"/>
      <c r="SO322" s="31"/>
      <c r="SP322" s="31"/>
      <c r="SQ322" s="31"/>
      <c r="SR322" s="31"/>
      <c r="SS322" s="31"/>
      <c r="ST322" s="31"/>
      <c r="SU322" s="31"/>
      <c r="SV322" s="31"/>
      <c r="SW322" s="31"/>
      <c r="SX322" s="31"/>
      <c r="SY322" s="31"/>
      <c r="SZ322" s="31"/>
      <c r="TA322" s="31"/>
      <c r="TB322" s="31"/>
      <c r="TC322" s="31"/>
      <c r="TD322" s="31"/>
      <c r="TE322" s="31"/>
    </row>
    <row r="323" spans="1:525" s="22" customFormat="1" ht="40.5" customHeight="1" x14ac:dyDescent="0.25">
      <c r="A323" s="89" t="s">
        <v>214</v>
      </c>
      <c r="B323" s="42" t="str">
        <f>'дод 3'!A220</f>
        <v>7610</v>
      </c>
      <c r="C323" s="42" t="str">
        <f>'дод 3'!B220</f>
        <v>0411</v>
      </c>
      <c r="D323" s="36" t="str">
        <f>'дод 3'!C220</f>
        <v>Сприяння розвитку малого та середнього підприємництва</v>
      </c>
      <c r="E323" s="139">
        <f t="shared" si="178"/>
        <v>1000000</v>
      </c>
      <c r="F323" s="139">
        <v>400000</v>
      </c>
      <c r="G323" s="139"/>
      <c r="H323" s="139"/>
      <c r="I323" s="139">
        <v>600000</v>
      </c>
      <c r="J323" s="139">
        <f t="shared" si="180"/>
        <v>0</v>
      </c>
      <c r="K323" s="139"/>
      <c r="L323" s="139"/>
      <c r="M323" s="139"/>
      <c r="N323" s="139"/>
      <c r="O323" s="139"/>
      <c r="P323" s="139">
        <f t="shared" si="179"/>
        <v>1000000</v>
      </c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  <c r="IW323" s="23"/>
      <c r="IX323" s="23"/>
      <c r="IY323" s="23"/>
      <c r="IZ323" s="23"/>
      <c r="JA323" s="23"/>
      <c r="JB323" s="23"/>
      <c r="JC323" s="23"/>
      <c r="JD323" s="23"/>
      <c r="JE323" s="23"/>
      <c r="JF323" s="23"/>
      <c r="JG323" s="23"/>
      <c r="JH323" s="23"/>
      <c r="JI323" s="23"/>
      <c r="JJ323" s="23"/>
      <c r="JK323" s="23"/>
      <c r="JL323" s="23"/>
      <c r="JM323" s="23"/>
      <c r="JN323" s="23"/>
      <c r="JO323" s="23"/>
      <c r="JP323" s="23"/>
      <c r="JQ323" s="23"/>
      <c r="JR323" s="23"/>
      <c r="JS323" s="23"/>
      <c r="JT323" s="23"/>
      <c r="JU323" s="23"/>
      <c r="JV323" s="23"/>
      <c r="JW323" s="23"/>
      <c r="JX323" s="23"/>
      <c r="JY323" s="23"/>
      <c r="JZ323" s="23"/>
      <c r="KA323" s="23"/>
      <c r="KB323" s="23"/>
      <c r="KC323" s="23"/>
      <c r="KD323" s="23"/>
      <c r="KE323" s="23"/>
      <c r="KF323" s="23"/>
      <c r="KG323" s="23"/>
      <c r="KH323" s="23"/>
      <c r="KI323" s="23"/>
      <c r="KJ323" s="23"/>
      <c r="KK323" s="23"/>
      <c r="KL323" s="23"/>
      <c r="KM323" s="23"/>
      <c r="KN323" s="23"/>
      <c r="KO323" s="23"/>
      <c r="KP323" s="23"/>
      <c r="KQ323" s="23"/>
      <c r="KR323" s="23"/>
      <c r="KS323" s="23"/>
      <c r="KT323" s="23"/>
      <c r="KU323" s="23"/>
      <c r="KV323" s="23"/>
      <c r="KW323" s="23"/>
      <c r="KX323" s="23"/>
      <c r="KY323" s="23"/>
      <c r="KZ323" s="23"/>
      <c r="LA323" s="23"/>
      <c r="LB323" s="23"/>
      <c r="LC323" s="23"/>
      <c r="LD323" s="23"/>
      <c r="LE323" s="23"/>
      <c r="LF323" s="23"/>
      <c r="LG323" s="23"/>
      <c r="LH323" s="23"/>
      <c r="LI323" s="23"/>
      <c r="LJ323" s="23"/>
      <c r="LK323" s="23"/>
      <c r="LL323" s="23"/>
      <c r="LM323" s="23"/>
      <c r="LN323" s="23"/>
      <c r="LO323" s="23"/>
      <c r="LP323" s="23"/>
      <c r="LQ323" s="23"/>
      <c r="LR323" s="23"/>
      <c r="LS323" s="23"/>
      <c r="LT323" s="23"/>
      <c r="LU323" s="23"/>
      <c r="LV323" s="23"/>
      <c r="LW323" s="23"/>
      <c r="LX323" s="23"/>
      <c r="LY323" s="23"/>
      <c r="LZ323" s="23"/>
      <c r="MA323" s="23"/>
      <c r="MB323" s="23"/>
      <c r="MC323" s="23"/>
      <c r="MD323" s="23"/>
      <c r="ME323" s="23"/>
      <c r="MF323" s="23"/>
      <c r="MG323" s="23"/>
      <c r="MH323" s="23"/>
      <c r="MI323" s="23"/>
      <c r="MJ323" s="23"/>
      <c r="MK323" s="23"/>
      <c r="ML323" s="23"/>
      <c r="MM323" s="23"/>
      <c r="MN323" s="23"/>
      <c r="MO323" s="23"/>
      <c r="MP323" s="23"/>
      <c r="MQ323" s="23"/>
      <c r="MR323" s="23"/>
      <c r="MS323" s="23"/>
      <c r="MT323" s="23"/>
      <c r="MU323" s="23"/>
      <c r="MV323" s="23"/>
      <c r="MW323" s="23"/>
      <c r="MX323" s="23"/>
      <c r="MY323" s="23"/>
      <c r="MZ323" s="23"/>
      <c r="NA323" s="23"/>
      <c r="NB323" s="23"/>
      <c r="NC323" s="23"/>
      <c r="ND323" s="23"/>
      <c r="NE323" s="23"/>
      <c r="NF323" s="23"/>
      <c r="NG323" s="23"/>
      <c r="NH323" s="23"/>
      <c r="NI323" s="23"/>
      <c r="NJ323" s="23"/>
      <c r="NK323" s="23"/>
      <c r="NL323" s="23"/>
      <c r="NM323" s="23"/>
      <c r="NN323" s="23"/>
      <c r="NO323" s="23"/>
      <c r="NP323" s="23"/>
      <c r="NQ323" s="23"/>
      <c r="NR323" s="23"/>
      <c r="NS323" s="23"/>
      <c r="NT323" s="23"/>
      <c r="NU323" s="23"/>
      <c r="NV323" s="23"/>
      <c r="NW323" s="23"/>
      <c r="NX323" s="23"/>
      <c r="NY323" s="23"/>
      <c r="NZ323" s="23"/>
      <c r="OA323" s="23"/>
      <c r="OB323" s="23"/>
      <c r="OC323" s="23"/>
      <c r="OD323" s="23"/>
      <c r="OE323" s="23"/>
      <c r="OF323" s="23"/>
      <c r="OG323" s="23"/>
      <c r="OH323" s="23"/>
      <c r="OI323" s="23"/>
      <c r="OJ323" s="23"/>
      <c r="OK323" s="23"/>
      <c r="OL323" s="23"/>
      <c r="OM323" s="23"/>
      <c r="ON323" s="23"/>
      <c r="OO323" s="23"/>
      <c r="OP323" s="23"/>
      <c r="OQ323" s="23"/>
      <c r="OR323" s="23"/>
      <c r="OS323" s="23"/>
      <c r="OT323" s="23"/>
      <c r="OU323" s="23"/>
      <c r="OV323" s="23"/>
      <c r="OW323" s="23"/>
      <c r="OX323" s="23"/>
      <c r="OY323" s="23"/>
      <c r="OZ323" s="23"/>
      <c r="PA323" s="23"/>
      <c r="PB323" s="23"/>
      <c r="PC323" s="23"/>
      <c r="PD323" s="23"/>
      <c r="PE323" s="23"/>
      <c r="PF323" s="23"/>
      <c r="PG323" s="23"/>
      <c r="PH323" s="23"/>
      <c r="PI323" s="23"/>
      <c r="PJ323" s="23"/>
      <c r="PK323" s="23"/>
      <c r="PL323" s="23"/>
      <c r="PM323" s="23"/>
      <c r="PN323" s="23"/>
      <c r="PO323" s="23"/>
      <c r="PP323" s="23"/>
      <c r="PQ323" s="23"/>
      <c r="PR323" s="23"/>
      <c r="PS323" s="23"/>
      <c r="PT323" s="23"/>
      <c r="PU323" s="23"/>
      <c r="PV323" s="23"/>
      <c r="PW323" s="23"/>
      <c r="PX323" s="23"/>
      <c r="PY323" s="23"/>
      <c r="PZ323" s="23"/>
      <c r="QA323" s="23"/>
      <c r="QB323" s="23"/>
      <c r="QC323" s="23"/>
      <c r="QD323" s="23"/>
      <c r="QE323" s="23"/>
      <c r="QF323" s="23"/>
      <c r="QG323" s="23"/>
      <c r="QH323" s="23"/>
      <c r="QI323" s="23"/>
      <c r="QJ323" s="23"/>
      <c r="QK323" s="23"/>
      <c r="QL323" s="23"/>
      <c r="QM323" s="23"/>
      <c r="QN323" s="23"/>
      <c r="QO323" s="23"/>
      <c r="QP323" s="23"/>
      <c r="QQ323" s="23"/>
      <c r="QR323" s="23"/>
      <c r="QS323" s="23"/>
      <c r="QT323" s="23"/>
      <c r="QU323" s="23"/>
      <c r="QV323" s="23"/>
      <c r="QW323" s="23"/>
      <c r="QX323" s="23"/>
      <c r="QY323" s="23"/>
      <c r="QZ323" s="23"/>
      <c r="RA323" s="23"/>
      <c r="RB323" s="23"/>
      <c r="RC323" s="23"/>
      <c r="RD323" s="23"/>
      <c r="RE323" s="23"/>
      <c r="RF323" s="23"/>
      <c r="RG323" s="23"/>
      <c r="RH323" s="23"/>
      <c r="RI323" s="23"/>
      <c r="RJ323" s="23"/>
      <c r="RK323" s="23"/>
      <c r="RL323" s="23"/>
      <c r="RM323" s="23"/>
      <c r="RN323" s="23"/>
      <c r="RO323" s="23"/>
      <c r="RP323" s="23"/>
      <c r="RQ323" s="23"/>
      <c r="RR323" s="23"/>
      <c r="RS323" s="23"/>
      <c r="RT323" s="23"/>
      <c r="RU323" s="23"/>
      <c r="RV323" s="23"/>
      <c r="RW323" s="23"/>
      <c r="RX323" s="23"/>
      <c r="RY323" s="23"/>
      <c r="RZ323" s="23"/>
      <c r="SA323" s="23"/>
      <c r="SB323" s="23"/>
      <c r="SC323" s="23"/>
      <c r="SD323" s="23"/>
      <c r="SE323" s="23"/>
      <c r="SF323" s="23"/>
      <c r="SG323" s="23"/>
      <c r="SH323" s="23"/>
      <c r="SI323" s="23"/>
      <c r="SJ323" s="23"/>
      <c r="SK323" s="23"/>
      <c r="SL323" s="23"/>
      <c r="SM323" s="23"/>
      <c r="SN323" s="23"/>
      <c r="SO323" s="23"/>
      <c r="SP323" s="23"/>
      <c r="SQ323" s="23"/>
      <c r="SR323" s="23"/>
      <c r="SS323" s="23"/>
      <c r="ST323" s="23"/>
      <c r="SU323" s="23"/>
      <c r="SV323" s="23"/>
      <c r="SW323" s="23"/>
      <c r="SX323" s="23"/>
      <c r="SY323" s="23"/>
      <c r="SZ323" s="23"/>
      <c r="TA323" s="23"/>
      <c r="TB323" s="23"/>
      <c r="TC323" s="23"/>
      <c r="TD323" s="23"/>
      <c r="TE323" s="23"/>
    </row>
    <row r="324" spans="1:525" s="22" customFormat="1" ht="40.5" customHeight="1" x14ac:dyDescent="0.25">
      <c r="A324" s="89" t="s">
        <v>263</v>
      </c>
      <c r="B324" s="42" t="str">
        <f>'дод 3'!A223</f>
        <v>7650</v>
      </c>
      <c r="C324" s="42" t="str">
        <f>'дод 3'!B223</f>
        <v>0490</v>
      </c>
      <c r="D324" s="36" t="str">
        <f>'дод 3'!C223</f>
        <v>Проведення експертної грошової оцінки земельної ділянки чи права на неї</v>
      </c>
      <c r="E324" s="139">
        <f t="shared" si="178"/>
        <v>0</v>
      </c>
      <c r="F324" s="139"/>
      <c r="G324" s="139"/>
      <c r="H324" s="139"/>
      <c r="I324" s="139"/>
      <c r="J324" s="139">
        <f t="shared" si="180"/>
        <v>30000</v>
      </c>
      <c r="K324" s="139">
        <v>30000</v>
      </c>
      <c r="L324" s="139"/>
      <c r="M324" s="139"/>
      <c r="N324" s="139"/>
      <c r="O324" s="139">
        <v>30000</v>
      </c>
      <c r="P324" s="139">
        <f t="shared" si="179"/>
        <v>30000</v>
      </c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  <c r="MJ324" s="23"/>
      <c r="MK324" s="23"/>
      <c r="ML324" s="23"/>
      <c r="MM324" s="23"/>
      <c r="MN324" s="23"/>
      <c r="MO324" s="23"/>
      <c r="MP324" s="23"/>
      <c r="MQ324" s="23"/>
      <c r="MR324" s="23"/>
      <c r="MS324" s="23"/>
      <c r="MT324" s="23"/>
      <c r="MU324" s="23"/>
      <c r="MV324" s="23"/>
      <c r="MW324" s="23"/>
      <c r="MX324" s="23"/>
      <c r="MY324" s="23"/>
      <c r="MZ324" s="23"/>
      <c r="NA324" s="23"/>
      <c r="NB324" s="23"/>
      <c r="NC324" s="23"/>
      <c r="ND324" s="23"/>
      <c r="NE324" s="23"/>
      <c r="NF324" s="23"/>
      <c r="NG324" s="23"/>
      <c r="NH324" s="23"/>
      <c r="NI324" s="23"/>
      <c r="NJ324" s="23"/>
      <c r="NK324" s="23"/>
      <c r="NL324" s="23"/>
      <c r="NM324" s="23"/>
      <c r="NN324" s="23"/>
      <c r="NO324" s="23"/>
      <c r="NP324" s="23"/>
      <c r="NQ324" s="23"/>
      <c r="NR324" s="23"/>
      <c r="NS324" s="23"/>
      <c r="NT324" s="23"/>
      <c r="NU324" s="23"/>
      <c r="NV324" s="23"/>
      <c r="NW324" s="23"/>
      <c r="NX324" s="23"/>
      <c r="NY324" s="23"/>
      <c r="NZ324" s="23"/>
      <c r="OA324" s="23"/>
      <c r="OB324" s="23"/>
      <c r="OC324" s="23"/>
      <c r="OD324" s="23"/>
      <c r="OE324" s="23"/>
      <c r="OF324" s="23"/>
      <c r="OG324" s="23"/>
      <c r="OH324" s="23"/>
      <c r="OI324" s="23"/>
      <c r="OJ324" s="23"/>
      <c r="OK324" s="23"/>
      <c r="OL324" s="23"/>
      <c r="OM324" s="23"/>
      <c r="ON324" s="23"/>
      <c r="OO324" s="23"/>
      <c r="OP324" s="23"/>
      <c r="OQ324" s="23"/>
      <c r="OR324" s="23"/>
      <c r="OS324" s="23"/>
      <c r="OT324" s="23"/>
      <c r="OU324" s="23"/>
      <c r="OV324" s="23"/>
      <c r="OW324" s="23"/>
      <c r="OX324" s="23"/>
      <c r="OY324" s="23"/>
      <c r="OZ324" s="23"/>
      <c r="PA324" s="23"/>
      <c r="PB324" s="23"/>
      <c r="PC324" s="23"/>
      <c r="PD324" s="23"/>
      <c r="PE324" s="23"/>
      <c r="PF324" s="23"/>
      <c r="PG324" s="23"/>
      <c r="PH324" s="23"/>
      <c r="PI324" s="23"/>
      <c r="PJ324" s="23"/>
      <c r="PK324" s="23"/>
      <c r="PL324" s="23"/>
      <c r="PM324" s="23"/>
      <c r="PN324" s="23"/>
      <c r="PO324" s="23"/>
      <c r="PP324" s="23"/>
      <c r="PQ324" s="23"/>
      <c r="PR324" s="23"/>
      <c r="PS324" s="23"/>
      <c r="PT324" s="23"/>
      <c r="PU324" s="23"/>
      <c r="PV324" s="23"/>
      <c r="PW324" s="23"/>
      <c r="PX324" s="23"/>
      <c r="PY324" s="23"/>
      <c r="PZ324" s="23"/>
      <c r="QA324" s="23"/>
      <c r="QB324" s="23"/>
      <c r="QC324" s="23"/>
      <c r="QD324" s="23"/>
      <c r="QE324" s="23"/>
      <c r="QF324" s="23"/>
      <c r="QG324" s="23"/>
      <c r="QH324" s="23"/>
      <c r="QI324" s="23"/>
      <c r="QJ324" s="23"/>
      <c r="QK324" s="23"/>
      <c r="QL324" s="23"/>
      <c r="QM324" s="23"/>
      <c r="QN324" s="23"/>
      <c r="QO324" s="23"/>
      <c r="QP324" s="23"/>
      <c r="QQ324" s="23"/>
      <c r="QR324" s="23"/>
      <c r="QS324" s="23"/>
      <c r="QT324" s="23"/>
      <c r="QU324" s="23"/>
      <c r="QV324" s="23"/>
      <c r="QW324" s="23"/>
      <c r="QX324" s="23"/>
      <c r="QY324" s="23"/>
      <c r="QZ324" s="23"/>
      <c r="RA324" s="23"/>
      <c r="RB324" s="23"/>
      <c r="RC324" s="23"/>
      <c r="RD324" s="23"/>
      <c r="RE324" s="23"/>
      <c r="RF324" s="23"/>
      <c r="RG324" s="23"/>
      <c r="RH324" s="23"/>
      <c r="RI324" s="23"/>
      <c r="RJ324" s="23"/>
      <c r="RK324" s="23"/>
      <c r="RL324" s="23"/>
      <c r="RM324" s="23"/>
      <c r="RN324" s="23"/>
      <c r="RO324" s="23"/>
      <c r="RP324" s="23"/>
      <c r="RQ324" s="23"/>
      <c r="RR324" s="23"/>
      <c r="RS324" s="23"/>
      <c r="RT324" s="23"/>
      <c r="RU324" s="23"/>
      <c r="RV324" s="23"/>
      <c r="RW324" s="23"/>
      <c r="RX324" s="23"/>
      <c r="RY324" s="23"/>
      <c r="RZ324" s="23"/>
      <c r="SA324" s="23"/>
      <c r="SB324" s="23"/>
      <c r="SC324" s="23"/>
      <c r="SD324" s="23"/>
      <c r="SE324" s="23"/>
      <c r="SF324" s="23"/>
      <c r="SG324" s="23"/>
      <c r="SH324" s="23"/>
      <c r="SI324" s="23"/>
      <c r="SJ324" s="23"/>
      <c r="SK324" s="23"/>
      <c r="SL324" s="23"/>
      <c r="SM324" s="23"/>
      <c r="SN324" s="23"/>
      <c r="SO324" s="23"/>
      <c r="SP324" s="23"/>
      <c r="SQ324" s="23"/>
      <c r="SR324" s="23"/>
      <c r="SS324" s="23"/>
      <c r="ST324" s="23"/>
      <c r="SU324" s="23"/>
      <c r="SV324" s="23"/>
      <c r="SW324" s="23"/>
      <c r="SX324" s="23"/>
      <c r="SY324" s="23"/>
      <c r="SZ324" s="23"/>
      <c r="TA324" s="23"/>
      <c r="TB324" s="23"/>
      <c r="TC324" s="23"/>
      <c r="TD324" s="23"/>
      <c r="TE324" s="23"/>
    </row>
    <row r="325" spans="1:525" s="22" customFormat="1" ht="63" x14ac:dyDescent="0.25">
      <c r="A325" s="89" t="s">
        <v>265</v>
      </c>
      <c r="B325" s="42" t="str">
        <f>'дод 3'!A224</f>
        <v>7660</v>
      </c>
      <c r="C325" s="42" t="str">
        <f>'дод 3'!B224</f>
        <v>0490</v>
      </c>
      <c r="D325" s="36" t="str">
        <f>'дод 3'!C224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25" s="139">
        <f t="shared" si="178"/>
        <v>0</v>
      </c>
      <c r="F325" s="139"/>
      <c r="G325" s="139"/>
      <c r="H325" s="139"/>
      <c r="I325" s="139"/>
      <c r="J325" s="139">
        <f t="shared" si="180"/>
        <v>145000</v>
      </c>
      <c r="K325" s="139">
        <v>145000</v>
      </c>
      <c r="L325" s="139"/>
      <c r="M325" s="139"/>
      <c r="N325" s="139"/>
      <c r="O325" s="139">
        <v>145000</v>
      </c>
      <c r="P325" s="139">
        <f t="shared" si="179"/>
        <v>145000</v>
      </c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  <c r="SQ325" s="23"/>
      <c r="SR325" s="23"/>
      <c r="SS325" s="23"/>
      <c r="ST325" s="23"/>
      <c r="SU325" s="23"/>
      <c r="SV325" s="23"/>
      <c r="SW325" s="23"/>
      <c r="SX325" s="23"/>
      <c r="SY325" s="23"/>
      <c r="SZ325" s="23"/>
      <c r="TA325" s="23"/>
      <c r="TB325" s="23"/>
      <c r="TC325" s="23"/>
      <c r="TD325" s="23"/>
      <c r="TE325" s="23"/>
    </row>
    <row r="326" spans="1:525" s="22" customFormat="1" ht="27.75" customHeight="1" x14ac:dyDescent="0.25">
      <c r="A326" s="89" t="s">
        <v>261</v>
      </c>
      <c r="B326" s="42" t="str">
        <f>'дод 3'!A229</f>
        <v>7693</v>
      </c>
      <c r="C326" s="42" t="str">
        <f>'дод 3'!B229</f>
        <v>0490</v>
      </c>
      <c r="D326" s="36" t="str">
        <f>'дод 3'!C229</f>
        <v>Інші заходи, пов'язані з економічною діяльністю</v>
      </c>
      <c r="E326" s="139">
        <f t="shared" si="178"/>
        <v>860000</v>
      </c>
      <c r="F326" s="139">
        <v>860000</v>
      </c>
      <c r="G326" s="139"/>
      <c r="H326" s="139"/>
      <c r="I326" s="139"/>
      <c r="J326" s="139">
        <f t="shared" si="180"/>
        <v>0</v>
      </c>
      <c r="K326" s="139"/>
      <c r="L326" s="139"/>
      <c r="M326" s="139"/>
      <c r="N326" s="139"/>
      <c r="O326" s="139"/>
      <c r="P326" s="139">
        <f t="shared" si="179"/>
        <v>860000</v>
      </c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  <c r="SQ326" s="23"/>
      <c r="SR326" s="23"/>
      <c r="SS326" s="23"/>
      <c r="ST326" s="23"/>
      <c r="SU326" s="23"/>
      <c r="SV326" s="23"/>
      <c r="SW326" s="23"/>
      <c r="SX326" s="23"/>
      <c r="SY326" s="23"/>
      <c r="SZ326" s="23"/>
      <c r="TA326" s="23"/>
      <c r="TB326" s="23"/>
      <c r="TC326" s="23"/>
      <c r="TD326" s="23"/>
      <c r="TE326" s="23"/>
    </row>
    <row r="327" spans="1:525" s="27" customFormat="1" ht="38.25" customHeight="1" x14ac:dyDescent="0.25">
      <c r="A327" s="96" t="s">
        <v>215</v>
      </c>
      <c r="B327" s="98"/>
      <c r="C327" s="98"/>
      <c r="D327" s="93" t="s">
        <v>40</v>
      </c>
      <c r="E327" s="137">
        <f>E328</f>
        <v>246272292</v>
      </c>
      <c r="F327" s="137">
        <f t="shared" ref="F327:J327" si="181">F328</f>
        <v>195532600</v>
      </c>
      <c r="G327" s="137">
        <f t="shared" si="181"/>
        <v>15186600</v>
      </c>
      <c r="H327" s="137">
        <f t="shared" si="181"/>
        <v>542000</v>
      </c>
      <c r="I327" s="137">
        <f t="shared" si="181"/>
        <v>0</v>
      </c>
      <c r="J327" s="137">
        <f t="shared" si="181"/>
        <v>104000</v>
      </c>
      <c r="K327" s="137">
        <f t="shared" ref="K327" si="182">K328</f>
        <v>0</v>
      </c>
      <c r="L327" s="137">
        <f t="shared" ref="L327" si="183">L328</f>
        <v>104000</v>
      </c>
      <c r="M327" s="137">
        <f t="shared" ref="M327" si="184">M328</f>
        <v>0</v>
      </c>
      <c r="N327" s="137">
        <f t="shared" ref="N327" si="185">N328</f>
        <v>0</v>
      </c>
      <c r="O327" s="137">
        <f t="shared" ref="O327:P327" si="186">O328</f>
        <v>0</v>
      </c>
      <c r="P327" s="137">
        <f t="shared" si="186"/>
        <v>246376292</v>
      </c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  <c r="IM327" s="32"/>
      <c r="IN327" s="32"/>
      <c r="IO327" s="32"/>
      <c r="IP327" s="32"/>
      <c r="IQ327" s="32"/>
      <c r="IR327" s="32"/>
      <c r="IS327" s="32"/>
      <c r="IT327" s="32"/>
      <c r="IU327" s="32"/>
      <c r="IV327" s="32"/>
      <c r="IW327" s="32"/>
      <c r="IX327" s="32"/>
      <c r="IY327" s="32"/>
      <c r="IZ327" s="32"/>
      <c r="JA327" s="32"/>
      <c r="JB327" s="32"/>
      <c r="JC327" s="32"/>
      <c r="JD327" s="32"/>
      <c r="JE327" s="32"/>
      <c r="JF327" s="32"/>
      <c r="JG327" s="32"/>
      <c r="JH327" s="32"/>
      <c r="JI327" s="32"/>
      <c r="JJ327" s="32"/>
      <c r="JK327" s="32"/>
      <c r="JL327" s="32"/>
      <c r="JM327" s="32"/>
      <c r="JN327" s="32"/>
      <c r="JO327" s="32"/>
      <c r="JP327" s="32"/>
      <c r="JQ327" s="32"/>
      <c r="JR327" s="32"/>
      <c r="JS327" s="32"/>
      <c r="JT327" s="32"/>
      <c r="JU327" s="32"/>
      <c r="JV327" s="32"/>
      <c r="JW327" s="32"/>
      <c r="JX327" s="32"/>
      <c r="JY327" s="32"/>
      <c r="JZ327" s="32"/>
      <c r="KA327" s="32"/>
      <c r="KB327" s="32"/>
      <c r="KC327" s="32"/>
      <c r="KD327" s="32"/>
      <c r="KE327" s="32"/>
      <c r="KF327" s="32"/>
      <c r="KG327" s="32"/>
      <c r="KH327" s="32"/>
      <c r="KI327" s="32"/>
      <c r="KJ327" s="32"/>
      <c r="KK327" s="32"/>
      <c r="KL327" s="32"/>
      <c r="KM327" s="32"/>
      <c r="KN327" s="32"/>
      <c r="KO327" s="32"/>
      <c r="KP327" s="32"/>
      <c r="KQ327" s="32"/>
      <c r="KR327" s="32"/>
      <c r="KS327" s="32"/>
      <c r="KT327" s="32"/>
      <c r="KU327" s="32"/>
      <c r="KV327" s="32"/>
      <c r="KW327" s="32"/>
      <c r="KX327" s="32"/>
      <c r="KY327" s="32"/>
      <c r="KZ327" s="32"/>
      <c r="LA327" s="32"/>
      <c r="LB327" s="32"/>
      <c r="LC327" s="32"/>
      <c r="LD327" s="32"/>
      <c r="LE327" s="32"/>
      <c r="LF327" s="32"/>
      <c r="LG327" s="32"/>
      <c r="LH327" s="32"/>
      <c r="LI327" s="32"/>
      <c r="LJ327" s="32"/>
      <c r="LK327" s="32"/>
      <c r="LL327" s="32"/>
      <c r="LM327" s="32"/>
      <c r="LN327" s="32"/>
      <c r="LO327" s="32"/>
      <c r="LP327" s="32"/>
      <c r="LQ327" s="32"/>
      <c r="LR327" s="32"/>
      <c r="LS327" s="32"/>
      <c r="LT327" s="32"/>
      <c r="LU327" s="32"/>
      <c r="LV327" s="32"/>
      <c r="LW327" s="32"/>
      <c r="LX327" s="32"/>
      <c r="LY327" s="32"/>
      <c r="LZ327" s="32"/>
      <c r="MA327" s="32"/>
      <c r="MB327" s="32"/>
      <c r="MC327" s="32"/>
      <c r="MD327" s="32"/>
      <c r="ME327" s="32"/>
      <c r="MF327" s="32"/>
      <c r="MG327" s="32"/>
      <c r="MH327" s="32"/>
      <c r="MI327" s="32"/>
      <c r="MJ327" s="32"/>
      <c r="MK327" s="32"/>
      <c r="ML327" s="32"/>
      <c r="MM327" s="32"/>
      <c r="MN327" s="32"/>
      <c r="MO327" s="32"/>
      <c r="MP327" s="32"/>
      <c r="MQ327" s="32"/>
      <c r="MR327" s="32"/>
      <c r="MS327" s="32"/>
      <c r="MT327" s="32"/>
      <c r="MU327" s="32"/>
      <c r="MV327" s="32"/>
      <c r="MW327" s="32"/>
      <c r="MX327" s="32"/>
      <c r="MY327" s="32"/>
      <c r="MZ327" s="32"/>
      <c r="NA327" s="32"/>
      <c r="NB327" s="32"/>
      <c r="NC327" s="32"/>
      <c r="ND327" s="32"/>
      <c r="NE327" s="32"/>
      <c r="NF327" s="32"/>
      <c r="NG327" s="32"/>
      <c r="NH327" s="32"/>
      <c r="NI327" s="32"/>
      <c r="NJ327" s="32"/>
      <c r="NK327" s="32"/>
      <c r="NL327" s="32"/>
      <c r="NM327" s="32"/>
      <c r="NN327" s="32"/>
      <c r="NO327" s="32"/>
      <c r="NP327" s="32"/>
      <c r="NQ327" s="32"/>
      <c r="NR327" s="32"/>
      <c r="NS327" s="32"/>
      <c r="NT327" s="32"/>
      <c r="NU327" s="32"/>
      <c r="NV327" s="32"/>
      <c r="NW327" s="32"/>
      <c r="NX327" s="32"/>
      <c r="NY327" s="32"/>
      <c r="NZ327" s="32"/>
      <c r="OA327" s="32"/>
      <c r="OB327" s="32"/>
      <c r="OC327" s="32"/>
      <c r="OD327" s="32"/>
      <c r="OE327" s="32"/>
      <c r="OF327" s="32"/>
      <c r="OG327" s="32"/>
      <c r="OH327" s="32"/>
      <c r="OI327" s="32"/>
      <c r="OJ327" s="32"/>
      <c r="OK327" s="32"/>
      <c r="OL327" s="32"/>
      <c r="OM327" s="32"/>
      <c r="ON327" s="32"/>
      <c r="OO327" s="32"/>
      <c r="OP327" s="32"/>
      <c r="OQ327" s="32"/>
      <c r="OR327" s="32"/>
      <c r="OS327" s="32"/>
      <c r="OT327" s="32"/>
      <c r="OU327" s="32"/>
      <c r="OV327" s="32"/>
      <c r="OW327" s="32"/>
      <c r="OX327" s="32"/>
      <c r="OY327" s="32"/>
      <c r="OZ327" s="32"/>
      <c r="PA327" s="32"/>
      <c r="PB327" s="32"/>
      <c r="PC327" s="32"/>
      <c r="PD327" s="32"/>
      <c r="PE327" s="32"/>
      <c r="PF327" s="32"/>
      <c r="PG327" s="32"/>
      <c r="PH327" s="32"/>
      <c r="PI327" s="32"/>
      <c r="PJ327" s="32"/>
      <c r="PK327" s="32"/>
      <c r="PL327" s="32"/>
      <c r="PM327" s="32"/>
      <c r="PN327" s="32"/>
      <c r="PO327" s="32"/>
      <c r="PP327" s="32"/>
      <c r="PQ327" s="32"/>
      <c r="PR327" s="32"/>
      <c r="PS327" s="32"/>
      <c r="PT327" s="32"/>
      <c r="PU327" s="32"/>
      <c r="PV327" s="32"/>
      <c r="PW327" s="32"/>
      <c r="PX327" s="32"/>
      <c r="PY327" s="32"/>
      <c r="PZ327" s="32"/>
      <c r="QA327" s="32"/>
      <c r="QB327" s="32"/>
      <c r="QC327" s="32"/>
      <c r="QD327" s="32"/>
      <c r="QE327" s="32"/>
      <c r="QF327" s="32"/>
      <c r="QG327" s="32"/>
      <c r="QH327" s="32"/>
      <c r="QI327" s="32"/>
      <c r="QJ327" s="32"/>
      <c r="QK327" s="32"/>
      <c r="QL327" s="32"/>
      <c r="QM327" s="32"/>
      <c r="QN327" s="32"/>
      <c r="QO327" s="32"/>
      <c r="QP327" s="32"/>
      <c r="QQ327" s="32"/>
      <c r="QR327" s="32"/>
      <c r="QS327" s="32"/>
      <c r="QT327" s="32"/>
      <c r="QU327" s="32"/>
      <c r="QV327" s="32"/>
      <c r="QW327" s="32"/>
      <c r="QX327" s="32"/>
      <c r="QY327" s="32"/>
      <c r="QZ327" s="32"/>
      <c r="RA327" s="32"/>
      <c r="RB327" s="32"/>
      <c r="RC327" s="32"/>
      <c r="RD327" s="32"/>
      <c r="RE327" s="32"/>
      <c r="RF327" s="32"/>
      <c r="RG327" s="32"/>
      <c r="RH327" s="32"/>
      <c r="RI327" s="32"/>
      <c r="RJ327" s="32"/>
      <c r="RK327" s="32"/>
      <c r="RL327" s="32"/>
      <c r="RM327" s="32"/>
      <c r="RN327" s="32"/>
      <c r="RO327" s="32"/>
      <c r="RP327" s="32"/>
      <c r="RQ327" s="32"/>
      <c r="RR327" s="32"/>
      <c r="RS327" s="32"/>
      <c r="RT327" s="32"/>
      <c r="RU327" s="32"/>
      <c r="RV327" s="32"/>
      <c r="RW327" s="32"/>
      <c r="RX327" s="32"/>
      <c r="RY327" s="32"/>
      <c r="RZ327" s="32"/>
      <c r="SA327" s="32"/>
      <c r="SB327" s="32"/>
      <c r="SC327" s="32"/>
      <c r="SD327" s="32"/>
      <c r="SE327" s="32"/>
      <c r="SF327" s="32"/>
      <c r="SG327" s="32"/>
      <c r="SH327" s="32"/>
      <c r="SI327" s="32"/>
      <c r="SJ327" s="32"/>
      <c r="SK327" s="32"/>
      <c r="SL327" s="32"/>
      <c r="SM327" s="32"/>
      <c r="SN327" s="32"/>
      <c r="SO327" s="32"/>
      <c r="SP327" s="32"/>
      <c r="SQ327" s="32"/>
      <c r="SR327" s="32"/>
      <c r="SS327" s="32"/>
      <c r="ST327" s="32"/>
      <c r="SU327" s="32"/>
      <c r="SV327" s="32"/>
      <c r="SW327" s="32"/>
      <c r="SX327" s="32"/>
      <c r="SY327" s="32"/>
      <c r="SZ327" s="32"/>
      <c r="TA327" s="32"/>
      <c r="TB327" s="32"/>
      <c r="TC327" s="32"/>
      <c r="TD327" s="32"/>
      <c r="TE327" s="32"/>
    </row>
    <row r="328" spans="1:525" s="34" customFormat="1" ht="34.5" customHeight="1" x14ac:dyDescent="0.25">
      <c r="A328" s="86" t="s">
        <v>216</v>
      </c>
      <c r="B328" s="95"/>
      <c r="C328" s="95"/>
      <c r="D328" s="70" t="s">
        <v>40</v>
      </c>
      <c r="E328" s="138">
        <f>SUM(E329+E330+E331+E333+E334+E335+E336+E332)</f>
        <v>246272292</v>
      </c>
      <c r="F328" s="138">
        <f t="shared" ref="F328:P328" si="187">SUM(F329+F330+F331+F333+F334+F335+F336+F332)</f>
        <v>195532600</v>
      </c>
      <c r="G328" s="138">
        <f t="shared" si="187"/>
        <v>15186600</v>
      </c>
      <c r="H328" s="138">
        <f t="shared" si="187"/>
        <v>542000</v>
      </c>
      <c r="I328" s="138">
        <f t="shared" si="187"/>
        <v>0</v>
      </c>
      <c r="J328" s="138">
        <f t="shared" si="187"/>
        <v>104000</v>
      </c>
      <c r="K328" s="138">
        <f t="shared" si="187"/>
        <v>0</v>
      </c>
      <c r="L328" s="138">
        <f t="shared" si="187"/>
        <v>104000</v>
      </c>
      <c r="M328" s="138">
        <f t="shared" si="187"/>
        <v>0</v>
      </c>
      <c r="N328" s="138">
        <f t="shared" si="187"/>
        <v>0</v>
      </c>
      <c r="O328" s="138">
        <f t="shared" si="187"/>
        <v>0</v>
      </c>
      <c r="P328" s="138">
        <f t="shared" si="187"/>
        <v>246376292</v>
      </c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  <c r="HP328" s="33"/>
      <c r="HQ328" s="33"/>
      <c r="HR328" s="33"/>
      <c r="HS328" s="33"/>
      <c r="HT328" s="33"/>
      <c r="HU328" s="33"/>
      <c r="HV328" s="33"/>
      <c r="HW328" s="33"/>
      <c r="HX328" s="33"/>
      <c r="HY328" s="33"/>
      <c r="HZ328" s="33"/>
      <c r="IA328" s="33"/>
      <c r="IB328" s="33"/>
      <c r="IC328" s="33"/>
      <c r="ID328" s="33"/>
      <c r="IE328" s="33"/>
      <c r="IF328" s="33"/>
      <c r="IG328" s="33"/>
      <c r="IH328" s="33"/>
      <c r="II328" s="33"/>
      <c r="IJ328" s="33"/>
      <c r="IK328" s="33"/>
      <c r="IL328" s="33"/>
      <c r="IM328" s="33"/>
      <c r="IN328" s="33"/>
      <c r="IO328" s="33"/>
      <c r="IP328" s="33"/>
      <c r="IQ328" s="33"/>
      <c r="IR328" s="33"/>
      <c r="IS328" s="33"/>
      <c r="IT328" s="33"/>
      <c r="IU328" s="33"/>
      <c r="IV328" s="33"/>
      <c r="IW328" s="33"/>
      <c r="IX328" s="33"/>
      <c r="IY328" s="33"/>
      <c r="IZ328" s="33"/>
      <c r="JA328" s="33"/>
      <c r="JB328" s="33"/>
      <c r="JC328" s="33"/>
      <c r="JD328" s="33"/>
      <c r="JE328" s="33"/>
      <c r="JF328" s="33"/>
      <c r="JG328" s="33"/>
      <c r="JH328" s="33"/>
      <c r="JI328" s="33"/>
      <c r="JJ328" s="33"/>
      <c r="JK328" s="33"/>
      <c r="JL328" s="33"/>
      <c r="JM328" s="33"/>
      <c r="JN328" s="33"/>
      <c r="JO328" s="33"/>
      <c r="JP328" s="33"/>
      <c r="JQ328" s="33"/>
      <c r="JR328" s="33"/>
      <c r="JS328" s="33"/>
      <c r="JT328" s="33"/>
      <c r="JU328" s="33"/>
      <c r="JV328" s="33"/>
      <c r="JW328" s="33"/>
      <c r="JX328" s="33"/>
      <c r="JY328" s="33"/>
      <c r="JZ328" s="33"/>
      <c r="KA328" s="33"/>
      <c r="KB328" s="33"/>
      <c r="KC328" s="33"/>
      <c r="KD328" s="33"/>
      <c r="KE328" s="33"/>
      <c r="KF328" s="33"/>
      <c r="KG328" s="33"/>
      <c r="KH328" s="33"/>
      <c r="KI328" s="33"/>
      <c r="KJ328" s="33"/>
      <c r="KK328" s="33"/>
      <c r="KL328" s="33"/>
      <c r="KM328" s="33"/>
      <c r="KN328" s="33"/>
      <c r="KO328" s="33"/>
      <c r="KP328" s="33"/>
      <c r="KQ328" s="33"/>
      <c r="KR328" s="33"/>
      <c r="KS328" s="33"/>
      <c r="KT328" s="33"/>
      <c r="KU328" s="33"/>
      <c r="KV328" s="33"/>
      <c r="KW328" s="33"/>
      <c r="KX328" s="33"/>
      <c r="KY328" s="33"/>
      <c r="KZ328" s="33"/>
      <c r="LA328" s="33"/>
      <c r="LB328" s="33"/>
      <c r="LC328" s="33"/>
      <c r="LD328" s="33"/>
      <c r="LE328" s="33"/>
      <c r="LF328" s="33"/>
      <c r="LG328" s="33"/>
      <c r="LH328" s="33"/>
      <c r="LI328" s="33"/>
      <c r="LJ328" s="33"/>
      <c r="LK328" s="33"/>
      <c r="LL328" s="33"/>
      <c r="LM328" s="33"/>
      <c r="LN328" s="33"/>
      <c r="LO328" s="33"/>
      <c r="LP328" s="33"/>
      <c r="LQ328" s="33"/>
      <c r="LR328" s="33"/>
      <c r="LS328" s="33"/>
      <c r="LT328" s="33"/>
      <c r="LU328" s="33"/>
      <c r="LV328" s="33"/>
      <c r="LW328" s="33"/>
      <c r="LX328" s="33"/>
      <c r="LY328" s="33"/>
      <c r="LZ328" s="33"/>
      <c r="MA328" s="33"/>
      <c r="MB328" s="33"/>
      <c r="MC328" s="33"/>
      <c r="MD328" s="33"/>
      <c r="ME328" s="33"/>
      <c r="MF328" s="33"/>
      <c r="MG328" s="33"/>
      <c r="MH328" s="33"/>
      <c r="MI328" s="33"/>
      <c r="MJ328" s="33"/>
      <c r="MK328" s="33"/>
      <c r="ML328" s="33"/>
      <c r="MM328" s="33"/>
      <c r="MN328" s="33"/>
      <c r="MO328" s="33"/>
      <c r="MP328" s="33"/>
      <c r="MQ328" s="33"/>
      <c r="MR328" s="33"/>
      <c r="MS328" s="33"/>
      <c r="MT328" s="33"/>
      <c r="MU328" s="33"/>
      <c r="MV328" s="33"/>
      <c r="MW328" s="33"/>
      <c r="MX328" s="33"/>
      <c r="MY328" s="33"/>
      <c r="MZ328" s="33"/>
      <c r="NA328" s="33"/>
      <c r="NB328" s="33"/>
      <c r="NC328" s="33"/>
      <c r="ND328" s="33"/>
      <c r="NE328" s="33"/>
      <c r="NF328" s="33"/>
      <c r="NG328" s="33"/>
      <c r="NH328" s="33"/>
      <c r="NI328" s="33"/>
      <c r="NJ328" s="33"/>
      <c r="NK328" s="33"/>
      <c r="NL328" s="33"/>
      <c r="NM328" s="33"/>
      <c r="NN328" s="33"/>
      <c r="NO328" s="33"/>
      <c r="NP328" s="33"/>
      <c r="NQ328" s="33"/>
      <c r="NR328" s="33"/>
      <c r="NS328" s="33"/>
      <c r="NT328" s="33"/>
      <c r="NU328" s="33"/>
      <c r="NV328" s="33"/>
      <c r="NW328" s="33"/>
      <c r="NX328" s="33"/>
      <c r="NY328" s="33"/>
      <c r="NZ328" s="33"/>
      <c r="OA328" s="33"/>
      <c r="OB328" s="33"/>
      <c r="OC328" s="33"/>
      <c r="OD328" s="33"/>
      <c r="OE328" s="33"/>
      <c r="OF328" s="33"/>
      <c r="OG328" s="33"/>
      <c r="OH328" s="33"/>
      <c r="OI328" s="33"/>
      <c r="OJ328" s="33"/>
      <c r="OK328" s="33"/>
      <c r="OL328" s="33"/>
      <c r="OM328" s="33"/>
      <c r="ON328" s="33"/>
      <c r="OO328" s="33"/>
      <c r="OP328" s="33"/>
      <c r="OQ328" s="33"/>
      <c r="OR328" s="33"/>
      <c r="OS328" s="33"/>
      <c r="OT328" s="33"/>
      <c r="OU328" s="33"/>
      <c r="OV328" s="33"/>
      <c r="OW328" s="33"/>
      <c r="OX328" s="33"/>
      <c r="OY328" s="33"/>
      <c r="OZ328" s="33"/>
      <c r="PA328" s="33"/>
      <c r="PB328" s="33"/>
      <c r="PC328" s="33"/>
      <c r="PD328" s="33"/>
      <c r="PE328" s="33"/>
      <c r="PF328" s="33"/>
      <c r="PG328" s="33"/>
      <c r="PH328" s="33"/>
      <c r="PI328" s="33"/>
      <c r="PJ328" s="33"/>
      <c r="PK328" s="33"/>
      <c r="PL328" s="33"/>
      <c r="PM328" s="33"/>
      <c r="PN328" s="33"/>
      <c r="PO328" s="33"/>
      <c r="PP328" s="33"/>
      <c r="PQ328" s="33"/>
      <c r="PR328" s="33"/>
      <c r="PS328" s="33"/>
      <c r="PT328" s="33"/>
      <c r="PU328" s="33"/>
      <c r="PV328" s="33"/>
      <c r="PW328" s="33"/>
      <c r="PX328" s="33"/>
      <c r="PY328" s="33"/>
      <c r="PZ328" s="33"/>
      <c r="QA328" s="33"/>
      <c r="QB328" s="33"/>
      <c r="QC328" s="33"/>
      <c r="QD328" s="33"/>
      <c r="QE328" s="33"/>
      <c r="QF328" s="33"/>
      <c r="QG328" s="33"/>
      <c r="QH328" s="33"/>
      <c r="QI328" s="33"/>
      <c r="QJ328" s="33"/>
      <c r="QK328" s="33"/>
      <c r="QL328" s="33"/>
      <c r="QM328" s="33"/>
      <c r="QN328" s="33"/>
      <c r="QO328" s="33"/>
      <c r="QP328" s="33"/>
      <c r="QQ328" s="33"/>
      <c r="QR328" s="33"/>
      <c r="QS328" s="33"/>
      <c r="QT328" s="33"/>
      <c r="QU328" s="33"/>
      <c r="QV328" s="33"/>
      <c r="QW328" s="33"/>
      <c r="QX328" s="33"/>
      <c r="QY328" s="33"/>
      <c r="QZ328" s="33"/>
      <c r="RA328" s="33"/>
      <c r="RB328" s="33"/>
      <c r="RC328" s="33"/>
      <c r="RD328" s="33"/>
      <c r="RE328" s="33"/>
      <c r="RF328" s="33"/>
      <c r="RG328" s="33"/>
      <c r="RH328" s="33"/>
      <c r="RI328" s="33"/>
      <c r="RJ328" s="33"/>
      <c r="RK328" s="33"/>
      <c r="RL328" s="33"/>
      <c r="RM328" s="33"/>
      <c r="RN328" s="33"/>
      <c r="RO328" s="33"/>
      <c r="RP328" s="33"/>
      <c r="RQ328" s="33"/>
      <c r="RR328" s="33"/>
      <c r="RS328" s="33"/>
      <c r="RT328" s="33"/>
      <c r="RU328" s="33"/>
      <c r="RV328" s="33"/>
      <c r="RW328" s="33"/>
      <c r="RX328" s="33"/>
      <c r="RY328" s="33"/>
      <c r="RZ328" s="33"/>
      <c r="SA328" s="33"/>
      <c r="SB328" s="33"/>
      <c r="SC328" s="33"/>
      <c r="SD328" s="33"/>
      <c r="SE328" s="33"/>
      <c r="SF328" s="33"/>
      <c r="SG328" s="33"/>
      <c r="SH328" s="33"/>
      <c r="SI328" s="33"/>
      <c r="SJ328" s="33"/>
      <c r="SK328" s="33"/>
      <c r="SL328" s="33"/>
      <c r="SM328" s="33"/>
      <c r="SN328" s="33"/>
      <c r="SO328" s="33"/>
      <c r="SP328" s="33"/>
      <c r="SQ328" s="33"/>
      <c r="SR328" s="33"/>
      <c r="SS328" s="33"/>
      <c r="ST328" s="33"/>
      <c r="SU328" s="33"/>
      <c r="SV328" s="33"/>
      <c r="SW328" s="33"/>
      <c r="SX328" s="33"/>
      <c r="SY328" s="33"/>
      <c r="SZ328" s="33"/>
      <c r="TA328" s="33"/>
      <c r="TB328" s="33"/>
      <c r="TC328" s="33"/>
      <c r="TD328" s="33"/>
      <c r="TE328" s="33"/>
    </row>
    <row r="329" spans="1:525" s="22" customFormat="1" ht="58.5" customHeight="1" x14ac:dyDescent="0.25">
      <c r="A329" s="56" t="s">
        <v>217</v>
      </c>
      <c r="B329" s="84" t="str">
        <f>'дод 3'!A19</f>
        <v>0160</v>
      </c>
      <c r="C329" s="84" t="str">
        <f>'дод 3'!B19</f>
        <v>0111</v>
      </c>
      <c r="D329" s="36" t="str">
        <f>'дод 3'!C19</f>
        <v>Керівництво і управління у відповідній сфері у містах (місті Києві), селищах, селах, територіальних громадах</v>
      </c>
      <c r="E329" s="139">
        <f t="shared" ref="E329:E336" si="188">F329+I329</f>
        <v>19804700</v>
      </c>
      <c r="F329" s="139">
        <f>21238100-1433400</f>
        <v>19804700</v>
      </c>
      <c r="G329" s="139">
        <f>16361500-1174900</f>
        <v>15186600</v>
      </c>
      <c r="H329" s="139">
        <v>542000</v>
      </c>
      <c r="I329" s="139"/>
      <c r="J329" s="139">
        <f>L329+O329</f>
        <v>0</v>
      </c>
      <c r="K329" s="139"/>
      <c r="L329" s="139"/>
      <c r="M329" s="139"/>
      <c r="N329" s="139"/>
      <c r="O329" s="139"/>
      <c r="P329" s="139">
        <f t="shared" ref="P329:P336" si="189">E329+J329</f>
        <v>19804700</v>
      </c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  <c r="SQ329" s="23"/>
      <c r="SR329" s="23"/>
      <c r="SS329" s="23"/>
      <c r="ST329" s="23"/>
      <c r="SU329" s="23"/>
      <c r="SV329" s="23"/>
      <c r="SW329" s="23"/>
      <c r="SX329" s="23"/>
      <c r="SY329" s="23"/>
      <c r="SZ329" s="23"/>
      <c r="TA329" s="23"/>
      <c r="TB329" s="23"/>
      <c r="TC329" s="23"/>
      <c r="TD329" s="23"/>
      <c r="TE329" s="23"/>
    </row>
    <row r="330" spans="1:525" s="22" customFormat="1" ht="24" customHeight="1" x14ac:dyDescent="0.25">
      <c r="A330" s="56" t="s">
        <v>255</v>
      </c>
      <c r="B330" s="84" t="str">
        <f>'дод 3'!A221</f>
        <v>7640</v>
      </c>
      <c r="C330" s="84" t="str">
        <f>'дод 3'!B221</f>
        <v>0470</v>
      </c>
      <c r="D330" s="57" t="s">
        <v>416</v>
      </c>
      <c r="E330" s="139">
        <f t="shared" si="188"/>
        <v>415000</v>
      </c>
      <c r="F330" s="139">
        <v>415000</v>
      </c>
      <c r="G330" s="139"/>
      <c r="H330" s="139"/>
      <c r="I330" s="139"/>
      <c r="J330" s="139">
        <f t="shared" ref="J330:J336" si="190">L330+O330</f>
        <v>0</v>
      </c>
      <c r="K330" s="139"/>
      <c r="L330" s="139"/>
      <c r="M330" s="139"/>
      <c r="N330" s="139"/>
      <c r="O330" s="139"/>
      <c r="P330" s="139">
        <f t="shared" si="189"/>
        <v>415000</v>
      </c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  <c r="IW330" s="23"/>
      <c r="IX330" s="23"/>
      <c r="IY330" s="23"/>
      <c r="IZ330" s="23"/>
      <c r="JA330" s="23"/>
      <c r="JB330" s="23"/>
      <c r="JC330" s="23"/>
      <c r="JD330" s="23"/>
      <c r="JE330" s="23"/>
      <c r="JF330" s="23"/>
      <c r="JG330" s="23"/>
      <c r="JH330" s="23"/>
      <c r="JI330" s="23"/>
      <c r="JJ330" s="23"/>
      <c r="JK330" s="23"/>
      <c r="JL330" s="23"/>
      <c r="JM330" s="23"/>
      <c r="JN330" s="23"/>
      <c r="JO330" s="23"/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  <c r="JZ330" s="23"/>
      <c r="KA330" s="23"/>
      <c r="KB330" s="23"/>
      <c r="KC330" s="23"/>
      <c r="KD330" s="23"/>
      <c r="KE330" s="23"/>
      <c r="KF330" s="23"/>
      <c r="KG330" s="23"/>
      <c r="KH330" s="23"/>
      <c r="KI330" s="23"/>
      <c r="KJ330" s="23"/>
      <c r="KK330" s="23"/>
      <c r="KL330" s="23"/>
      <c r="KM330" s="23"/>
      <c r="KN330" s="23"/>
      <c r="KO330" s="23"/>
      <c r="KP330" s="23"/>
      <c r="KQ330" s="23"/>
      <c r="KR330" s="23"/>
      <c r="KS330" s="23"/>
      <c r="KT330" s="23"/>
      <c r="KU330" s="23"/>
      <c r="KV330" s="23"/>
      <c r="KW330" s="23"/>
      <c r="KX330" s="23"/>
      <c r="KY330" s="23"/>
      <c r="KZ330" s="23"/>
      <c r="LA330" s="23"/>
      <c r="LB330" s="23"/>
      <c r="LC330" s="23"/>
      <c r="LD330" s="23"/>
      <c r="LE330" s="23"/>
      <c r="LF330" s="23"/>
      <c r="LG330" s="23"/>
      <c r="LH330" s="23"/>
      <c r="LI330" s="23"/>
      <c r="LJ330" s="23"/>
      <c r="LK330" s="23"/>
      <c r="LL330" s="23"/>
      <c r="LM330" s="23"/>
      <c r="LN330" s="23"/>
      <c r="LO330" s="23"/>
      <c r="LP330" s="23"/>
      <c r="LQ330" s="23"/>
      <c r="LR330" s="23"/>
      <c r="LS330" s="23"/>
      <c r="LT330" s="23"/>
      <c r="LU330" s="23"/>
      <c r="LV330" s="23"/>
      <c r="LW330" s="23"/>
      <c r="LX330" s="23"/>
      <c r="LY330" s="23"/>
      <c r="LZ330" s="23"/>
      <c r="MA330" s="23"/>
      <c r="MB330" s="23"/>
      <c r="MC330" s="23"/>
      <c r="MD330" s="23"/>
      <c r="ME330" s="23"/>
      <c r="MF330" s="23"/>
      <c r="MG330" s="23"/>
      <c r="MH330" s="23"/>
      <c r="MI330" s="23"/>
      <c r="MJ330" s="23"/>
      <c r="MK330" s="23"/>
      <c r="ML330" s="23"/>
      <c r="MM330" s="23"/>
      <c r="MN330" s="23"/>
      <c r="MO330" s="23"/>
      <c r="MP330" s="23"/>
      <c r="MQ330" s="23"/>
      <c r="MR330" s="23"/>
      <c r="MS330" s="23"/>
      <c r="MT330" s="23"/>
      <c r="MU330" s="23"/>
      <c r="MV330" s="23"/>
      <c r="MW330" s="23"/>
      <c r="MX330" s="23"/>
      <c r="MY330" s="23"/>
      <c r="MZ330" s="23"/>
      <c r="NA330" s="23"/>
      <c r="NB330" s="23"/>
      <c r="NC330" s="23"/>
      <c r="ND330" s="23"/>
      <c r="NE330" s="23"/>
      <c r="NF330" s="23"/>
      <c r="NG330" s="23"/>
      <c r="NH330" s="23"/>
      <c r="NI330" s="23"/>
      <c r="NJ330" s="23"/>
      <c r="NK330" s="23"/>
      <c r="NL330" s="23"/>
      <c r="NM330" s="23"/>
      <c r="NN330" s="23"/>
      <c r="NO330" s="23"/>
      <c r="NP330" s="23"/>
      <c r="NQ330" s="23"/>
      <c r="NR330" s="23"/>
      <c r="NS330" s="23"/>
      <c r="NT330" s="23"/>
      <c r="NU330" s="23"/>
      <c r="NV330" s="23"/>
      <c r="NW330" s="23"/>
      <c r="NX330" s="23"/>
      <c r="NY330" s="23"/>
      <c r="NZ330" s="23"/>
      <c r="OA330" s="23"/>
      <c r="OB330" s="23"/>
      <c r="OC330" s="23"/>
      <c r="OD330" s="23"/>
      <c r="OE330" s="23"/>
      <c r="OF330" s="23"/>
      <c r="OG330" s="23"/>
      <c r="OH330" s="23"/>
      <c r="OI330" s="23"/>
      <c r="OJ330" s="23"/>
      <c r="OK330" s="23"/>
      <c r="OL330" s="23"/>
      <c r="OM330" s="23"/>
      <c r="ON330" s="23"/>
      <c r="OO330" s="23"/>
      <c r="OP330" s="23"/>
      <c r="OQ330" s="23"/>
      <c r="OR330" s="23"/>
      <c r="OS330" s="23"/>
      <c r="OT330" s="23"/>
      <c r="OU330" s="23"/>
      <c r="OV330" s="23"/>
      <c r="OW330" s="23"/>
      <c r="OX330" s="23"/>
      <c r="OY330" s="23"/>
      <c r="OZ330" s="23"/>
      <c r="PA330" s="23"/>
      <c r="PB330" s="23"/>
      <c r="PC330" s="23"/>
      <c r="PD330" s="23"/>
      <c r="PE330" s="23"/>
      <c r="PF330" s="23"/>
      <c r="PG330" s="23"/>
      <c r="PH330" s="23"/>
      <c r="PI330" s="23"/>
      <c r="PJ330" s="23"/>
      <c r="PK330" s="23"/>
      <c r="PL330" s="23"/>
      <c r="PM330" s="23"/>
      <c r="PN330" s="23"/>
      <c r="PO330" s="23"/>
      <c r="PP330" s="23"/>
      <c r="PQ330" s="23"/>
      <c r="PR330" s="23"/>
      <c r="PS330" s="23"/>
      <c r="PT330" s="23"/>
      <c r="PU330" s="23"/>
      <c r="PV330" s="23"/>
      <c r="PW330" s="23"/>
      <c r="PX330" s="23"/>
      <c r="PY330" s="23"/>
      <c r="PZ330" s="23"/>
      <c r="QA330" s="23"/>
      <c r="QB330" s="23"/>
      <c r="QC330" s="23"/>
      <c r="QD330" s="23"/>
      <c r="QE330" s="23"/>
      <c r="QF330" s="23"/>
      <c r="QG330" s="23"/>
      <c r="QH330" s="23"/>
      <c r="QI330" s="23"/>
      <c r="QJ330" s="23"/>
      <c r="QK330" s="23"/>
      <c r="QL330" s="23"/>
      <c r="QM330" s="23"/>
      <c r="QN330" s="23"/>
      <c r="QO330" s="23"/>
      <c r="QP330" s="23"/>
      <c r="QQ330" s="23"/>
      <c r="QR330" s="23"/>
      <c r="QS330" s="23"/>
      <c r="QT330" s="23"/>
      <c r="QU330" s="23"/>
      <c r="QV330" s="23"/>
      <c r="QW330" s="23"/>
      <c r="QX330" s="23"/>
      <c r="QY330" s="23"/>
      <c r="QZ330" s="23"/>
      <c r="RA330" s="23"/>
      <c r="RB330" s="23"/>
      <c r="RC330" s="23"/>
      <c r="RD330" s="23"/>
      <c r="RE330" s="23"/>
      <c r="RF330" s="23"/>
      <c r="RG330" s="23"/>
      <c r="RH330" s="23"/>
      <c r="RI330" s="23"/>
      <c r="RJ330" s="23"/>
      <c r="RK330" s="23"/>
      <c r="RL330" s="23"/>
      <c r="RM330" s="23"/>
      <c r="RN330" s="23"/>
      <c r="RO330" s="23"/>
      <c r="RP330" s="23"/>
      <c r="RQ330" s="23"/>
      <c r="RR330" s="23"/>
      <c r="RS330" s="23"/>
      <c r="RT330" s="23"/>
      <c r="RU330" s="23"/>
      <c r="RV330" s="23"/>
      <c r="RW330" s="23"/>
      <c r="RX330" s="23"/>
      <c r="RY330" s="23"/>
      <c r="RZ330" s="23"/>
      <c r="SA330" s="23"/>
      <c r="SB330" s="23"/>
      <c r="SC330" s="23"/>
      <c r="SD330" s="23"/>
      <c r="SE330" s="23"/>
      <c r="SF330" s="23"/>
      <c r="SG330" s="23"/>
      <c r="SH330" s="23"/>
      <c r="SI330" s="23"/>
      <c r="SJ330" s="23"/>
      <c r="SK330" s="23"/>
      <c r="SL330" s="23"/>
      <c r="SM330" s="23"/>
      <c r="SN330" s="23"/>
      <c r="SO330" s="23"/>
      <c r="SP330" s="23"/>
      <c r="SQ330" s="23"/>
      <c r="SR330" s="23"/>
      <c r="SS330" s="23"/>
      <c r="ST330" s="23"/>
      <c r="SU330" s="23"/>
      <c r="SV330" s="23"/>
      <c r="SW330" s="23"/>
      <c r="SX330" s="23"/>
      <c r="SY330" s="23"/>
      <c r="SZ330" s="23"/>
      <c r="TA330" s="23"/>
      <c r="TB330" s="23"/>
      <c r="TC330" s="23"/>
      <c r="TD330" s="23"/>
      <c r="TE330" s="23"/>
    </row>
    <row r="331" spans="1:525" s="22" customFormat="1" ht="29.25" customHeight="1" x14ac:dyDescent="0.25">
      <c r="A331" s="56" t="s">
        <v>325</v>
      </c>
      <c r="B331" s="84" t="str">
        <f>'дод 3'!A229</f>
        <v>7693</v>
      </c>
      <c r="C331" s="84" t="str">
        <f>'дод 3'!B229</f>
        <v>0490</v>
      </c>
      <c r="D331" s="57" t="str">
        <f>'дод 3'!C229</f>
        <v>Інші заходи, пов'язані з економічною діяльністю</v>
      </c>
      <c r="E331" s="139">
        <f t="shared" si="188"/>
        <v>132800</v>
      </c>
      <c r="F331" s="139">
        <v>132800</v>
      </c>
      <c r="G331" s="139"/>
      <c r="H331" s="139"/>
      <c r="I331" s="139"/>
      <c r="J331" s="139">
        <f t="shared" si="190"/>
        <v>0</v>
      </c>
      <c r="K331" s="139"/>
      <c r="L331" s="139"/>
      <c r="M331" s="139"/>
      <c r="N331" s="139"/>
      <c r="O331" s="139"/>
      <c r="P331" s="139">
        <f t="shared" si="189"/>
        <v>132800</v>
      </c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  <c r="IW331" s="23"/>
      <c r="IX331" s="23"/>
      <c r="IY331" s="23"/>
      <c r="IZ331" s="23"/>
      <c r="JA331" s="23"/>
      <c r="JB331" s="23"/>
      <c r="JC331" s="23"/>
      <c r="JD331" s="23"/>
      <c r="JE331" s="23"/>
      <c r="JF331" s="23"/>
      <c r="JG331" s="23"/>
      <c r="JH331" s="23"/>
      <c r="JI331" s="23"/>
      <c r="JJ331" s="23"/>
      <c r="JK331" s="23"/>
      <c r="JL331" s="23"/>
      <c r="JM331" s="23"/>
      <c r="JN331" s="23"/>
      <c r="JO331" s="23"/>
      <c r="JP331" s="23"/>
      <c r="JQ331" s="23"/>
      <c r="JR331" s="23"/>
      <c r="JS331" s="23"/>
      <c r="JT331" s="23"/>
      <c r="JU331" s="23"/>
      <c r="JV331" s="23"/>
      <c r="JW331" s="23"/>
      <c r="JX331" s="23"/>
      <c r="JY331" s="23"/>
      <c r="JZ331" s="23"/>
      <c r="KA331" s="23"/>
      <c r="KB331" s="23"/>
      <c r="KC331" s="23"/>
      <c r="KD331" s="23"/>
      <c r="KE331" s="23"/>
      <c r="KF331" s="23"/>
      <c r="KG331" s="23"/>
      <c r="KH331" s="23"/>
      <c r="KI331" s="23"/>
      <c r="KJ331" s="23"/>
      <c r="KK331" s="23"/>
      <c r="KL331" s="23"/>
      <c r="KM331" s="23"/>
      <c r="KN331" s="23"/>
      <c r="KO331" s="23"/>
      <c r="KP331" s="23"/>
      <c r="KQ331" s="23"/>
      <c r="KR331" s="23"/>
      <c r="KS331" s="23"/>
      <c r="KT331" s="23"/>
      <c r="KU331" s="23"/>
      <c r="KV331" s="23"/>
      <c r="KW331" s="23"/>
      <c r="KX331" s="23"/>
      <c r="KY331" s="23"/>
      <c r="KZ331" s="23"/>
      <c r="LA331" s="23"/>
      <c r="LB331" s="23"/>
      <c r="LC331" s="23"/>
      <c r="LD331" s="23"/>
      <c r="LE331" s="23"/>
      <c r="LF331" s="23"/>
      <c r="LG331" s="23"/>
      <c r="LH331" s="23"/>
      <c r="LI331" s="23"/>
      <c r="LJ331" s="23"/>
      <c r="LK331" s="23"/>
      <c r="LL331" s="23"/>
      <c r="LM331" s="23"/>
      <c r="LN331" s="23"/>
      <c r="LO331" s="23"/>
      <c r="LP331" s="23"/>
      <c r="LQ331" s="23"/>
      <c r="LR331" s="23"/>
      <c r="LS331" s="23"/>
      <c r="LT331" s="23"/>
      <c r="LU331" s="23"/>
      <c r="LV331" s="23"/>
      <c r="LW331" s="23"/>
      <c r="LX331" s="23"/>
      <c r="LY331" s="23"/>
      <c r="LZ331" s="23"/>
      <c r="MA331" s="23"/>
      <c r="MB331" s="23"/>
      <c r="MC331" s="23"/>
      <c r="MD331" s="23"/>
      <c r="ME331" s="23"/>
      <c r="MF331" s="23"/>
      <c r="MG331" s="23"/>
      <c r="MH331" s="23"/>
      <c r="MI331" s="23"/>
      <c r="MJ331" s="23"/>
      <c r="MK331" s="23"/>
      <c r="ML331" s="23"/>
      <c r="MM331" s="23"/>
      <c r="MN331" s="23"/>
      <c r="MO331" s="23"/>
      <c r="MP331" s="23"/>
      <c r="MQ331" s="23"/>
      <c r="MR331" s="23"/>
      <c r="MS331" s="23"/>
      <c r="MT331" s="23"/>
      <c r="MU331" s="23"/>
      <c r="MV331" s="23"/>
      <c r="MW331" s="23"/>
      <c r="MX331" s="23"/>
      <c r="MY331" s="23"/>
      <c r="MZ331" s="23"/>
      <c r="NA331" s="23"/>
      <c r="NB331" s="23"/>
      <c r="NC331" s="23"/>
      <c r="ND331" s="23"/>
      <c r="NE331" s="23"/>
      <c r="NF331" s="23"/>
      <c r="NG331" s="23"/>
      <c r="NH331" s="23"/>
      <c r="NI331" s="23"/>
      <c r="NJ331" s="23"/>
      <c r="NK331" s="23"/>
      <c r="NL331" s="23"/>
      <c r="NM331" s="23"/>
      <c r="NN331" s="23"/>
      <c r="NO331" s="23"/>
      <c r="NP331" s="23"/>
      <c r="NQ331" s="23"/>
      <c r="NR331" s="23"/>
      <c r="NS331" s="23"/>
      <c r="NT331" s="23"/>
      <c r="NU331" s="23"/>
      <c r="NV331" s="23"/>
      <c r="NW331" s="23"/>
      <c r="NX331" s="23"/>
      <c r="NY331" s="23"/>
      <c r="NZ331" s="23"/>
      <c r="OA331" s="23"/>
      <c r="OB331" s="23"/>
      <c r="OC331" s="23"/>
      <c r="OD331" s="23"/>
      <c r="OE331" s="23"/>
      <c r="OF331" s="23"/>
      <c r="OG331" s="23"/>
      <c r="OH331" s="23"/>
      <c r="OI331" s="23"/>
      <c r="OJ331" s="23"/>
      <c r="OK331" s="23"/>
      <c r="OL331" s="23"/>
      <c r="OM331" s="23"/>
      <c r="ON331" s="23"/>
      <c r="OO331" s="23"/>
      <c r="OP331" s="23"/>
      <c r="OQ331" s="23"/>
      <c r="OR331" s="23"/>
      <c r="OS331" s="23"/>
      <c r="OT331" s="23"/>
      <c r="OU331" s="23"/>
      <c r="OV331" s="23"/>
      <c r="OW331" s="23"/>
      <c r="OX331" s="23"/>
      <c r="OY331" s="23"/>
      <c r="OZ331" s="23"/>
      <c r="PA331" s="23"/>
      <c r="PB331" s="23"/>
      <c r="PC331" s="23"/>
      <c r="PD331" s="23"/>
      <c r="PE331" s="23"/>
      <c r="PF331" s="23"/>
      <c r="PG331" s="23"/>
      <c r="PH331" s="23"/>
      <c r="PI331" s="23"/>
      <c r="PJ331" s="23"/>
      <c r="PK331" s="23"/>
      <c r="PL331" s="23"/>
      <c r="PM331" s="23"/>
      <c r="PN331" s="23"/>
      <c r="PO331" s="23"/>
      <c r="PP331" s="23"/>
      <c r="PQ331" s="23"/>
      <c r="PR331" s="23"/>
      <c r="PS331" s="23"/>
      <c r="PT331" s="23"/>
      <c r="PU331" s="23"/>
      <c r="PV331" s="23"/>
      <c r="PW331" s="23"/>
      <c r="PX331" s="23"/>
      <c r="PY331" s="23"/>
      <c r="PZ331" s="23"/>
      <c r="QA331" s="23"/>
      <c r="QB331" s="23"/>
      <c r="QC331" s="23"/>
      <c r="QD331" s="23"/>
      <c r="QE331" s="23"/>
      <c r="QF331" s="23"/>
      <c r="QG331" s="23"/>
      <c r="QH331" s="23"/>
      <c r="QI331" s="23"/>
      <c r="QJ331" s="23"/>
      <c r="QK331" s="23"/>
      <c r="QL331" s="23"/>
      <c r="QM331" s="23"/>
      <c r="QN331" s="23"/>
      <c r="QO331" s="23"/>
      <c r="QP331" s="23"/>
      <c r="QQ331" s="23"/>
      <c r="QR331" s="23"/>
      <c r="QS331" s="23"/>
      <c r="QT331" s="23"/>
      <c r="QU331" s="23"/>
      <c r="QV331" s="23"/>
      <c r="QW331" s="23"/>
      <c r="QX331" s="23"/>
      <c r="QY331" s="23"/>
      <c r="QZ331" s="23"/>
      <c r="RA331" s="23"/>
      <c r="RB331" s="23"/>
      <c r="RC331" s="23"/>
      <c r="RD331" s="23"/>
      <c r="RE331" s="23"/>
      <c r="RF331" s="23"/>
      <c r="RG331" s="23"/>
      <c r="RH331" s="23"/>
      <c r="RI331" s="23"/>
      <c r="RJ331" s="23"/>
      <c r="RK331" s="23"/>
      <c r="RL331" s="23"/>
      <c r="RM331" s="23"/>
      <c r="RN331" s="23"/>
      <c r="RO331" s="23"/>
      <c r="RP331" s="23"/>
      <c r="RQ331" s="23"/>
      <c r="RR331" s="23"/>
      <c r="RS331" s="23"/>
      <c r="RT331" s="23"/>
      <c r="RU331" s="23"/>
      <c r="RV331" s="23"/>
      <c r="RW331" s="23"/>
      <c r="RX331" s="23"/>
      <c r="RY331" s="23"/>
      <c r="RZ331" s="23"/>
      <c r="SA331" s="23"/>
      <c r="SB331" s="23"/>
      <c r="SC331" s="23"/>
      <c r="SD331" s="23"/>
      <c r="SE331" s="23"/>
      <c r="SF331" s="23"/>
      <c r="SG331" s="23"/>
      <c r="SH331" s="23"/>
      <c r="SI331" s="23"/>
      <c r="SJ331" s="23"/>
      <c r="SK331" s="23"/>
      <c r="SL331" s="23"/>
      <c r="SM331" s="23"/>
      <c r="SN331" s="23"/>
      <c r="SO331" s="23"/>
      <c r="SP331" s="23"/>
      <c r="SQ331" s="23"/>
      <c r="SR331" s="23"/>
      <c r="SS331" s="23"/>
      <c r="ST331" s="23"/>
      <c r="SU331" s="23"/>
      <c r="SV331" s="23"/>
      <c r="SW331" s="23"/>
      <c r="SX331" s="23"/>
      <c r="SY331" s="23"/>
      <c r="SZ331" s="23"/>
      <c r="TA331" s="23"/>
      <c r="TB331" s="23"/>
      <c r="TC331" s="23"/>
      <c r="TD331" s="23"/>
      <c r="TE331" s="23"/>
    </row>
    <row r="332" spans="1:525" s="22" customFormat="1" ht="42.75" customHeight="1" x14ac:dyDescent="0.25">
      <c r="A332" s="56">
        <v>3718330</v>
      </c>
      <c r="B332" s="84">
        <f>'дод 3'!A242</f>
        <v>8330</v>
      </c>
      <c r="C332" s="56" t="s">
        <v>91</v>
      </c>
      <c r="D332" s="57" t="str">
        <f>'дод 3'!C242</f>
        <v xml:space="preserve">Інша діяльність у сфері екології та охорони природних ресурсів </v>
      </c>
      <c r="E332" s="139">
        <f t="shared" si="188"/>
        <v>80000</v>
      </c>
      <c r="F332" s="139">
        <v>80000</v>
      </c>
      <c r="G332" s="139"/>
      <c r="H332" s="139"/>
      <c r="I332" s="139"/>
      <c r="J332" s="139">
        <f t="shared" si="190"/>
        <v>0</v>
      </c>
      <c r="K332" s="139"/>
      <c r="L332" s="139"/>
      <c r="M332" s="139"/>
      <c r="N332" s="139"/>
      <c r="O332" s="139"/>
      <c r="P332" s="139">
        <f t="shared" si="189"/>
        <v>80000</v>
      </c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  <c r="IS332" s="23"/>
      <c r="IT332" s="23"/>
      <c r="IU332" s="23"/>
      <c r="IV332" s="23"/>
      <c r="IW332" s="23"/>
      <c r="IX332" s="23"/>
      <c r="IY332" s="23"/>
      <c r="IZ332" s="23"/>
      <c r="JA332" s="23"/>
      <c r="JB332" s="23"/>
      <c r="JC332" s="23"/>
      <c r="JD332" s="23"/>
      <c r="JE332" s="23"/>
      <c r="JF332" s="23"/>
      <c r="JG332" s="23"/>
      <c r="JH332" s="23"/>
      <c r="JI332" s="23"/>
      <c r="JJ332" s="23"/>
      <c r="JK332" s="23"/>
      <c r="JL332" s="23"/>
      <c r="JM332" s="23"/>
      <c r="JN332" s="23"/>
      <c r="JO332" s="23"/>
      <c r="JP332" s="23"/>
      <c r="JQ332" s="23"/>
      <c r="JR332" s="23"/>
      <c r="JS332" s="23"/>
      <c r="JT332" s="23"/>
      <c r="JU332" s="23"/>
      <c r="JV332" s="23"/>
      <c r="JW332" s="23"/>
      <c r="JX332" s="23"/>
      <c r="JY332" s="23"/>
      <c r="JZ332" s="23"/>
      <c r="KA332" s="23"/>
      <c r="KB332" s="23"/>
      <c r="KC332" s="23"/>
      <c r="KD332" s="23"/>
      <c r="KE332" s="23"/>
      <c r="KF332" s="23"/>
      <c r="KG332" s="23"/>
      <c r="KH332" s="23"/>
      <c r="KI332" s="23"/>
      <c r="KJ332" s="23"/>
      <c r="KK332" s="23"/>
      <c r="KL332" s="23"/>
      <c r="KM332" s="23"/>
      <c r="KN332" s="23"/>
      <c r="KO332" s="23"/>
      <c r="KP332" s="23"/>
      <c r="KQ332" s="23"/>
      <c r="KR332" s="23"/>
      <c r="KS332" s="23"/>
      <c r="KT332" s="23"/>
      <c r="KU332" s="23"/>
      <c r="KV332" s="23"/>
      <c r="KW332" s="23"/>
      <c r="KX332" s="23"/>
      <c r="KY332" s="23"/>
      <c r="KZ332" s="23"/>
      <c r="LA332" s="23"/>
      <c r="LB332" s="23"/>
      <c r="LC332" s="23"/>
      <c r="LD332" s="23"/>
      <c r="LE332" s="23"/>
      <c r="LF332" s="23"/>
      <c r="LG332" s="23"/>
      <c r="LH332" s="23"/>
      <c r="LI332" s="23"/>
      <c r="LJ332" s="23"/>
      <c r="LK332" s="23"/>
      <c r="LL332" s="23"/>
      <c r="LM332" s="23"/>
      <c r="LN332" s="23"/>
      <c r="LO332" s="23"/>
      <c r="LP332" s="23"/>
      <c r="LQ332" s="23"/>
      <c r="LR332" s="23"/>
      <c r="LS332" s="23"/>
      <c r="LT332" s="23"/>
      <c r="LU332" s="23"/>
      <c r="LV332" s="23"/>
      <c r="LW332" s="23"/>
      <c r="LX332" s="23"/>
      <c r="LY332" s="23"/>
      <c r="LZ332" s="23"/>
      <c r="MA332" s="23"/>
      <c r="MB332" s="23"/>
      <c r="MC332" s="23"/>
      <c r="MD332" s="23"/>
      <c r="ME332" s="23"/>
      <c r="MF332" s="23"/>
      <c r="MG332" s="23"/>
      <c r="MH332" s="23"/>
      <c r="MI332" s="23"/>
      <c r="MJ332" s="23"/>
      <c r="MK332" s="23"/>
      <c r="ML332" s="23"/>
      <c r="MM332" s="23"/>
      <c r="MN332" s="23"/>
      <c r="MO332" s="23"/>
      <c r="MP332" s="23"/>
      <c r="MQ332" s="23"/>
      <c r="MR332" s="23"/>
      <c r="MS332" s="23"/>
      <c r="MT332" s="23"/>
      <c r="MU332" s="23"/>
      <c r="MV332" s="23"/>
      <c r="MW332" s="23"/>
      <c r="MX332" s="23"/>
      <c r="MY332" s="23"/>
      <c r="MZ332" s="23"/>
      <c r="NA332" s="23"/>
      <c r="NB332" s="23"/>
      <c r="NC332" s="23"/>
      <c r="ND332" s="23"/>
      <c r="NE332" s="23"/>
      <c r="NF332" s="23"/>
      <c r="NG332" s="23"/>
      <c r="NH332" s="23"/>
      <c r="NI332" s="23"/>
      <c r="NJ332" s="23"/>
      <c r="NK332" s="23"/>
      <c r="NL332" s="23"/>
      <c r="NM332" s="23"/>
      <c r="NN332" s="23"/>
      <c r="NO332" s="23"/>
      <c r="NP332" s="23"/>
      <c r="NQ332" s="23"/>
      <c r="NR332" s="23"/>
      <c r="NS332" s="23"/>
      <c r="NT332" s="23"/>
      <c r="NU332" s="23"/>
      <c r="NV332" s="23"/>
      <c r="NW332" s="23"/>
      <c r="NX332" s="23"/>
      <c r="NY332" s="23"/>
      <c r="NZ332" s="23"/>
      <c r="OA332" s="23"/>
      <c r="OB332" s="23"/>
      <c r="OC332" s="23"/>
      <c r="OD332" s="23"/>
      <c r="OE332" s="23"/>
      <c r="OF332" s="23"/>
      <c r="OG332" s="23"/>
      <c r="OH332" s="23"/>
      <c r="OI332" s="23"/>
      <c r="OJ332" s="23"/>
      <c r="OK332" s="23"/>
      <c r="OL332" s="23"/>
      <c r="OM332" s="23"/>
      <c r="ON332" s="23"/>
      <c r="OO332" s="23"/>
      <c r="OP332" s="23"/>
      <c r="OQ332" s="23"/>
      <c r="OR332" s="23"/>
      <c r="OS332" s="23"/>
      <c r="OT332" s="23"/>
      <c r="OU332" s="23"/>
      <c r="OV332" s="23"/>
      <c r="OW332" s="23"/>
      <c r="OX332" s="23"/>
      <c r="OY332" s="23"/>
      <c r="OZ332" s="23"/>
      <c r="PA332" s="23"/>
      <c r="PB332" s="23"/>
      <c r="PC332" s="23"/>
      <c r="PD332" s="23"/>
      <c r="PE332" s="23"/>
      <c r="PF332" s="23"/>
      <c r="PG332" s="23"/>
      <c r="PH332" s="23"/>
      <c r="PI332" s="23"/>
      <c r="PJ332" s="23"/>
      <c r="PK332" s="23"/>
      <c r="PL332" s="23"/>
      <c r="PM332" s="23"/>
      <c r="PN332" s="23"/>
      <c r="PO332" s="23"/>
      <c r="PP332" s="23"/>
      <c r="PQ332" s="23"/>
      <c r="PR332" s="23"/>
      <c r="PS332" s="23"/>
      <c r="PT332" s="23"/>
      <c r="PU332" s="23"/>
      <c r="PV332" s="23"/>
      <c r="PW332" s="23"/>
      <c r="PX332" s="23"/>
      <c r="PY332" s="23"/>
      <c r="PZ332" s="23"/>
      <c r="QA332" s="23"/>
      <c r="QB332" s="23"/>
      <c r="QC332" s="23"/>
      <c r="QD332" s="23"/>
      <c r="QE332" s="23"/>
      <c r="QF332" s="23"/>
      <c r="QG332" s="23"/>
      <c r="QH332" s="23"/>
      <c r="QI332" s="23"/>
      <c r="QJ332" s="23"/>
      <c r="QK332" s="23"/>
      <c r="QL332" s="23"/>
      <c r="QM332" s="23"/>
      <c r="QN332" s="23"/>
      <c r="QO332" s="23"/>
      <c r="QP332" s="23"/>
      <c r="QQ332" s="23"/>
      <c r="QR332" s="23"/>
      <c r="QS332" s="23"/>
      <c r="QT332" s="23"/>
      <c r="QU332" s="23"/>
      <c r="QV332" s="23"/>
      <c r="QW332" s="23"/>
      <c r="QX332" s="23"/>
      <c r="QY332" s="23"/>
      <c r="QZ332" s="23"/>
      <c r="RA332" s="23"/>
      <c r="RB332" s="23"/>
      <c r="RC332" s="23"/>
      <c r="RD332" s="23"/>
      <c r="RE332" s="23"/>
      <c r="RF332" s="23"/>
      <c r="RG332" s="23"/>
      <c r="RH332" s="23"/>
      <c r="RI332" s="23"/>
      <c r="RJ332" s="23"/>
      <c r="RK332" s="23"/>
      <c r="RL332" s="23"/>
      <c r="RM332" s="23"/>
      <c r="RN332" s="23"/>
      <c r="RO332" s="23"/>
      <c r="RP332" s="23"/>
      <c r="RQ332" s="23"/>
      <c r="RR332" s="23"/>
      <c r="RS332" s="23"/>
      <c r="RT332" s="23"/>
      <c r="RU332" s="23"/>
      <c r="RV332" s="23"/>
      <c r="RW332" s="23"/>
      <c r="RX332" s="23"/>
      <c r="RY332" s="23"/>
      <c r="RZ332" s="23"/>
      <c r="SA332" s="23"/>
      <c r="SB332" s="23"/>
      <c r="SC332" s="23"/>
      <c r="SD332" s="23"/>
      <c r="SE332" s="23"/>
      <c r="SF332" s="23"/>
      <c r="SG332" s="23"/>
      <c r="SH332" s="23"/>
      <c r="SI332" s="23"/>
      <c r="SJ332" s="23"/>
      <c r="SK332" s="23"/>
      <c r="SL332" s="23"/>
      <c r="SM332" s="23"/>
      <c r="SN332" s="23"/>
      <c r="SO332" s="23"/>
      <c r="SP332" s="23"/>
      <c r="SQ332" s="23"/>
      <c r="SR332" s="23"/>
      <c r="SS332" s="23"/>
      <c r="ST332" s="23"/>
      <c r="SU332" s="23"/>
      <c r="SV332" s="23"/>
      <c r="SW332" s="23"/>
      <c r="SX332" s="23"/>
      <c r="SY332" s="23"/>
      <c r="SZ332" s="23"/>
      <c r="TA332" s="23"/>
      <c r="TB332" s="23"/>
      <c r="TC332" s="23"/>
      <c r="TD332" s="23"/>
      <c r="TE332" s="23"/>
    </row>
    <row r="333" spans="1:525" s="22" customFormat="1" ht="37.5" customHeight="1" x14ac:dyDescent="0.25">
      <c r="A333" s="56" t="s">
        <v>218</v>
      </c>
      <c r="B333" s="84" t="str">
        <f>'дод 3'!A243</f>
        <v>8340</v>
      </c>
      <c r="C333" s="56" t="str">
        <f>'дод 3'!B243</f>
        <v>0540</v>
      </c>
      <c r="D333" s="57" t="str">
        <f>'дод 3'!C243</f>
        <v>Природоохоронні заходи за рахунок цільових фондів</v>
      </c>
      <c r="E333" s="139">
        <f t="shared" si="188"/>
        <v>0</v>
      </c>
      <c r="F333" s="139"/>
      <c r="G333" s="139"/>
      <c r="H333" s="139"/>
      <c r="I333" s="139"/>
      <c r="J333" s="139">
        <f t="shared" si="190"/>
        <v>104000</v>
      </c>
      <c r="K333" s="139"/>
      <c r="L333" s="139">
        <v>104000</v>
      </c>
      <c r="M333" s="139"/>
      <c r="N333" s="139"/>
      <c r="O333" s="139"/>
      <c r="P333" s="139">
        <f t="shared" si="189"/>
        <v>104000</v>
      </c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  <c r="IO333" s="23"/>
      <c r="IP333" s="23"/>
      <c r="IQ333" s="23"/>
      <c r="IR333" s="23"/>
      <c r="IS333" s="23"/>
      <c r="IT333" s="23"/>
      <c r="IU333" s="23"/>
      <c r="IV333" s="23"/>
      <c r="IW333" s="23"/>
      <c r="IX333" s="23"/>
      <c r="IY333" s="23"/>
      <c r="IZ333" s="23"/>
      <c r="JA333" s="23"/>
      <c r="JB333" s="23"/>
      <c r="JC333" s="23"/>
      <c r="JD333" s="23"/>
      <c r="JE333" s="23"/>
      <c r="JF333" s="23"/>
      <c r="JG333" s="23"/>
      <c r="JH333" s="23"/>
      <c r="JI333" s="23"/>
      <c r="JJ333" s="23"/>
      <c r="JK333" s="23"/>
      <c r="JL333" s="23"/>
      <c r="JM333" s="23"/>
      <c r="JN333" s="23"/>
      <c r="JO333" s="23"/>
      <c r="JP333" s="23"/>
      <c r="JQ333" s="23"/>
      <c r="JR333" s="23"/>
      <c r="JS333" s="23"/>
      <c r="JT333" s="23"/>
      <c r="JU333" s="23"/>
      <c r="JV333" s="23"/>
      <c r="JW333" s="23"/>
      <c r="JX333" s="23"/>
      <c r="JY333" s="23"/>
      <c r="JZ333" s="23"/>
      <c r="KA333" s="23"/>
      <c r="KB333" s="23"/>
      <c r="KC333" s="23"/>
      <c r="KD333" s="23"/>
      <c r="KE333" s="23"/>
      <c r="KF333" s="23"/>
      <c r="KG333" s="23"/>
      <c r="KH333" s="23"/>
      <c r="KI333" s="23"/>
      <c r="KJ333" s="23"/>
      <c r="KK333" s="23"/>
      <c r="KL333" s="23"/>
      <c r="KM333" s="23"/>
      <c r="KN333" s="23"/>
      <c r="KO333" s="23"/>
      <c r="KP333" s="23"/>
      <c r="KQ333" s="23"/>
      <c r="KR333" s="23"/>
      <c r="KS333" s="23"/>
      <c r="KT333" s="23"/>
      <c r="KU333" s="23"/>
      <c r="KV333" s="23"/>
      <c r="KW333" s="23"/>
      <c r="KX333" s="23"/>
      <c r="KY333" s="23"/>
      <c r="KZ333" s="23"/>
      <c r="LA333" s="23"/>
      <c r="LB333" s="23"/>
      <c r="LC333" s="23"/>
      <c r="LD333" s="23"/>
      <c r="LE333" s="23"/>
      <c r="LF333" s="23"/>
      <c r="LG333" s="23"/>
      <c r="LH333" s="23"/>
      <c r="LI333" s="23"/>
      <c r="LJ333" s="23"/>
      <c r="LK333" s="23"/>
      <c r="LL333" s="23"/>
      <c r="LM333" s="23"/>
      <c r="LN333" s="23"/>
      <c r="LO333" s="23"/>
      <c r="LP333" s="23"/>
      <c r="LQ333" s="23"/>
      <c r="LR333" s="23"/>
      <c r="LS333" s="23"/>
      <c r="LT333" s="23"/>
      <c r="LU333" s="23"/>
      <c r="LV333" s="23"/>
      <c r="LW333" s="23"/>
      <c r="LX333" s="23"/>
      <c r="LY333" s="23"/>
      <c r="LZ333" s="23"/>
      <c r="MA333" s="23"/>
      <c r="MB333" s="23"/>
      <c r="MC333" s="23"/>
      <c r="MD333" s="23"/>
      <c r="ME333" s="23"/>
      <c r="MF333" s="23"/>
      <c r="MG333" s="23"/>
      <c r="MH333" s="23"/>
      <c r="MI333" s="23"/>
      <c r="MJ333" s="23"/>
      <c r="MK333" s="23"/>
      <c r="ML333" s="23"/>
      <c r="MM333" s="23"/>
      <c r="MN333" s="23"/>
      <c r="MO333" s="23"/>
      <c r="MP333" s="23"/>
      <c r="MQ333" s="23"/>
      <c r="MR333" s="23"/>
      <c r="MS333" s="23"/>
      <c r="MT333" s="23"/>
      <c r="MU333" s="23"/>
      <c r="MV333" s="23"/>
      <c r="MW333" s="23"/>
      <c r="MX333" s="23"/>
      <c r="MY333" s="23"/>
      <c r="MZ333" s="23"/>
      <c r="NA333" s="23"/>
      <c r="NB333" s="23"/>
      <c r="NC333" s="23"/>
      <c r="ND333" s="23"/>
      <c r="NE333" s="23"/>
      <c r="NF333" s="23"/>
      <c r="NG333" s="23"/>
      <c r="NH333" s="23"/>
      <c r="NI333" s="23"/>
      <c r="NJ333" s="23"/>
      <c r="NK333" s="23"/>
      <c r="NL333" s="23"/>
      <c r="NM333" s="23"/>
      <c r="NN333" s="23"/>
      <c r="NO333" s="23"/>
      <c r="NP333" s="23"/>
      <c r="NQ333" s="23"/>
      <c r="NR333" s="23"/>
      <c r="NS333" s="23"/>
      <c r="NT333" s="23"/>
      <c r="NU333" s="23"/>
      <c r="NV333" s="23"/>
      <c r="NW333" s="23"/>
      <c r="NX333" s="23"/>
      <c r="NY333" s="23"/>
      <c r="NZ333" s="23"/>
      <c r="OA333" s="23"/>
      <c r="OB333" s="23"/>
      <c r="OC333" s="23"/>
      <c r="OD333" s="23"/>
      <c r="OE333" s="23"/>
      <c r="OF333" s="23"/>
      <c r="OG333" s="23"/>
      <c r="OH333" s="23"/>
      <c r="OI333" s="23"/>
      <c r="OJ333" s="23"/>
      <c r="OK333" s="23"/>
      <c r="OL333" s="23"/>
      <c r="OM333" s="23"/>
      <c r="ON333" s="23"/>
      <c r="OO333" s="23"/>
      <c r="OP333" s="23"/>
      <c r="OQ333" s="23"/>
      <c r="OR333" s="23"/>
      <c r="OS333" s="23"/>
      <c r="OT333" s="23"/>
      <c r="OU333" s="23"/>
      <c r="OV333" s="23"/>
      <c r="OW333" s="23"/>
      <c r="OX333" s="23"/>
      <c r="OY333" s="23"/>
      <c r="OZ333" s="23"/>
      <c r="PA333" s="23"/>
      <c r="PB333" s="23"/>
      <c r="PC333" s="23"/>
      <c r="PD333" s="23"/>
      <c r="PE333" s="23"/>
      <c r="PF333" s="23"/>
      <c r="PG333" s="23"/>
      <c r="PH333" s="23"/>
      <c r="PI333" s="23"/>
      <c r="PJ333" s="23"/>
      <c r="PK333" s="23"/>
      <c r="PL333" s="23"/>
      <c r="PM333" s="23"/>
      <c r="PN333" s="23"/>
      <c r="PO333" s="23"/>
      <c r="PP333" s="23"/>
      <c r="PQ333" s="23"/>
      <c r="PR333" s="23"/>
      <c r="PS333" s="23"/>
      <c r="PT333" s="23"/>
      <c r="PU333" s="23"/>
      <c r="PV333" s="23"/>
      <c r="PW333" s="23"/>
      <c r="PX333" s="23"/>
      <c r="PY333" s="23"/>
      <c r="PZ333" s="23"/>
      <c r="QA333" s="23"/>
      <c r="QB333" s="23"/>
      <c r="QC333" s="23"/>
      <c r="QD333" s="23"/>
      <c r="QE333" s="23"/>
      <c r="QF333" s="23"/>
      <c r="QG333" s="23"/>
      <c r="QH333" s="23"/>
      <c r="QI333" s="23"/>
      <c r="QJ333" s="23"/>
      <c r="QK333" s="23"/>
      <c r="QL333" s="23"/>
      <c r="QM333" s="23"/>
      <c r="QN333" s="23"/>
      <c r="QO333" s="23"/>
      <c r="QP333" s="23"/>
      <c r="QQ333" s="23"/>
      <c r="QR333" s="23"/>
      <c r="QS333" s="23"/>
      <c r="QT333" s="23"/>
      <c r="QU333" s="23"/>
      <c r="QV333" s="23"/>
      <c r="QW333" s="23"/>
      <c r="QX333" s="23"/>
      <c r="QY333" s="23"/>
      <c r="QZ333" s="23"/>
      <c r="RA333" s="23"/>
      <c r="RB333" s="23"/>
      <c r="RC333" s="23"/>
      <c r="RD333" s="23"/>
      <c r="RE333" s="23"/>
      <c r="RF333" s="23"/>
      <c r="RG333" s="23"/>
      <c r="RH333" s="23"/>
      <c r="RI333" s="23"/>
      <c r="RJ333" s="23"/>
      <c r="RK333" s="23"/>
      <c r="RL333" s="23"/>
      <c r="RM333" s="23"/>
      <c r="RN333" s="23"/>
      <c r="RO333" s="23"/>
      <c r="RP333" s="23"/>
      <c r="RQ333" s="23"/>
      <c r="RR333" s="23"/>
      <c r="RS333" s="23"/>
      <c r="RT333" s="23"/>
      <c r="RU333" s="23"/>
      <c r="RV333" s="23"/>
      <c r="RW333" s="23"/>
      <c r="RX333" s="23"/>
      <c r="RY333" s="23"/>
      <c r="RZ333" s="23"/>
      <c r="SA333" s="23"/>
      <c r="SB333" s="23"/>
      <c r="SC333" s="23"/>
      <c r="SD333" s="23"/>
      <c r="SE333" s="23"/>
      <c r="SF333" s="23"/>
      <c r="SG333" s="23"/>
      <c r="SH333" s="23"/>
      <c r="SI333" s="23"/>
      <c r="SJ333" s="23"/>
      <c r="SK333" s="23"/>
      <c r="SL333" s="23"/>
      <c r="SM333" s="23"/>
      <c r="SN333" s="23"/>
      <c r="SO333" s="23"/>
      <c r="SP333" s="23"/>
      <c r="SQ333" s="23"/>
      <c r="SR333" s="23"/>
      <c r="SS333" s="23"/>
      <c r="ST333" s="23"/>
      <c r="SU333" s="23"/>
      <c r="SV333" s="23"/>
      <c r="SW333" s="23"/>
      <c r="SX333" s="23"/>
      <c r="SY333" s="23"/>
      <c r="SZ333" s="23"/>
      <c r="TA333" s="23"/>
      <c r="TB333" s="23"/>
      <c r="TC333" s="23"/>
      <c r="TD333" s="23"/>
      <c r="TE333" s="23"/>
    </row>
    <row r="334" spans="1:525" s="22" customFormat="1" ht="21.75" customHeight="1" x14ac:dyDescent="0.25">
      <c r="A334" s="56" t="s">
        <v>219</v>
      </c>
      <c r="B334" s="84" t="str">
        <f>'дод 3'!A246</f>
        <v>8600</v>
      </c>
      <c r="C334" s="84" t="str">
        <f>'дод 3'!B246</f>
        <v>0170</v>
      </c>
      <c r="D334" s="57" t="str">
        <f>'дод 3'!C246</f>
        <v>Обслуговування місцевого боргу</v>
      </c>
      <c r="E334" s="139">
        <f t="shared" si="188"/>
        <v>3807000</v>
      </c>
      <c r="F334" s="139">
        <v>3807000</v>
      </c>
      <c r="G334" s="139"/>
      <c r="H334" s="139"/>
      <c r="I334" s="139"/>
      <c r="J334" s="139">
        <f t="shared" si="190"/>
        <v>0</v>
      </c>
      <c r="K334" s="139"/>
      <c r="L334" s="139"/>
      <c r="M334" s="139"/>
      <c r="N334" s="139"/>
      <c r="O334" s="139"/>
      <c r="P334" s="139">
        <f t="shared" si="189"/>
        <v>3807000</v>
      </c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  <c r="ID334" s="23"/>
      <c r="IE334" s="23"/>
      <c r="IF334" s="23"/>
      <c r="IG334" s="23"/>
      <c r="IH334" s="23"/>
      <c r="II334" s="23"/>
      <c r="IJ334" s="23"/>
      <c r="IK334" s="23"/>
      <c r="IL334" s="23"/>
      <c r="IM334" s="23"/>
      <c r="IN334" s="23"/>
      <c r="IO334" s="23"/>
      <c r="IP334" s="23"/>
      <c r="IQ334" s="23"/>
      <c r="IR334" s="23"/>
      <c r="IS334" s="23"/>
      <c r="IT334" s="23"/>
      <c r="IU334" s="23"/>
      <c r="IV334" s="23"/>
      <c r="IW334" s="23"/>
      <c r="IX334" s="23"/>
      <c r="IY334" s="23"/>
      <c r="IZ334" s="23"/>
      <c r="JA334" s="23"/>
      <c r="JB334" s="23"/>
      <c r="JC334" s="23"/>
      <c r="JD334" s="23"/>
      <c r="JE334" s="23"/>
      <c r="JF334" s="23"/>
      <c r="JG334" s="23"/>
      <c r="JH334" s="23"/>
      <c r="JI334" s="23"/>
      <c r="JJ334" s="23"/>
      <c r="JK334" s="23"/>
      <c r="JL334" s="23"/>
      <c r="JM334" s="23"/>
      <c r="JN334" s="23"/>
      <c r="JO334" s="23"/>
      <c r="JP334" s="23"/>
      <c r="JQ334" s="23"/>
      <c r="JR334" s="23"/>
      <c r="JS334" s="23"/>
      <c r="JT334" s="23"/>
      <c r="JU334" s="23"/>
      <c r="JV334" s="23"/>
      <c r="JW334" s="23"/>
      <c r="JX334" s="23"/>
      <c r="JY334" s="23"/>
      <c r="JZ334" s="23"/>
      <c r="KA334" s="23"/>
      <c r="KB334" s="23"/>
      <c r="KC334" s="23"/>
      <c r="KD334" s="23"/>
      <c r="KE334" s="23"/>
      <c r="KF334" s="23"/>
      <c r="KG334" s="23"/>
      <c r="KH334" s="23"/>
      <c r="KI334" s="23"/>
      <c r="KJ334" s="23"/>
      <c r="KK334" s="23"/>
      <c r="KL334" s="23"/>
      <c r="KM334" s="23"/>
      <c r="KN334" s="23"/>
      <c r="KO334" s="23"/>
      <c r="KP334" s="23"/>
      <c r="KQ334" s="23"/>
      <c r="KR334" s="23"/>
      <c r="KS334" s="23"/>
      <c r="KT334" s="23"/>
      <c r="KU334" s="23"/>
      <c r="KV334" s="23"/>
      <c r="KW334" s="23"/>
      <c r="KX334" s="23"/>
      <c r="KY334" s="23"/>
      <c r="KZ334" s="23"/>
      <c r="LA334" s="23"/>
      <c r="LB334" s="23"/>
      <c r="LC334" s="23"/>
      <c r="LD334" s="23"/>
      <c r="LE334" s="23"/>
      <c r="LF334" s="23"/>
      <c r="LG334" s="23"/>
      <c r="LH334" s="23"/>
      <c r="LI334" s="23"/>
      <c r="LJ334" s="23"/>
      <c r="LK334" s="23"/>
      <c r="LL334" s="23"/>
      <c r="LM334" s="23"/>
      <c r="LN334" s="23"/>
      <c r="LO334" s="23"/>
      <c r="LP334" s="23"/>
      <c r="LQ334" s="23"/>
      <c r="LR334" s="23"/>
      <c r="LS334" s="23"/>
      <c r="LT334" s="23"/>
      <c r="LU334" s="23"/>
      <c r="LV334" s="23"/>
      <c r="LW334" s="23"/>
      <c r="LX334" s="23"/>
      <c r="LY334" s="23"/>
      <c r="LZ334" s="23"/>
      <c r="MA334" s="23"/>
      <c r="MB334" s="23"/>
      <c r="MC334" s="23"/>
      <c r="MD334" s="23"/>
      <c r="ME334" s="23"/>
      <c r="MF334" s="23"/>
      <c r="MG334" s="23"/>
      <c r="MH334" s="23"/>
      <c r="MI334" s="23"/>
      <c r="MJ334" s="23"/>
      <c r="MK334" s="23"/>
      <c r="ML334" s="23"/>
      <c r="MM334" s="23"/>
      <c r="MN334" s="23"/>
      <c r="MO334" s="23"/>
      <c r="MP334" s="23"/>
      <c r="MQ334" s="23"/>
      <c r="MR334" s="23"/>
      <c r="MS334" s="23"/>
      <c r="MT334" s="23"/>
      <c r="MU334" s="23"/>
      <c r="MV334" s="23"/>
      <c r="MW334" s="23"/>
      <c r="MX334" s="23"/>
      <c r="MY334" s="23"/>
      <c r="MZ334" s="23"/>
      <c r="NA334" s="23"/>
      <c r="NB334" s="23"/>
      <c r="NC334" s="23"/>
      <c r="ND334" s="23"/>
      <c r="NE334" s="23"/>
      <c r="NF334" s="23"/>
      <c r="NG334" s="23"/>
      <c r="NH334" s="23"/>
      <c r="NI334" s="23"/>
      <c r="NJ334" s="23"/>
      <c r="NK334" s="23"/>
      <c r="NL334" s="23"/>
      <c r="NM334" s="23"/>
      <c r="NN334" s="23"/>
      <c r="NO334" s="23"/>
      <c r="NP334" s="23"/>
      <c r="NQ334" s="23"/>
      <c r="NR334" s="23"/>
      <c r="NS334" s="23"/>
      <c r="NT334" s="23"/>
      <c r="NU334" s="23"/>
      <c r="NV334" s="23"/>
      <c r="NW334" s="23"/>
      <c r="NX334" s="23"/>
      <c r="NY334" s="23"/>
      <c r="NZ334" s="23"/>
      <c r="OA334" s="23"/>
      <c r="OB334" s="23"/>
      <c r="OC334" s="23"/>
      <c r="OD334" s="23"/>
      <c r="OE334" s="23"/>
      <c r="OF334" s="23"/>
      <c r="OG334" s="23"/>
      <c r="OH334" s="23"/>
      <c r="OI334" s="23"/>
      <c r="OJ334" s="23"/>
      <c r="OK334" s="23"/>
      <c r="OL334" s="23"/>
      <c r="OM334" s="23"/>
      <c r="ON334" s="23"/>
      <c r="OO334" s="23"/>
      <c r="OP334" s="23"/>
      <c r="OQ334" s="23"/>
      <c r="OR334" s="23"/>
      <c r="OS334" s="23"/>
      <c r="OT334" s="23"/>
      <c r="OU334" s="23"/>
      <c r="OV334" s="23"/>
      <c r="OW334" s="23"/>
      <c r="OX334" s="23"/>
      <c r="OY334" s="23"/>
      <c r="OZ334" s="23"/>
      <c r="PA334" s="23"/>
      <c r="PB334" s="23"/>
      <c r="PC334" s="23"/>
      <c r="PD334" s="23"/>
      <c r="PE334" s="23"/>
      <c r="PF334" s="23"/>
      <c r="PG334" s="23"/>
      <c r="PH334" s="23"/>
      <c r="PI334" s="23"/>
      <c r="PJ334" s="23"/>
      <c r="PK334" s="23"/>
      <c r="PL334" s="23"/>
      <c r="PM334" s="23"/>
      <c r="PN334" s="23"/>
      <c r="PO334" s="23"/>
      <c r="PP334" s="23"/>
      <c r="PQ334" s="23"/>
      <c r="PR334" s="23"/>
      <c r="PS334" s="23"/>
      <c r="PT334" s="23"/>
      <c r="PU334" s="23"/>
      <c r="PV334" s="23"/>
      <c r="PW334" s="23"/>
      <c r="PX334" s="23"/>
      <c r="PY334" s="23"/>
      <c r="PZ334" s="23"/>
      <c r="QA334" s="23"/>
      <c r="QB334" s="23"/>
      <c r="QC334" s="23"/>
      <c r="QD334" s="23"/>
      <c r="QE334" s="23"/>
      <c r="QF334" s="23"/>
      <c r="QG334" s="23"/>
      <c r="QH334" s="23"/>
      <c r="QI334" s="23"/>
      <c r="QJ334" s="23"/>
      <c r="QK334" s="23"/>
      <c r="QL334" s="23"/>
      <c r="QM334" s="23"/>
      <c r="QN334" s="23"/>
      <c r="QO334" s="23"/>
      <c r="QP334" s="23"/>
      <c r="QQ334" s="23"/>
      <c r="QR334" s="23"/>
      <c r="QS334" s="23"/>
      <c r="QT334" s="23"/>
      <c r="QU334" s="23"/>
      <c r="QV334" s="23"/>
      <c r="QW334" s="23"/>
      <c r="QX334" s="23"/>
      <c r="QY334" s="23"/>
      <c r="QZ334" s="23"/>
      <c r="RA334" s="23"/>
      <c r="RB334" s="23"/>
      <c r="RC334" s="23"/>
      <c r="RD334" s="23"/>
      <c r="RE334" s="23"/>
      <c r="RF334" s="23"/>
      <c r="RG334" s="23"/>
      <c r="RH334" s="23"/>
      <c r="RI334" s="23"/>
      <c r="RJ334" s="23"/>
      <c r="RK334" s="23"/>
      <c r="RL334" s="23"/>
      <c r="RM334" s="23"/>
      <c r="RN334" s="23"/>
      <c r="RO334" s="23"/>
      <c r="RP334" s="23"/>
      <c r="RQ334" s="23"/>
      <c r="RR334" s="23"/>
      <c r="RS334" s="23"/>
      <c r="RT334" s="23"/>
      <c r="RU334" s="23"/>
      <c r="RV334" s="23"/>
      <c r="RW334" s="23"/>
      <c r="RX334" s="23"/>
      <c r="RY334" s="23"/>
      <c r="RZ334" s="23"/>
      <c r="SA334" s="23"/>
      <c r="SB334" s="23"/>
      <c r="SC334" s="23"/>
      <c r="SD334" s="23"/>
      <c r="SE334" s="23"/>
      <c r="SF334" s="23"/>
      <c r="SG334" s="23"/>
      <c r="SH334" s="23"/>
      <c r="SI334" s="23"/>
      <c r="SJ334" s="23"/>
      <c r="SK334" s="23"/>
      <c r="SL334" s="23"/>
      <c r="SM334" s="23"/>
      <c r="SN334" s="23"/>
      <c r="SO334" s="23"/>
      <c r="SP334" s="23"/>
      <c r="SQ334" s="23"/>
      <c r="SR334" s="23"/>
      <c r="SS334" s="23"/>
      <c r="ST334" s="23"/>
      <c r="SU334" s="23"/>
      <c r="SV334" s="23"/>
      <c r="SW334" s="23"/>
      <c r="SX334" s="23"/>
      <c r="SY334" s="23"/>
      <c r="SZ334" s="23"/>
      <c r="TA334" s="23"/>
      <c r="TB334" s="23"/>
      <c r="TC334" s="23"/>
      <c r="TD334" s="23"/>
      <c r="TE334" s="23"/>
    </row>
    <row r="335" spans="1:525" s="22" customFormat="1" ht="22.5" customHeight="1" x14ac:dyDescent="0.25">
      <c r="A335" s="56" t="s">
        <v>497</v>
      </c>
      <c r="B335" s="84">
        <v>8710</v>
      </c>
      <c r="C335" s="84" t="str">
        <f>'дод 3'!B248</f>
        <v>0133</v>
      </c>
      <c r="D335" s="57" t="str">
        <f>'дод 3'!C248</f>
        <v>Резервний фонд місцевого бюджету</v>
      </c>
      <c r="E335" s="139">
        <f>24835000+427846-239651-8000000-937638-800000+18335-364200+50000000-14200000</f>
        <v>50739692</v>
      </c>
      <c r="F335" s="139"/>
      <c r="G335" s="139"/>
      <c r="H335" s="139"/>
      <c r="I335" s="139"/>
      <c r="J335" s="139">
        <f t="shared" si="190"/>
        <v>0</v>
      </c>
      <c r="K335" s="139"/>
      <c r="L335" s="139"/>
      <c r="M335" s="139"/>
      <c r="N335" s="139"/>
      <c r="O335" s="139"/>
      <c r="P335" s="139">
        <f t="shared" si="189"/>
        <v>50739692</v>
      </c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  <c r="HP335" s="23"/>
      <c r="HQ335" s="23"/>
      <c r="HR335" s="23"/>
      <c r="HS335" s="23"/>
      <c r="HT335" s="23"/>
      <c r="HU335" s="23"/>
      <c r="HV335" s="23"/>
      <c r="HW335" s="23"/>
      <c r="HX335" s="23"/>
      <c r="HY335" s="23"/>
      <c r="HZ335" s="23"/>
      <c r="IA335" s="23"/>
      <c r="IB335" s="23"/>
      <c r="IC335" s="23"/>
      <c r="ID335" s="23"/>
      <c r="IE335" s="23"/>
      <c r="IF335" s="23"/>
      <c r="IG335" s="23"/>
      <c r="IH335" s="23"/>
      <c r="II335" s="23"/>
      <c r="IJ335" s="23"/>
      <c r="IK335" s="23"/>
      <c r="IL335" s="23"/>
      <c r="IM335" s="23"/>
      <c r="IN335" s="23"/>
      <c r="IO335" s="23"/>
      <c r="IP335" s="23"/>
      <c r="IQ335" s="23"/>
      <c r="IR335" s="23"/>
      <c r="IS335" s="23"/>
      <c r="IT335" s="23"/>
      <c r="IU335" s="23"/>
      <c r="IV335" s="23"/>
      <c r="IW335" s="23"/>
      <c r="IX335" s="23"/>
      <c r="IY335" s="23"/>
      <c r="IZ335" s="23"/>
      <c r="JA335" s="23"/>
      <c r="JB335" s="23"/>
      <c r="JC335" s="23"/>
      <c r="JD335" s="23"/>
      <c r="JE335" s="23"/>
      <c r="JF335" s="23"/>
      <c r="JG335" s="23"/>
      <c r="JH335" s="23"/>
      <c r="JI335" s="23"/>
      <c r="JJ335" s="23"/>
      <c r="JK335" s="23"/>
      <c r="JL335" s="23"/>
      <c r="JM335" s="23"/>
      <c r="JN335" s="23"/>
      <c r="JO335" s="23"/>
      <c r="JP335" s="23"/>
      <c r="JQ335" s="23"/>
      <c r="JR335" s="23"/>
      <c r="JS335" s="23"/>
      <c r="JT335" s="23"/>
      <c r="JU335" s="23"/>
      <c r="JV335" s="23"/>
      <c r="JW335" s="23"/>
      <c r="JX335" s="23"/>
      <c r="JY335" s="23"/>
      <c r="JZ335" s="23"/>
      <c r="KA335" s="23"/>
      <c r="KB335" s="23"/>
      <c r="KC335" s="23"/>
      <c r="KD335" s="23"/>
      <c r="KE335" s="23"/>
      <c r="KF335" s="23"/>
      <c r="KG335" s="23"/>
      <c r="KH335" s="23"/>
      <c r="KI335" s="23"/>
      <c r="KJ335" s="23"/>
      <c r="KK335" s="23"/>
      <c r="KL335" s="23"/>
      <c r="KM335" s="23"/>
      <c r="KN335" s="23"/>
      <c r="KO335" s="23"/>
      <c r="KP335" s="23"/>
      <c r="KQ335" s="23"/>
      <c r="KR335" s="23"/>
      <c r="KS335" s="23"/>
      <c r="KT335" s="23"/>
      <c r="KU335" s="23"/>
      <c r="KV335" s="23"/>
      <c r="KW335" s="23"/>
      <c r="KX335" s="23"/>
      <c r="KY335" s="23"/>
      <c r="KZ335" s="23"/>
      <c r="LA335" s="23"/>
      <c r="LB335" s="23"/>
      <c r="LC335" s="23"/>
      <c r="LD335" s="23"/>
      <c r="LE335" s="23"/>
      <c r="LF335" s="23"/>
      <c r="LG335" s="23"/>
      <c r="LH335" s="23"/>
      <c r="LI335" s="23"/>
      <c r="LJ335" s="23"/>
      <c r="LK335" s="23"/>
      <c r="LL335" s="23"/>
      <c r="LM335" s="23"/>
      <c r="LN335" s="23"/>
      <c r="LO335" s="23"/>
      <c r="LP335" s="23"/>
      <c r="LQ335" s="23"/>
      <c r="LR335" s="23"/>
      <c r="LS335" s="23"/>
      <c r="LT335" s="23"/>
      <c r="LU335" s="23"/>
      <c r="LV335" s="23"/>
      <c r="LW335" s="23"/>
      <c r="LX335" s="23"/>
      <c r="LY335" s="23"/>
      <c r="LZ335" s="23"/>
      <c r="MA335" s="23"/>
      <c r="MB335" s="23"/>
      <c r="MC335" s="23"/>
      <c r="MD335" s="23"/>
      <c r="ME335" s="23"/>
      <c r="MF335" s="23"/>
      <c r="MG335" s="23"/>
      <c r="MH335" s="23"/>
      <c r="MI335" s="23"/>
      <c r="MJ335" s="23"/>
      <c r="MK335" s="23"/>
      <c r="ML335" s="23"/>
      <c r="MM335" s="23"/>
      <c r="MN335" s="23"/>
      <c r="MO335" s="23"/>
      <c r="MP335" s="23"/>
      <c r="MQ335" s="23"/>
      <c r="MR335" s="23"/>
      <c r="MS335" s="23"/>
      <c r="MT335" s="23"/>
      <c r="MU335" s="23"/>
      <c r="MV335" s="23"/>
      <c r="MW335" s="23"/>
      <c r="MX335" s="23"/>
      <c r="MY335" s="23"/>
      <c r="MZ335" s="23"/>
      <c r="NA335" s="23"/>
      <c r="NB335" s="23"/>
      <c r="NC335" s="23"/>
      <c r="ND335" s="23"/>
      <c r="NE335" s="23"/>
      <c r="NF335" s="23"/>
      <c r="NG335" s="23"/>
      <c r="NH335" s="23"/>
      <c r="NI335" s="23"/>
      <c r="NJ335" s="23"/>
      <c r="NK335" s="23"/>
      <c r="NL335" s="23"/>
      <c r="NM335" s="23"/>
      <c r="NN335" s="23"/>
      <c r="NO335" s="23"/>
      <c r="NP335" s="23"/>
      <c r="NQ335" s="23"/>
      <c r="NR335" s="23"/>
      <c r="NS335" s="23"/>
      <c r="NT335" s="23"/>
      <c r="NU335" s="23"/>
      <c r="NV335" s="23"/>
      <c r="NW335" s="23"/>
      <c r="NX335" s="23"/>
      <c r="NY335" s="23"/>
      <c r="NZ335" s="23"/>
      <c r="OA335" s="23"/>
      <c r="OB335" s="23"/>
      <c r="OC335" s="23"/>
      <c r="OD335" s="23"/>
      <c r="OE335" s="23"/>
      <c r="OF335" s="23"/>
      <c r="OG335" s="23"/>
      <c r="OH335" s="23"/>
      <c r="OI335" s="23"/>
      <c r="OJ335" s="23"/>
      <c r="OK335" s="23"/>
      <c r="OL335" s="23"/>
      <c r="OM335" s="23"/>
      <c r="ON335" s="23"/>
      <c r="OO335" s="23"/>
      <c r="OP335" s="23"/>
      <c r="OQ335" s="23"/>
      <c r="OR335" s="23"/>
      <c r="OS335" s="23"/>
      <c r="OT335" s="23"/>
      <c r="OU335" s="23"/>
      <c r="OV335" s="23"/>
      <c r="OW335" s="23"/>
      <c r="OX335" s="23"/>
      <c r="OY335" s="23"/>
      <c r="OZ335" s="23"/>
      <c r="PA335" s="23"/>
      <c r="PB335" s="23"/>
      <c r="PC335" s="23"/>
      <c r="PD335" s="23"/>
      <c r="PE335" s="23"/>
      <c r="PF335" s="23"/>
      <c r="PG335" s="23"/>
      <c r="PH335" s="23"/>
      <c r="PI335" s="23"/>
      <c r="PJ335" s="23"/>
      <c r="PK335" s="23"/>
      <c r="PL335" s="23"/>
      <c r="PM335" s="23"/>
      <c r="PN335" s="23"/>
      <c r="PO335" s="23"/>
      <c r="PP335" s="23"/>
      <c r="PQ335" s="23"/>
      <c r="PR335" s="23"/>
      <c r="PS335" s="23"/>
      <c r="PT335" s="23"/>
      <c r="PU335" s="23"/>
      <c r="PV335" s="23"/>
      <c r="PW335" s="23"/>
      <c r="PX335" s="23"/>
      <c r="PY335" s="23"/>
      <c r="PZ335" s="23"/>
      <c r="QA335" s="23"/>
      <c r="QB335" s="23"/>
      <c r="QC335" s="23"/>
      <c r="QD335" s="23"/>
      <c r="QE335" s="23"/>
      <c r="QF335" s="23"/>
      <c r="QG335" s="23"/>
      <c r="QH335" s="23"/>
      <c r="QI335" s="23"/>
      <c r="QJ335" s="23"/>
      <c r="QK335" s="23"/>
      <c r="QL335" s="23"/>
      <c r="QM335" s="23"/>
      <c r="QN335" s="23"/>
      <c r="QO335" s="23"/>
      <c r="QP335" s="23"/>
      <c r="QQ335" s="23"/>
      <c r="QR335" s="23"/>
      <c r="QS335" s="23"/>
      <c r="QT335" s="23"/>
      <c r="QU335" s="23"/>
      <c r="QV335" s="23"/>
      <c r="QW335" s="23"/>
      <c r="QX335" s="23"/>
      <c r="QY335" s="23"/>
      <c r="QZ335" s="23"/>
      <c r="RA335" s="23"/>
      <c r="RB335" s="23"/>
      <c r="RC335" s="23"/>
      <c r="RD335" s="23"/>
      <c r="RE335" s="23"/>
      <c r="RF335" s="23"/>
      <c r="RG335" s="23"/>
      <c r="RH335" s="23"/>
      <c r="RI335" s="23"/>
      <c r="RJ335" s="23"/>
      <c r="RK335" s="23"/>
      <c r="RL335" s="23"/>
      <c r="RM335" s="23"/>
      <c r="RN335" s="23"/>
      <c r="RO335" s="23"/>
      <c r="RP335" s="23"/>
      <c r="RQ335" s="23"/>
      <c r="RR335" s="23"/>
      <c r="RS335" s="23"/>
      <c r="RT335" s="23"/>
      <c r="RU335" s="23"/>
      <c r="RV335" s="23"/>
      <c r="RW335" s="23"/>
      <c r="RX335" s="23"/>
      <c r="RY335" s="23"/>
      <c r="RZ335" s="23"/>
      <c r="SA335" s="23"/>
      <c r="SB335" s="23"/>
      <c r="SC335" s="23"/>
      <c r="SD335" s="23"/>
      <c r="SE335" s="23"/>
      <c r="SF335" s="23"/>
      <c r="SG335" s="23"/>
      <c r="SH335" s="23"/>
      <c r="SI335" s="23"/>
      <c r="SJ335" s="23"/>
      <c r="SK335" s="23"/>
      <c r="SL335" s="23"/>
      <c r="SM335" s="23"/>
      <c r="SN335" s="23"/>
      <c r="SO335" s="23"/>
      <c r="SP335" s="23"/>
      <c r="SQ335" s="23"/>
      <c r="SR335" s="23"/>
      <c r="SS335" s="23"/>
      <c r="ST335" s="23"/>
      <c r="SU335" s="23"/>
      <c r="SV335" s="23"/>
      <c r="SW335" s="23"/>
      <c r="SX335" s="23"/>
      <c r="SY335" s="23"/>
      <c r="SZ335" s="23"/>
      <c r="TA335" s="23"/>
      <c r="TB335" s="23"/>
      <c r="TC335" s="23"/>
      <c r="TD335" s="23"/>
      <c r="TE335" s="23"/>
    </row>
    <row r="336" spans="1:525" s="22" customFormat="1" ht="24.75" customHeight="1" x14ac:dyDescent="0.25">
      <c r="A336" s="56" t="s">
        <v>229</v>
      </c>
      <c r="B336" s="84" t="str">
        <f>'дод 3'!A253</f>
        <v>9110</v>
      </c>
      <c r="C336" s="84" t="str">
        <f>'дод 3'!B253</f>
        <v>0180</v>
      </c>
      <c r="D336" s="57" t="str">
        <f>'дод 3'!C253</f>
        <v>Реверсна дотація</v>
      </c>
      <c r="E336" s="139">
        <f t="shared" si="188"/>
        <v>171293100</v>
      </c>
      <c r="F336" s="139">
        <v>171293100</v>
      </c>
      <c r="G336" s="139"/>
      <c r="H336" s="139"/>
      <c r="I336" s="139"/>
      <c r="J336" s="139">
        <f t="shared" si="190"/>
        <v>0</v>
      </c>
      <c r="K336" s="139"/>
      <c r="L336" s="139"/>
      <c r="M336" s="139"/>
      <c r="N336" s="139"/>
      <c r="O336" s="139"/>
      <c r="P336" s="139">
        <f t="shared" si="189"/>
        <v>171293100</v>
      </c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  <c r="HQ336" s="23"/>
      <c r="HR336" s="23"/>
      <c r="HS336" s="23"/>
      <c r="HT336" s="23"/>
      <c r="HU336" s="23"/>
      <c r="HV336" s="23"/>
      <c r="HW336" s="23"/>
      <c r="HX336" s="23"/>
      <c r="HY336" s="23"/>
      <c r="HZ336" s="23"/>
      <c r="IA336" s="23"/>
      <c r="IB336" s="23"/>
      <c r="IC336" s="23"/>
      <c r="ID336" s="23"/>
      <c r="IE336" s="23"/>
      <c r="IF336" s="23"/>
      <c r="IG336" s="23"/>
      <c r="IH336" s="23"/>
      <c r="II336" s="23"/>
      <c r="IJ336" s="23"/>
      <c r="IK336" s="23"/>
      <c r="IL336" s="23"/>
      <c r="IM336" s="23"/>
      <c r="IN336" s="23"/>
      <c r="IO336" s="23"/>
      <c r="IP336" s="23"/>
      <c r="IQ336" s="23"/>
      <c r="IR336" s="23"/>
      <c r="IS336" s="23"/>
      <c r="IT336" s="23"/>
      <c r="IU336" s="23"/>
      <c r="IV336" s="23"/>
      <c r="IW336" s="23"/>
      <c r="IX336" s="23"/>
      <c r="IY336" s="23"/>
      <c r="IZ336" s="23"/>
      <c r="JA336" s="23"/>
      <c r="JB336" s="23"/>
      <c r="JC336" s="23"/>
      <c r="JD336" s="23"/>
      <c r="JE336" s="23"/>
      <c r="JF336" s="23"/>
      <c r="JG336" s="23"/>
      <c r="JH336" s="23"/>
      <c r="JI336" s="23"/>
      <c r="JJ336" s="23"/>
      <c r="JK336" s="23"/>
      <c r="JL336" s="23"/>
      <c r="JM336" s="23"/>
      <c r="JN336" s="23"/>
      <c r="JO336" s="23"/>
      <c r="JP336" s="23"/>
      <c r="JQ336" s="23"/>
      <c r="JR336" s="23"/>
      <c r="JS336" s="23"/>
      <c r="JT336" s="23"/>
      <c r="JU336" s="23"/>
      <c r="JV336" s="23"/>
      <c r="JW336" s="23"/>
      <c r="JX336" s="23"/>
      <c r="JY336" s="23"/>
      <c r="JZ336" s="23"/>
      <c r="KA336" s="23"/>
      <c r="KB336" s="23"/>
      <c r="KC336" s="23"/>
      <c r="KD336" s="23"/>
      <c r="KE336" s="23"/>
      <c r="KF336" s="23"/>
      <c r="KG336" s="23"/>
      <c r="KH336" s="23"/>
      <c r="KI336" s="23"/>
      <c r="KJ336" s="23"/>
      <c r="KK336" s="23"/>
      <c r="KL336" s="23"/>
      <c r="KM336" s="23"/>
      <c r="KN336" s="23"/>
      <c r="KO336" s="23"/>
      <c r="KP336" s="23"/>
      <c r="KQ336" s="23"/>
      <c r="KR336" s="23"/>
      <c r="KS336" s="23"/>
      <c r="KT336" s="23"/>
      <c r="KU336" s="23"/>
      <c r="KV336" s="23"/>
      <c r="KW336" s="23"/>
      <c r="KX336" s="23"/>
      <c r="KY336" s="23"/>
      <c r="KZ336" s="23"/>
      <c r="LA336" s="23"/>
      <c r="LB336" s="23"/>
      <c r="LC336" s="23"/>
      <c r="LD336" s="23"/>
      <c r="LE336" s="23"/>
      <c r="LF336" s="23"/>
      <c r="LG336" s="23"/>
      <c r="LH336" s="23"/>
      <c r="LI336" s="23"/>
      <c r="LJ336" s="23"/>
      <c r="LK336" s="23"/>
      <c r="LL336" s="23"/>
      <c r="LM336" s="23"/>
      <c r="LN336" s="23"/>
      <c r="LO336" s="23"/>
      <c r="LP336" s="23"/>
      <c r="LQ336" s="23"/>
      <c r="LR336" s="23"/>
      <c r="LS336" s="23"/>
      <c r="LT336" s="23"/>
      <c r="LU336" s="23"/>
      <c r="LV336" s="23"/>
      <c r="LW336" s="23"/>
      <c r="LX336" s="23"/>
      <c r="LY336" s="23"/>
      <c r="LZ336" s="23"/>
      <c r="MA336" s="23"/>
      <c r="MB336" s="23"/>
      <c r="MC336" s="23"/>
      <c r="MD336" s="23"/>
      <c r="ME336" s="23"/>
      <c r="MF336" s="23"/>
      <c r="MG336" s="23"/>
      <c r="MH336" s="23"/>
      <c r="MI336" s="23"/>
      <c r="MJ336" s="23"/>
      <c r="MK336" s="23"/>
      <c r="ML336" s="23"/>
      <c r="MM336" s="23"/>
      <c r="MN336" s="23"/>
      <c r="MO336" s="23"/>
      <c r="MP336" s="23"/>
      <c r="MQ336" s="23"/>
      <c r="MR336" s="23"/>
      <c r="MS336" s="23"/>
      <c r="MT336" s="23"/>
      <c r="MU336" s="23"/>
      <c r="MV336" s="23"/>
      <c r="MW336" s="23"/>
      <c r="MX336" s="23"/>
      <c r="MY336" s="23"/>
      <c r="MZ336" s="23"/>
      <c r="NA336" s="23"/>
      <c r="NB336" s="23"/>
      <c r="NC336" s="23"/>
      <c r="ND336" s="23"/>
      <c r="NE336" s="23"/>
      <c r="NF336" s="23"/>
      <c r="NG336" s="23"/>
      <c r="NH336" s="23"/>
      <c r="NI336" s="23"/>
      <c r="NJ336" s="23"/>
      <c r="NK336" s="23"/>
      <c r="NL336" s="23"/>
      <c r="NM336" s="23"/>
      <c r="NN336" s="23"/>
      <c r="NO336" s="23"/>
      <c r="NP336" s="23"/>
      <c r="NQ336" s="23"/>
      <c r="NR336" s="23"/>
      <c r="NS336" s="23"/>
      <c r="NT336" s="23"/>
      <c r="NU336" s="23"/>
      <c r="NV336" s="23"/>
      <c r="NW336" s="23"/>
      <c r="NX336" s="23"/>
      <c r="NY336" s="23"/>
      <c r="NZ336" s="23"/>
      <c r="OA336" s="23"/>
      <c r="OB336" s="23"/>
      <c r="OC336" s="23"/>
      <c r="OD336" s="23"/>
      <c r="OE336" s="23"/>
      <c r="OF336" s="23"/>
      <c r="OG336" s="23"/>
      <c r="OH336" s="23"/>
      <c r="OI336" s="23"/>
      <c r="OJ336" s="23"/>
      <c r="OK336" s="23"/>
      <c r="OL336" s="23"/>
      <c r="OM336" s="23"/>
      <c r="ON336" s="23"/>
      <c r="OO336" s="23"/>
      <c r="OP336" s="23"/>
      <c r="OQ336" s="23"/>
      <c r="OR336" s="23"/>
      <c r="OS336" s="23"/>
      <c r="OT336" s="23"/>
      <c r="OU336" s="23"/>
      <c r="OV336" s="23"/>
      <c r="OW336" s="23"/>
      <c r="OX336" s="23"/>
      <c r="OY336" s="23"/>
      <c r="OZ336" s="23"/>
      <c r="PA336" s="23"/>
      <c r="PB336" s="23"/>
      <c r="PC336" s="23"/>
      <c r="PD336" s="23"/>
      <c r="PE336" s="23"/>
      <c r="PF336" s="23"/>
      <c r="PG336" s="23"/>
      <c r="PH336" s="23"/>
      <c r="PI336" s="23"/>
      <c r="PJ336" s="23"/>
      <c r="PK336" s="23"/>
      <c r="PL336" s="23"/>
      <c r="PM336" s="23"/>
      <c r="PN336" s="23"/>
      <c r="PO336" s="23"/>
      <c r="PP336" s="23"/>
      <c r="PQ336" s="23"/>
      <c r="PR336" s="23"/>
      <c r="PS336" s="23"/>
      <c r="PT336" s="23"/>
      <c r="PU336" s="23"/>
      <c r="PV336" s="23"/>
      <c r="PW336" s="23"/>
      <c r="PX336" s="23"/>
      <c r="PY336" s="23"/>
      <c r="PZ336" s="23"/>
      <c r="QA336" s="23"/>
      <c r="QB336" s="23"/>
      <c r="QC336" s="23"/>
      <c r="QD336" s="23"/>
      <c r="QE336" s="23"/>
      <c r="QF336" s="23"/>
      <c r="QG336" s="23"/>
      <c r="QH336" s="23"/>
      <c r="QI336" s="23"/>
      <c r="QJ336" s="23"/>
      <c r="QK336" s="23"/>
      <c r="QL336" s="23"/>
      <c r="QM336" s="23"/>
      <c r="QN336" s="23"/>
      <c r="QO336" s="23"/>
      <c r="QP336" s="23"/>
      <c r="QQ336" s="23"/>
      <c r="QR336" s="23"/>
      <c r="QS336" s="23"/>
      <c r="QT336" s="23"/>
      <c r="QU336" s="23"/>
      <c r="QV336" s="23"/>
      <c r="QW336" s="23"/>
      <c r="QX336" s="23"/>
      <c r="QY336" s="23"/>
      <c r="QZ336" s="23"/>
      <c r="RA336" s="23"/>
      <c r="RB336" s="23"/>
      <c r="RC336" s="23"/>
      <c r="RD336" s="23"/>
      <c r="RE336" s="23"/>
      <c r="RF336" s="23"/>
      <c r="RG336" s="23"/>
      <c r="RH336" s="23"/>
      <c r="RI336" s="23"/>
      <c r="RJ336" s="23"/>
      <c r="RK336" s="23"/>
      <c r="RL336" s="23"/>
      <c r="RM336" s="23"/>
      <c r="RN336" s="23"/>
      <c r="RO336" s="23"/>
      <c r="RP336" s="23"/>
      <c r="RQ336" s="23"/>
      <c r="RR336" s="23"/>
      <c r="RS336" s="23"/>
      <c r="RT336" s="23"/>
      <c r="RU336" s="23"/>
      <c r="RV336" s="23"/>
      <c r="RW336" s="23"/>
      <c r="RX336" s="23"/>
      <c r="RY336" s="23"/>
      <c r="RZ336" s="23"/>
      <c r="SA336" s="23"/>
      <c r="SB336" s="23"/>
      <c r="SC336" s="23"/>
      <c r="SD336" s="23"/>
      <c r="SE336" s="23"/>
      <c r="SF336" s="23"/>
      <c r="SG336" s="23"/>
      <c r="SH336" s="23"/>
      <c r="SI336" s="23"/>
      <c r="SJ336" s="23"/>
      <c r="SK336" s="23"/>
      <c r="SL336" s="23"/>
      <c r="SM336" s="23"/>
      <c r="SN336" s="23"/>
      <c r="SO336" s="23"/>
      <c r="SP336" s="23"/>
      <c r="SQ336" s="23"/>
      <c r="SR336" s="23"/>
      <c r="SS336" s="23"/>
      <c r="ST336" s="23"/>
      <c r="SU336" s="23"/>
      <c r="SV336" s="23"/>
      <c r="SW336" s="23"/>
      <c r="SX336" s="23"/>
      <c r="SY336" s="23"/>
      <c r="SZ336" s="23"/>
      <c r="TA336" s="23"/>
      <c r="TB336" s="23"/>
      <c r="TC336" s="23"/>
      <c r="TD336" s="23"/>
      <c r="TE336" s="23"/>
    </row>
    <row r="337" spans="1:525" s="27" customFormat="1" ht="22.5" customHeight="1" x14ac:dyDescent="0.25">
      <c r="A337" s="100"/>
      <c r="B337" s="98"/>
      <c r="C337" s="171"/>
      <c r="D337" s="93" t="s">
        <v>402</v>
      </c>
      <c r="E337" s="137">
        <f t="shared" ref="E337:P337" si="191">E17+E66+E133+E169+E213+E222+E233+E279+E282+E308+E316+E319+E327</f>
        <v>2896788829</v>
      </c>
      <c r="F337" s="137">
        <f t="shared" si="191"/>
        <v>2600055417</v>
      </c>
      <c r="G337" s="137">
        <f t="shared" si="191"/>
        <v>1271954705</v>
      </c>
      <c r="H337" s="137">
        <f t="shared" si="191"/>
        <v>220062900</v>
      </c>
      <c r="I337" s="137">
        <f t="shared" si="191"/>
        <v>245993720</v>
      </c>
      <c r="J337" s="137">
        <f t="shared" si="191"/>
        <v>903226338</v>
      </c>
      <c r="K337" s="137">
        <f t="shared" si="191"/>
        <v>790014757</v>
      </c>
      <c r="L337" s="137">
        <f t="shared" si="191"/>
        <v>106562676</v>
      </c>
      <c r="M337" s="137">
        <f t="shared" si="191"/>
        <v>9868845</v>
      </c>
      <c r="N337" s="137">
        <f t="shared" si="191"/>
        <v>5509383</v>
      </c>
      <c r="O337" s="137">
        <f t="shared" si="191"/>
        <v>796663662</v>
      </c>
      <c r="P337" s="137">
        <f t="shared" si="191"/>
        <v>3800015167</v>
      </c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  <c r="IW337" s="32"/>
      <c r="IX337" s="32"/>
      <c r="IY337" s="32"/>
      <c r="IZ337" s="32"/>
      <c r="JA337" s="32"/>
      <c r="JB337" s="32"/>
      <c r="JC337" s="32"/>
      <c r="JD337" s="32"/>
      <c r="JE337" s="32"/>
      <c r="JF337" s="32"/>
      <c r="JG337" s="32"/>
      <c r="JH337" s="32"/>
      <c r="JI337" s="32"/>
      <c r="JJ337" s="32"/>
      <c r="JK337" s="32"/>
      <c r="JL337" s="32"/>
      <c r="JM337" s="32"/>
      <c r="JN337" s="32"/>
      <c r="JO337" s="32"/>
      <c r="JP337" s="32"/>
      <c r="JQ337" s="32"/>
      <c r="JR337" s="32"/>
      <c r="JS337" s="32"/>
      <c r="JT337" s="32"/>
      <c r="JU337" s="32"/>
      <c r="JV337" s="32"/>
      <c r="JW337" s="32"/>
      <c r="JX337" s="32"/>
      <c r="JY337" s="32"/>
      <c r="JZ337" s="32"/>
      <c r="KA337" s="32"/>
      <c r="KB337" s="32"/>
      <c r="KC337" s="32"/>
      <c r="KD337" s="32"/>
      <c r="KE337" s="32"/>
      <c r="KF337" s="32"/>
      <c r="KG337" s="32"/>
      <c r="KH337" s="32"/>
      <c r="KI337" s="32"/>
      <c r="KJ337" s="32"/>
      <c r="KK337" s="32"/>
      <c r="KL337" s="32"/>
      <c r="KM337" s="32"/>
      <c r="KN337" s="32"/>
      <c r="KO337" s="32"/>
      <c r="KP337" s="32"/>
      <c r="KQ337" s="32"/>
      <c r="KR337" s="32"/>
      <c r="KS337" s="32"/>
      <c r="KT337" s="32"/>
      <c r="KU337" s="32"/>
      <c r="KV337" s="32"/>
      <c r="KW337" s="32"/>
      <c r="KX337" s="32"/>
      <c r="KY337" s="32"/>
      <c r="KZ337" s="32"/>
      <c r="LA337" s="32"/>
      <c r="LB337" s="32"/>
      <c r="LC337" s="32"/>
      <c r="LD337" s="32"/>
      <c r="LE337" s="32"/>
      <c r="LF337" s="32"/>
      <c r="LG337" s="32"/>
      <c r="LH337" s="32"/>
      <c r="LI337" s="32"/>
      <c r="LJ337" s="32"/>
      <c r="LK337" s="32"/>
      <c r="LL337" s="32"/>
      <c r="LM337" s="32"/>
      <c r="LN337" s="32"/>
      <c r="LO337" s="32"/>
      <c r="LP337" s="32"/>
      <c r="LQ337" s="32"/>
      <c r="LR337" s="32"/>
      <c r="LS337" s="32"/>
      <c r="LT337" s="32"/>
      <c r="LU337" s="32"/>
      <c r="LV337" s="32"/>
      <c r="LW337" s="32"/>
      <c r="LX337" s="32"/>
      <c r="LY337" s="32"/>
      <c r="LZ337" s="32"/>
      <c r="MA337" s="32"/>
      <c r="MB337" s="32"/>
      <c r="MC337" s="32"/>
      <c r="MD337" s="32"/>
      <c r="ME337" s="32"/>
      <c r="MF337" s="32"/>
      <c r="MG337" s="32"/>
      <c r="MH337" s="32"/>
      <c r="MI337" s="32"/>
      <c r="MJ337" s="32"/>
      <c r="MK337" s="32"/>
      <c r="ML337" s="32"/>
      <c r="MM337" s="32"/>
      <c r="MN337" s="32"/>
      <c r="MO337" s="32"/>
      <c r="MP337" s="32"/>
      <c r="MQ337" s="32"/>
      <c r="MR337" s="32"/>
      <c r="MS337" s="32"/>
      <c r="MT337" s="32"/>
      <c r="MU337" s="32"/>
      <c r="MV337" s="32"/>
      <c r="MW337" s="32"/>
      <c r="MX337" s="32"/>
      <c r="MY337" s="32"/>
      <c r="MZ337" s="32"/>
      <c r="NA337" s="32"/>
      <c r="NB337" s="32"/>
      <c r="NC337" s="32"/>
      <c r="ND337" s="32"/>
      <c r="NE337" s="32"/>
      <c r="NF337" s="32"/>
      <c r="NG337" s="32"/>
      <c r="NH337" s="32"/>
      <c r="NI337" s="32"/>
      <c r="NJ337" s="32"/>
      <c r="NK337" s="32"/>
      <c r="NL337" s="32"/>
      <c r="NM337" s="32"/>
      <c r="NN337" s="32"/>
      <c r="NO337" s="32"/>
      <c r="NP337" s="32"/>
      <c r="NQ337" s="32"/>
      <c r="NR337" s="32"/>
      <c r="NS337" s="32"/>
      <c r="NT337" s="32"/>
      <c r="NU337" s="32"/>
      <c r="NV337" s="32"/>
      <c r="NW337" s="32"/>
      <c r="NX337" s="32"/>
      <c r="NY337" s="32"/>
      <c r="NZ337" s="32"/>
      <c r="OA337" s="32"/>
      <c r="OB337" s="32"/>
      <c r="OC337" s="32"/>
      <c r="OD337" s="32"/>
      <c r="OE337" s="32"/>
      <c r="OF337" s="32"/>
      <c r="OG337" s="32"/>
      <c r="OH337" s="32"/>
      <c r="OI337" s="32"/>
      <c r="OJ337" s="32"/>
      <c r="OK337" s="32"/>
      <c r="OL337" s="32"/>
      <c r="OM337" s="32"/>
      <c r="ON337" s="32"/>
      <c r="OO337" s="32"/>
      <c r="OP337" s="32"/>
      <c r="OQ337" s="32"/>
      <c r="OR337" s="32"/>
      <c r="OS337" s="32"/>
      <c r="OT337" s="32"/>
      <c r="OU337" s="32"/>
      <c r="OV337" s="32"/>
      <c r="OW337" s="32"/>
      <c r="OX337" s="32"/>
      <c r="OY337" s="32"/>
      <c r="OZ337" s="32"/>
      <c r="PA337" s="32"/>
      <c r="PB337" s="32"/>
      <c r="PC337" s="32"/>
      <c r="PD337" s="32"/>
      <c r="PE337" s="32"/>
      <c r="PF337" s="32"/>
      <c r="PG337" s="32"/>
      <c r="PH337" s="32"/>
      <c r="PI337" s="32"/>
      <c r="PJ337" s="32"/>
      <c r="PK337" s="32"/>
      <c r="PL337" s="32"/>
      <c r="PM337" s="32"/>
      <c r="PN337" s="32"/>
      <c r="PO337" s="32"/>
      <c r="PP337" s="32"/>
      <c r="PQ337" s="32"/>
      <c r="PR337" s="32"/>
      <c r="PS337" s="32"/>
      <c r="PT337" s="32"/>
      <c r="PU337" s="32"/>
      <c r="PV337" s="32"/>
      <c r="PW337" s="32"/>
      <c r="PX337" s="32"/>
      <c r="PY337" s="32"/>
      <c r="PZ337" s="32"/>
      <c r="QA337" s="32"/>
      <c r="QB337" s="32"/>
      <c r="QC337" s="32"/>
      <c r="QD337" s="32"/>
      <c r="QE337" s="32"/>
      <c r="QF337" s="32"/>
      <c r="QG337" s="32"/>
      <c r="QH337" s="32"/>
      <c r="QI337" s="32"/>
      <c r="QJ337" s="32"/>
      <c r="QK337" s="32"/>
      <c r="QL337" s="32"/>
      <c r="QM337" s="32"/>
      <c r="QN337" s="32"/>
      <c r="QO337" s="32"/>
      <c r="QP337" s="32"/>
      <c r="QQ337" s="32"/>
      <c r="QR337" s="32"/>
      <c r="QS337" s="32"/>
      <c r="QT337" s="32"/>
      <c r="QU337" s="32"/>
      <c r="QV337" s="32"/>
      <c r="QW337" s="32"/>
      <c r="QX337" s="32"/>
      <c r="QY337" s="32"/>
      <c r="QZ337" s="32"/>
      <c r="RA337" s="32"/>
      <c r="RB337" s="32"/>
      <c r="RC337" s="32"/>
      <c r="RD337" s="32"/>
      <c r="RE337" s="32"/>
      <c r="RF337" s="32"/>
      <c r="RG337" s="32"/>
      <c r="RH337" s="32"/>
      <c r="RI337" s="32"/>
      <c r="RJ337" s="32"/>
      <c r="RK337" s="32"/>
      <c r="RL337" s="32"/>
      <c r="RM337" s="32"/>
      <c r="RN337" s="32"/>
      <c r="RO337" s="32"/>
      <c r="RP337" s="32"/>
      <c r="RQ337" s="32"/>
      <c r="RR337" s="32"/>
      <c r="RS337" s="32"/>
      <c r="RT337" s="32"/>
      <c r="RU337" s="32"/>
      <c r="RV337" s="32"/>
      <c r="RW337" s="32"/>
      <c r="RX337" s="32"/>
      <c r="RY337" s="32"/>
      <c r="RZ337" s="32"/>
      <c r="SA337" s="32"/>
      <c r="SB337" s="32"/>
      <c r="SC337" s="32"/>
      <c r="SD337" s="32"/>
      <c r="SE337" s="32"/>
      <c r="SF337" s="32"/>
      <c r="SG337" s="32"/>
      <c r="SH337" s="32"/>
      <c r="SI337" s="32"/>
      <c r="SJ337" s="32"/>
      <c r="SK337" s="32"/>
      <c r="SL337" s="32"/>
      <c r="SM337" s="32"/>
      <c r="SN337" s="32"/>
      <c r="SO337" s="32"/>
      <c r="SP337" s="32"/>
      <c r="SQ337" s="32"/>
      <c r="SR337" s="32"/>
      <c r="SS337" s="32"/>
      <c r="ST337" s="32"/>
      <c r="SU337" s="32"/>
      <c r="SV337" s="32"/>
      <c r="SW337" s="32"/>
      <c r="SX337" s="32"/>
      <c r="SY337" s="32"/>
      <c r="SZ337" s="32"/>
      <c r="TA337" s="32"/>
      <c r="TB337" s="32"/>
      <c r="TC337" s="32"/>
      <c r="TD337" s="32"/>
      <c r="TE337" s="32"/>
    </row>
    <row r="338" spans="1:525" s="34" customFormat="1" ht="30.75" customHeight="1" x14ac:dyDescent="0.25">
      <c r="A338" s="101"/>
      <c r="B338" s="95"/>
      <c r="C338" s="87"/>
      <c r="D338" s="70" t="s">
        <v>395</v>
      </c>
      <c r="E338" s="138">
        <f t="shared" ref="E338:P338" si="192">E68+E75+E236+E237+E78+E139+E77+E284</f>
        <v>571788600</v>
      </c>
      <c r="F338" s="138">
        <f t="shared" si="192"/>
        <v>571788600</v>
      </c>
      <c r="G338" s="138">
        <f t="shared" si="192"/>
        <v>469390600</v>
      </c>
      <c r="H338" s="138">
        <f t="shared" si="192"/>
        <v>0</v>
      </c>
      <c r="I338" s="138">
        <f t="shared" si="192"/>
        <v>0</v>
      </c>
      <c r="J338" s="138">
        <f t="shared" si="192"/>
        <v>0</v>
      </c>
      <c r="K338" s="138">
        <f t="shared" si="192"/>
        <v>0</v>
      </c>
      <c r="L338" s="138">
        <f t="shared" si="192"/>
        <v>0</v>
      </c>
      <c r="M338" s="138">
        <f t="shared" si="192"/>
        <v>0</v>
      </c>
      <c r="N338" s="138">
        <f t="shared" si="192"/>
        <v>0</v>
      </c>
      <c r="O338" s="138">
        <f t="shared" si="192"/>
        <v>0</v>
      </c>
      <c r="P338" s="138">
        <f t="shared" si="192"/>
        <v>571788600</v>
      </c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  <c r="FV338" s="33"/>
      <c r="FW338" s="33"/>
      <c r="FX338" s="33"/>
      <c r="FY338" s="33"/>
      <c r="FZ338" s="33"/>
      <c r="GA338" s="33"/>
      <c r="GB338" s="33"/>
      <c r="GC338" s="33"/>
      <c r="GD338" s="33"/>
      <c r="GE338" s="33"/>
      <c r="GF338" s="33"/>
      <c r="GG338" s="33"/>
      <c r="GH338" s="33"/>
      <c r="GI338" s="33"/>
      <c r="GJ338" s="33"/>
      <c r="GK338" s="33"/>
      <c r="GL338" s="33"/>
      <c r="GM338" s="33"/>
      <c r="GN338" s="33"/>
      <c r="GO338" s="33"/>
      <c r="GP338" s="33"/>
      <c r="GQ338" s="33"/>
      <c r="GR338" s="33"/>
      <c r="GS338" s="33"/>
      <c r="GT338" s="33"/>
      <c r="GU338" s="33"/>
      <c r="GV338" s="33"/>
      <c r="GW338" s="33"/>
      <c r="GX338" s="33"/>
      <c r="GY338" s="33"/>
      <c r="GZ338" s="33"/>
      <c r="HA338" s="33"/>
      <c r="HB338" s="33"/>
      <c r="HC338" s="33"/>
      <c r="HD338" s="33"/>
      <c r="HE338" s="33"/>
      <c r="HF338" s="33"/>
      <c r="HG338" s="33"/>
      <c r="HH338" s="33"/>
      <c r="HI338" s="33"/>
      <c r="HJ338" s="33"/>
      <c r="HK338" s="33"/>
      <c r="HL338" s="33"/>
      <c r="HM338" s="33"/>
      <c r="HN338" s="33"/>
      <c r="HO338" s="33"/>
      <c r="HP338" s="33"/>
      <c r="HQ338" s="33"/>
      <c r="HR338" s="33"/>
      <c r="HS338" s="33"/>
      <c r="HT338" s="33"/>
      <c r="HU338" s="33"/>
      <c r="HV338" s="33"/>
      <c r="HW338" s="33"/>
      <c r="HX338" s="33"/>
      <c r="HY338" s="33"/>
      <c r="HZ338" s="33"/>
      <c r="IA338" s="33"/>
      <c r="IB338" s="33"/>
      <c r="IC338" s="33"/>
      <c r="ID338" s="33"/>
      <c r="IE338" s="33"/>
      <c r="IF338" s="33"/>
      <c r="IG338" s="33"/>
      <c r="IH338" s="33"/>
      <c r="II338" s="33"/>
      <c r="IJ338" s="33"/>
      <c r="IK338" s="33"/>
      <c r="IL338" s="33"/>
      <c r="IM338" s="33"/>
      <c r="IN338" s="33"/>
      <c r="IO338" s="33"/>
      <c r="IP338" s="33"/>
      <c r="IQ338" s="33"/>
      <c r="IR338" s="33"/>
      <c r="IS338" s="33"/>
      <c r="IT338" s="33"/>
      <c r="IU338" s="33"/>
      <c r="IV338" s="33"/>
      <c r="IW338" s="33"/>
      <c r="IX338" s="33"/>
      <c r="IY338" s="33"/>
      <c r="IZ338" s="33"/>
      <c r="JA338" s="33"/>
      <c r="JB338" s="33"/>
      <c r="JC338" s="33"/>
      <c r="JD338" s="33"/>
      <c r="JE338" s="33"/>
      <c r="JF338" s="33"/>
      <c r="JG338" s="33"/>
      <c r="JH338" s="33"/>
      <c r="JI338" s="33"/>
      <c r="JJ338" s="33"/>
      <c r="JK338" s="33"/>
      <c r="JL338" s="33"/>
      <c r="JM338" s="33"/>
      <c r="JN338" s="33"/>
      <c r="JO338" s="33"/>
      <c r="JP338" s="33"/>
      <c r="JQ338" s="33"/>
      <c r="JR338" s="33"/>
      <c r="JS338" s="33"/>
      <c r="JT338" s="33"/>
      <c r="JU338" s="33"/>
      <c r="JV338" s="33"/>
      <c r="JW338" s="33"/>
      <c r="JX338" s="33"/>
      <c r="JY338" s="33"/>
      <c r="JZ338" s="33"/>
      <c r="KA338" s="33"/>
      <c r="KB338" s="33"/>
      <c r="KC338" s="33"/>
      <c r="KD338" s="33"/>
      <c r="KE338" s="33"/>
      <c r="KF338" s="33"/>
      <c r="KG338" s="33"/>
      <c r="KH338" s="33"/>
      <c r="KI338" s="33"/>
      <c r="KJ338" s="33"/>
      <c r="KK338" s="33"/>
      <c r="KL338" s="33"/>
      <c r="KM338" s="33"/>
      <c r="KN338" s="33"/>
      <c r="KO338" s="33"/>
      <c r="KP338" s="33"/>
      <c r="KQ338" s="33"/>
      <c r="KR338" s="33"/>
      <c r="KS338" s="33"/>
      <c r="KT338" s="33"/>
      <c r="KU338" s="33"/>
      <c r="KV338" s="33"/>
      <c r="KW338" s="33"/>
      <c r="KX338" s="33"/>
      <c r="KY338" s="33"/>
      <c r="KZ338" s="33"/>
      <c r="LA338" s="33"/>
      <c r="LB338" s="33"/>
      <c r="LC338" s="33"/>
      <c r="LD338" s="33"/>
      <c r="LE338" s="33"/>
      <c r="LF338" s="33"/>
      <c r="LG338" s="33"/>
      <c r="LH338" s="33"/>
      <c r="LI338" s="33"/>
      <c r="LJ338" s="33"/>
      <c r="LK338" s="33"/>
      <c r="LL338" s="33"/>
      <c r="LM338" s="33"/>
      <c r="LN338" s="33"/>
      <c r="LO338" s="33"/>
      <c r="LP338" s="33"/>
      <c r="LQ338" s="33"/>
      <c r="LR338" s="33"/>
      <c r="LS338" s="33"/>
      <c r="LT338" s="33"/>
      <c r="LU338" s="33"/>
      <c r="LV338" s="33"/>
      <c r="LW338" s="33"/>
      <c r="LX338" s="33"/>
      <c r="LY338" s="33"/>
      <c r="LZ338" s="33"/>
      <c r="MA338" s="33"/>
      <c r="MB338" s="33"/>
      <c r="MC338" s="33"/>
      <c r="MD338" s="33"/>
      <c r="ME338" s="33"/>
      <c r="MF338" s="33"/>
      <c r="MG338" s="33"/>
      <c r="MH338" s="33"/>
      <c r="MI338" s="33"/>
      <c r="MJ338" s="33"/>
      <c r="MK338" s="33"/>
      <c r="ML338" s="33"/>
      <c r="MM338" s="33"/>
      <c r="MN338" s="33"/>
      <c r="MO338" s="33"/>
      <c r="MP338" s="33"/>
      <c r="MQ338" s="33"/>
      <c r="MR338" s="33"/>
      <c r="MS338" s="33"/>
      <c r="MT338" s="33"/>
      <c r="MU338" s="33"/>
      <c r="MV338" s="33"/>
      <c r="MW338" s="33"/>
      <c r="MX338" s="33"/>
      <c r="MY338" s="33"/>
      <c r="MZ338" s="33"/>
      <c r="NA338" s="33"/>
      <c r="NB338" s="33"/>
      <c r="NC338" s="33"/>
      <c r="ND338" s="33"/>
      <c r="NE338" s="33"/>
      <c r="NF338" s="33"/>
      <c r="NG338" s="33"/>
      <c r="NH338" s="33"/>
      <c r="NI338" s="33"/>
      <c r="NJ338" s="33"/>
      <c r="NK338" s="33"/>
      <c r="NL338" s="33"/>
      <c r="NM338" s="33"/>
      <c r="NN338" s="33"/>
      <c r="NO338" s="33"/>
      <c r="NP338" s="33"/>
      <c r="NQ338" s="33"/>
      <c r="NR338" s="33"/>
      <c r="NS338" s="33"/>
      <c r="NT338" s="33"/>
      <c r="NU338" s="33"/>
      <c r="NV338" s="33"/>
      <c r="NW338" s="33"/>
      <c r="NX338" s="33"/>
      <c r="NY338" s="33"/>
      <c r="NZ338" s="33"/>
      <c r="OA338" s="33"/>
      <c r="OB338" s="33"/>
      <c r="OC338" s="33"/>
      <c r="OD338" s="33"/>
      <c r="OE338" s="33"/>
      <c r="OF338" s="33"/>
      <c r="OG338" s="33"/>
      <c r="OH338" s="33"/>
      <c r="OI338" s="33"/>
      <c r="OJ338" s="33"/>
      <c r="OK338" s="33"/>
      <c r="OL338" s="33"/>
      <c r="OM338" s="33"/>
      <c r="ON338" s="33"/>
      <c r="OO338" s="33"/>
      <c r="OP338" s="33"/>
      <c r="OQ338" s="33"/>
      <c r="OR338" s="33"/>
      <c r="OS338" s="33"/>
      <c r="OT338" s="33"/>
      <c r="OU338" s="33"/>
      <c r="OV338" s="33"/>
      <c r="OW338" s="33"/>
      <c r="OX338" s="33"/>
      <c r="OY338" s="33"/>
      <c r="OZ338" s="33"/>
      <c r="PA338" s="33"/>
      <c r="PB338" s="33"/>
      <c r="PC338" s="33"/>
      <c r="PD338" s="33"/>
      <c r="PE338" s="33"/>
      <c r="PF338" s="33"/>
      <c r="PG338" s="33"/>
      <c r="PH338" s="33"/>
      <c r="PI338" s="33"/>
      <c r="PJ338" s="33"/>
      <c r="PK338" s="33"/>
      <c r="PL338" s="33"/>
      <c r="PM338" s="33"/>
      <c r="PN338" s="33"/>
      <c r="PO338" s="33"/>
      <c r="PP338" s="33"/>
      <c r="PQ338" s="33"/>
      <c r="PR338" s="33"/>
      <c r="PS338" s="33"/>
      <c r="PT338" s="33"/>
      <c r="PU338" s="33"/>
      <c r="PV338" s="33"/>
      <c r="PW338" s="33"/>
      <c r="PX338" s="33"/>
      <c r="PY338" s="33"/>
      <c r="PZ338" s="33"/>
      <c r="QA338" s="33"/>
      <c r="QB338" s="33"/>
      <c r="QC338" s="33"/>
      <c r="QD338" s="33"/>
      <c r="QE338" s="33"/>
      <c r="QF338" s="33"/>
      <c r="QG338" s="33"/>
      <c r="QH338" s="33"/>
      <c r="QI338" s="33"/>
      <c r="QJ338" s="33"/>
      <c r="QK338" s="33"/>
      <c r="QL338" s="33"/>
      <c r="QM338" s="33"/>
      <c r="QN338" s="33"/>
      <c r="QO338" s="33"/>
      <c r="QP338" s="33"/>
      <c r="QQ338" s="33"/>
      <c r="QR338" s="33"/>
      <c r="QS338" s="33"/>
      <c r="QT338" s="33"/>
      <c r="QU338" s="33"/>
      <c r="QV338" s="33"/>
      <c r="QW338" s="33"/>
      <c r="QX338" s="33"/>
      <c r="QY338" s="33"/>
      <c r="QZ338" s="33"/>
      <c r="RA338" s="33"/>
      <c r="RB338" s="33"/>
      <c r="RC338" s="33"/>
      <c r="RD338" s="33"/>
      <c r="RE338" s="33"/>
      <c r="RF338" s="33"/>
      <c r="RG338" s="33"/>
      <c r="RH338" s="33"/>
      <c r="RI338" s="33"/>
      <c r="RJ338" s="33"/>
      <c r="RK338" s="33"/>
      <c r="RL338" s="33"/>
      <c r="RM338" s="33"/>
      <c r="RN338" s="33"/>
      <c r="RO338" s="33"/>
      <c r="RP338" s="33"/>
      <c r="RQ338" s="33"/>
      <c r="RR338" s="33"/>
      <c r="RS338" s="33"/>
      <c r="RT338" s="33"/>
      <c r="RU338" s="33"/>
      <c r="RV338" s="33"/>
      <c r="RW338" s="33"/>
      <c r="RX338" s="33"/>
      <c r="RY338" s="33"/>
      <c r="RZ338" s="33"/>
      <c r="SA338" s="33"/>
      <c r="SB338" s="33"/>
      <c r="SC338" s="33"/>
      <c r="SD338" s="33"/>
      <c r="SE338" s="33"/>
      <c r="SF338" s="33"/>
      <c r="SG338" s="33"/>
      <c r="SH338" s="33"/>
      <c r="SI338" s="33"/>
      <c r="SJ338" s="33"/>
      <c r="SK338" s="33"/>
      <c r="SL338" s="33"/>
      <c r="SM338" s="33"/>
      <c r="SN338" s="33"/>
      <c r="SO338" s="33"/>
      <c r="SP338" s="33"/>
      <c r="SQ338" s="33"/>
      <c r="SR338" s="33"/>
      <c r="SS338" s="33"/>
      <c r="ST338" s="33"/>
      <c r="SU338" s="33"/>
      <c r="SV338" s="33"/>
      <c r="SW338" s="33"/>
      <c r="SX338" s="33"/>
      <c r="SY338" s="33"/>
      <c r="SZ338" s="33"/>
      <c r="TA338" s="33"/>
      <c r="TB338" s="33"/>
      <c r="TC338" s="33"/>
      <c r="TD338" s="33"/>
      <c r="TE338" s="33"/>
    </row>
    <row r="339" spans="1:525" s="34" customFormat="1" ht="33.75" customHeight="1" x14ac:dyDescent="0.25">
      <c r="A339" s="101"/>
      <c r="B339" s="95"/>
      <c r="C339" s="87"/>
      <c r="D339" s="70" t="s">
        <v>396</v>
      </c>
      <c r="E339" s="138">
        <f t="shared" ref="E339:P339" si="193">E19+E71+E73+E173+E70+E74+E138+E76+E79+E140+E174+E175+E239+E215+E235+E238</f>
        <v>6252730</v>
      </c>
      <c r="F339" s="138">
        <f t="shared" si="193"/>
        <v>6252730</v>
      </c>
      <c r="G339" s="138">
        <f t="shared" si="193"/>
        <v>2004561</v>
      </c>
      <c r="H339" s="138">
        <f t="shared" si="193"/>
        <v>0</v>
      </c>
      <c r="I339" s="138">
        <f t="shared" si="193"/>
        <v>0</v>
      </c>
      <c r="J339" s="138">
        <f t="shared" si="193"/>
        <v>0</v>
      </c>
      <c r="K339" s="138">
        <f t="shared" si="193"/>
        <v>0</v>
      </c>
      <c r="L339" s="138">
        <f t="shared" si="193"/>
        <v>0</v>
      </c>
      <c r="M339" s="138">
        <f t="shared" si="193"/>
        <v>0</v>
      </c>
      <c r="N339" s="138">
        <f t="shared" si="193"/>
        <v>0</v>
      </c>
      <c r="O339" s="138">
        <f t="shared" si="193"/>
        <v>0</v>
      </c>
      <c r="P339" s="138">
        <f t="shared" si="193"/>
        <v>6252730</v>
      </c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  <c r="HP339" s="33"/>
      <c r="HQ339" s="33"/>
      <c r="HR339" s="33"/>
      <c r="HS339" s="33"/>
      <c r="HT339" s="33"/>
      <c r="HU339" s="33"/>
      <c r="HV339" s="33"/>
      <c r="HW339" s="33"/>
      <c r="HX339" s="33"/>
      <c r="HY339" s="33"/>
      <c r="HZ339" s="33"/>
      <c r="IA339" s="33"/>
      <c r="IB339" s="33"/>
      <c r="IC339" s="33"/>
      <c r="ID339" s="33"/>
      <c r="IE339" s="33"/>
      <c r="IF339" s="33"/>
      <c r="IG339" s="33"/>
      <c r="IH339" s="33"/>
      <c r="II339" s="33"/>
      <c r="IJ339" s="33"/>
      <c r="IK339" s="33"/>
      <c r="IL339" s="33"/>
      <c r="IM339" s="33"/>
      <c r="IN339" s="33"/>
      <c r="IO339" s="33"/>
      <c r="IP339" s="33"/>
      <c r="IQ339" s="33"/>
      <c r="IR339" s="33"/>
      <c r="IS339" s="33"/>
      <c r="IT339" s="33"/>
      <c r="IU339" s="33"/>
      <c r="IV339" s="33"/>
      <c r="IW339" s="33"/>
      <c r="IX339" s="33"/>
      <c r="IY339" s="33"/>
      <c r="IZ339" s="33"/>
      <c r="JA339" s="33"/>
      <c r="JB339" s="33"/>
      <c r="JC339" s="33"/>
      <c r="JD339" s="33"/>
      <c r="JE339" s="33"/>
      <c r="JF339" s="33"/>
      <c r="JG339" s="33"/>
      <c r="JH339" s="33"/>
      <c r="JI339" s="33"/>
      <c r="JJ339" s="33"/>
      <c r="JK339" s="33"/>
      <c r="JL339" s="33"/>
      <c r="JM339" s="33"/>
      <c r="JN339" s="33"/>
      <c r="JO339" s="33"/>
      <c r="JP339" s="33"/>
      <c r="JQ339" s="33"/>
      <c r="JR339" s="33"/>
      <c r="JS339" s="33"/>
      <c r="JT339" s="33"/>
      <c r="JU339" s="33"/>
      <c r="JV339" s="33"/>
      <c r="JW339" s="33"/>
      <c r="JX339" s="33"/>
      <c r="JY339" s="33"/>
      <c r="JZ339" s="33"/>
      <c r="KA339" s="33"/>
      <c r="KB339" s="33"/>
      <c r="KC339" s="33"/>
      <c r="KD339" s="33"/>
      <c r="KE339" s="33"/>
      <c r="KF339" s="33"/>
      <c r="KG339" s="33"/>
      <c r="KH339" s="33"/>
      <c r="KI339" s="33"/>
      <c r="KJ339" s="33"/>
      <c r="KK339" s="33"/>
      <c r="KL339" s="33"/>
      <c r="KM339" s="33"/>
      <c r="KN339" s="33"/>
      <c r="KO339" s="33"/>
      <c r="KP339" s="33"/>
      <c r="KQ339" s="33"/>
      <c r="KR339" s="33"/>
      <c r="KS339" s="33"/>
      <c r="KT339" s="33"/>
      <c r="KU339" s="33"/>
      <c r="KV339" s="33"/>
      <c r="KW339" s="33"/>
      <c r="KX339" s="33"/>
      <c r="KY339" s="33"/>
      <c r="KZ339" s="33"/>
      <c r="LA339" s="33"/>
      <c r="LB339" s="33"/>
      <c r="LC339" s="33"/>
      <c r="LD339" s="33"/>
      <c r="LE339" s="33"/>
      <c r="LF339" s="33"/>
      <c r="LG339" s="33"/>
      <c r="LH339" s="33"/>
      <c r="LI339" s="33"/>
      <c r="LJ339" s="33"/>
      <c r="LK339" s="33"/>
      <c r="LL339" s="33"/>
      <c r="LM339" s="33"/>
      <c r="LN339" s="33"/>
      <c r="LO339" s="33"/>
      <c r="LP339" s="33"/>
      <c r="LQ339" s="33"/>
      <c r="LR339" s="33"/>
      <c r="LS339" s="33"/>
      <c r="LT339" s="33"/>
      <c r="LU339" s="33"/>
      <c r="LV339" s="33"/>
      <c r="LW339" s="33"/>
      <c r="LX339" s="33"/>
      <c r="LY339" s="33"/>
      <c r="LZ339" s="33"/>
      <c r="MA339" s="33"/>
      <c r="MB339" s="33"/>
      <c r="MC339" s="33"/>
      <c r="MD339" s="33"/>
      <c r="ME339" s="33"/>
      <c r="MF339" s="33"/>
      <c r="MG339" s="33"/>
      <c r="MH339" s="33"/>
      <c r="MI339" s="33"/>
      <c r="MJ339" s="33"/>
      <c r="MK339" s="33"/>
      <c r="ML339" s="33"/>
      <c r="MM339" s="33"/>
      <c r="MN339" s="33"/>
      <c r="MO339" s="33"/>
      <c r="MP339" s="33"/>
      <c r="MQ339" s="33"/>
      <c r="MR339" s="33"/>
      <c r="MS339" s="33"/>
      <c r="MT339" s="33"/>
      <c r="MU339" s="33"/>
      <c r="MV339" s="33"/>
      <c r="MW339" s="33"/>
      <c r="MX339" s="33"/>
      <c r="MY339" s="33"/>
      <c r="MZ339" s="33"/>
      <c r="NA339" s="33"/>
      <c r="NB339" s="33"/>
      <c r="NC339" s="33"/>
      <c r="ND339" s="33"/>
      <c r="NE339" s="33"/>
      <c r="NF339" s="33"/>
      <c r="NG339" s="33"/>
      <c r="NH339" s="33"/>
      <c r="NI339" s="33"/>
      <c r="NJ339" s="33"/>
      <c r="NK339" s="33"/>
      <c r="NL339" s="33"/>
      <c r="NM339" s="33"/>
      <c r="NN339" s="33"/>
      <c r="NO339" s="33"/>
      <c r="NP339" s="33"/>
      <c r="NQ339" s="33"/>
      <c r="NR339" s="33"/>
      <c r="NS339" s="33"/>
      <c r="NT339" s="33"/>
      <c r="NU339" s="33"/>
      <c r="NV339" s="33"/>
      <c r="NW339" s="33"/>
      <c r="NX339" s="33"/>
      <c r="NY339" s="33"/>
      <c r="NZ339" s="33"/>
      <c r="OA339" s="33"/>
      <c r="OB339" s="33"/>
      <c r="OC339" s="33"/>
      <c r="OD339" s="33"/>
      <c r="OE339" s="33"/>
      <c r="OF339" s="33"/>
      <c r="OG339" s="33"/>
      <c r="OH339" s="33"/>
      <c r="OI339" s="33"/>
      <c r="OJ339" s="33"/>
      <c r="OK339" s="33"/>
      <c r="OL339" s="33"/>
      <c r="OM339" s="33"/>
      <c r="ON339" s="33"/>
      <c r="OO339" s="33"/>
      <c r="OP339" s="33"/>
      <c r="OQ339" s="33"/>
      <c r="OR339" s="33"/>
      <c r="OS339" s="33"/>
      <c r="OT339" s="33"/>
      <c r="OU339" s="33"/>
      <c r="OV339" s="33"/>
      <c r="OW339" s="33"/>
      <c r="OX339" s="33"/>
      <c r="OY339" s="33"/>
      <c r="OZ339" s="33"/>
      <c r="PA339" s="33"/>
      <c r="PB339" s="33"/>
      <c r="PC339" s="33"/>
      <c r="PD339" s="33"/>
      <c r="PE339" s="33"/>
      <c r="PF339" s="33"/>
      <c r="PG339" s="33"/>
      <c r="PH339" s="33"/>
      <c r="PI339" s="33"/>
      <c r="PJ339" s="33"/>
      <c r="PK339" s="33"/>
      <c r="PL339" s="33"/>
      <c r="PM339" s="33"/>
      <c r="PN339" s="33"/>
      <c r="PO339" s="33"/>
      <c r="PP339" s="33"/>
      <c r="PQ339" s="33"/>
      <c r="PR339" s="33"/>
      <c r="PS339" s="33"/>
      <c r="PT339" s="33"/>
      <c r="PU339" s="33"/>
      <c r="PV339" s="33"/>
      <c r="PW339" s="33"/>
      <c r="PX339" s="33"/>
      <c r="PY339" s="33"/>
      <c r="PZ339" s="33"/>
      <c r="QA339" s="33"/>
      <c r="QB339" s="33"/>
      <c r="QC339" s="33"/>
      <c r="QD339" s="33"/>
      <c r="QE339" s="33"/>
      <c r="QF339" s="33"/>
      <c r="QG339" s="33"/>
      <c r="QH339" s="33"/>
      <c r="QI339" s="33"/>
      <c r="QJ339" s="33"/>
      <c r="QK339" s="33"/>
      <c r="QL339" s="33"/>
      <c r="QM339" s="33"/>
      <c r="QN339" s="33"/>
      <c r="QO339" s="33"/>
      <c r="QP339" s="33"/>
      <c r="QQ339" s="33"/>
      <c r="QR339" s="33"/>
      <c r="QS339" s="33"/>
      <c r="QT339" s="33"/>
      <c r="QU339" s="33"/>
      <c r="QV339" s="33"/>
      <c r="QW339" s="33"/>
      <c r="QX339" s="33"/>
      <c r="QY339" s="33"/>
      <c r="QZ339" s="33"/>
      <c r="RA339" s="33"/>
      <c r="RB339" s="33"/>
      <c r="RC339" s="33"/>
      <c r="RD339" s="33"/>
      <c r="RE339" s="33"/>
      <c r="RF339" s="33"/>
      <c r="RG339" s="33"/>
      <c r="RH339" s="33"/>
      <c r="RI339" s="33"/>
      <c r="RJ339" s="33"/>
      <c r="RK339" s="33"/>
      <c r="RL339" s="33"/>
      <c r="RM339" s="33"/>
      <c r="RN339" s="33"/>
      <c r="RO339" s="33"/>
      <c r="RP339" s="33"/>
      <c r="RQ339" s="33"/>
      <c r="RR339" s="33"/>
      <c r="RS339" s="33"/>
      <c r="RT339" s="33"/>
      <c r="RU339" s="33"/>
      <c r="RV339" s="33"/>
      <c r="RW339" s="33"/>
      <c r="RX339" s="33"/>
      <c r="RY339" s="33"/>
      <c r="RZ339" s="33"/>
      <c r="SA339" s="33"/>
      <c r="SB339" s="33"/>
      <c r="SC339" s="33"/>
      <c r="SD339" s="33"/>
      <c r="SE339" s="33"/>
      <c r="SF339" s="33"/>
      <c r="SG339" s="33"/>
      <c r="SH339" s="33"/>
      <c r="SI339" s="33"/>
      <c r="SJ339" s="33"/>
      <c r="SK339" s="33"/>
      <c r="SL339" s="33"/>
      <c r="SM339" s="33"/>
      <c r="SN339" s="33"/>
      <c r="SO339" s="33"/>
      <c r="SP339" s="33"/>
      <c r="SQ339" s="33"/>
      <c r="SR339" s="33"/>
      <c r="SS339" s="33"/>
      <c r="ST339" s="33"/>
      <c r="SU339" s="33"/>
      <c r="SV339" s="33"/>
      <c r="SW339" s="33"/>
      <c r="SX339" s="33"/>
      <c r="SY339" s="33"/>
      <c r="SZ339" s="33"/>
      <c r="TA339" s="33"/>
      <c r="TB339" s="33"/>
      <c r="TC339" s="33"/>
      <c r="TD339" s="33"/>
      <c r="TE339" s="33"/>
    </row>
    <row r="340" spans="1:525" s="34" customFormat="1" ht="26.25" customHeight="1" x14ac:dyDescent="0.25">
      <c r="A340" s="86"/>
      <c r="B340" s="95"/>
      <c r="C340" s="95"/>
      <c r="D340" s="75" t="s">
        <v>413</v>
      </c>
      <c r="E340" s="138">
        <f t="shared" ref="E340:P340" si="194">E141+E285+E240</f>
        <v>0</v>
      </c>
      <c r="F340" s="138">
        <f t="shared" si="194"/>
        <v>0</v>
      </c>
      <c r="G340" s="138">
        <f t="shared" si="194"/>
        <v>0</v>
      </c>
      <c r="H340" s="138">
        <f t="shared" si="194"/>
        <v>0</v>
      </c>
      <c r="I340" s="138">
        <f t="shared" si="194"/>
        <v>0</v>
      </c>
      <c r="J340" s="138">
        <f t="shared" si="194"/>
        <v>180458652</v>
      </c>
      <c r="K340" s="138">
        <f t="shared" si="194"/>
        <v>180458652</v>
      </c>
      <c r="L340" s="138">
        <f t="shared" si="194"/>
        <v>0</v>
      </c>
      <c r="M340" s="138">
        <f t="shared" si="194"/>
        <v>0</v>
      </c>
      <c r="N340" s="138">
        <f t="shared" si="194"/>
        <v>0</v>
      </c>
      <c r="O340" s="138">
        <f t="shared" si="194"/>
        <v>180458652</v>
      </c>
      <c r="P340" s="138">
        <f t="shared" si="194"/>
        <v>180458652</v>
      </c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  <c r="HP340" s="33"/>
      <c r="HQ340" s="33"/>
      <c r="HR340" s="33"/>
      <c r="HS340" s="33"/>
      <c r="HT340" s="33"/>
      <c r="HU340" s="33"/>
      <c r="HV340" s="33"/>
      <c r="HW340" s="33"/>
      <c r="HX340" s="33"/>
      <c r="HY340" s="33"/>
      <c r="HZ340" s="33"/>
      <c r="IA340" s="33"/>
      <c r="IB340" s="33"/>
      <c r="IC340" s="33"/>
      <c r="ID340" s="33"/>
      <c r="IE340" s="33"/>
      <c r="IF340" s="33"/>
      <c r="IG340" s="33"/>
      <c r="IH340" s="33"/>
      <c r="II340" s="33"/>
      <c r="IJ340" s="33"/>
      <c r="IK340" s="33"/>
      <c r="IL340" s="33"/>
      <c r="IM340" s="33"/>
      <c r="IN340" s="33"/>
      <c r="IO340" s="33"/>
      <c r="IP340" s="33"/>
      <c r="IQ340" s="33"/>
      <c r="IR340" s="33"/>
      <c r="IS340" s="33"/>
      <c r="IT340" s="33"/>
      <c r="IU340" s="33"/>
      <c r="IV340" s="33"/>
      <c r="IW340" s="33"/>
      <c r="IX340" s="33"/>
      <c r="IY340" s="33"/>
      <c r="IZ340" s="33"/>
      <c r="JA340" s="33"/>
      <c r="JB340" s="33"/>
      <c r="JC340" s="33"/>
      <c r="JD340" s="33"/>
      <c r="JE340" s="33"/>
      <c r="JF340" s="33"/>
      <c r="JG340" s="33"/>
      <c r="JH340" s="33"/>
      <c r="JI340" s="33"/>
      <c r="JJ340" s="33"/>
      <c r="JK340" s="33"/>
      <c r="JL340" s="33"/>
      <c r="JM340" s="33"/>
      <c r="JN340" s="33"/>
      <c r="JO340" s="33"/>
      <c r="JP340" s="33"/>
      <c r="JQ340" s="33"/>
      <c r="JR340" s="33"/>
      <c r="JS340" s="33"/>
      <c r="JT340" s="33"/>
      <c r="JU340" s="33"/>
      <c r="JV340" s="33"/>
      <c r="JW340" s="33"/>
      <c r="JX340" s="33"/>
      <c r="JY340" s="33"/>
      <c r="JZ340" s="33"/>
      <c r="KA340" s="33"/>
      <c r="KB340" s="33"/>
      <c r="KC340" s="33"/>
      <c r="KD340" s="33"/>
      <c r="KE340" s="33"/>
      <c r="KF340" s="33"/>
      <c r="KG340" s="33"/>
      <c r="KH340" s="33"/>
      <c r="KI340" s="33"/>
      <c r="KJ340" s="33"/>
      <c r="KK340" s="33"/>
      <c r="KL340" s="33"/>
      <c r="KM340" s="33"/>
      <c r="KN340" s="33"/>
      <c r="KO340" s="33"/>
      <c r="KP340" s="33"/>
      <c r="KQ340" s="33"/>
      <c r="KR340" s="33"/>
      <c r="KS340" s="33"/>
      <c r="KT340" s="33"/>
      <c r="KU340" s="33"/>
      <c r="KV340" s="33"/>
      <c r="KW340" s="33"/>
      <c r="KX340" s="33"/>
      <c r="KY340" s="33"/>
      <c r="KZ340" s="33"/>
      <c r="LA340" s="33"/>
      <c r="LB340" s="33"/>
      <c r="LC340" s="33"/>
      <c r="LD340" s="33"/>
      <c r="LE340" s="33"/>
      <c r="LF340" s="33"/>
      <c r="LG340" s="33"/>
      <c r="LH340" s="33"/>
      <c r="LI340" s="33"/>
      <c r="LJ340" s="33"/>
      <c r="LK340" s="33"/>
      <c r="LL340" s="33"/>
      <c r="LM340" s="33"/>
      <c r="LN340" s="33"/>
      <c r="LO340" s="33"/>
      <c r="LP340" s="33"/>
      <c r="LQ340" s="33"/>
      <c r="LR340" s="33"/>
      <c r="LS340" s="33"/>
      <c r="LT340" s="33"/>
      <c r="LU340" s="33"/>
      <c r="LV340" s="33"/>
      <c r="LW340" s="33"/>
      <c r="LX340" s="33"/>
      <c r="LY340" s="33"/>
      <c r="LZ340" s="33"/>
      <c r="MA340" s="33"/>
      <c r="MB340" s="33"/>
      <c r="MC340" s="33"/>
      <c r="MD340" s="33"/>
      <c r="ME340" s="33"/>
      <c r="MF340" s="33"/>
      <c r="MG340" s="33"/>
      <c r="MH340" s="33"/>
      <c r="MI340" s="33"/>
      <c r="MJ340" s="33"/>
      <c r="MK340" s="33"/>
      <c r="ML340" s="33"/>
      <c r="MM340" s="33"/>
      <c r="MN340" s="33"/>
      <c r="MO340" s="33"/>
      <c r="MP340" s="33"/>
      <c r="MQ340" s="33"/>
      <c r="MR340" s="33"/>
      <c r="MS340" s="33"/>
      <c r="MT340" s="33"/>
      <c r="MU340" s="33"/>
      <c r="MV340" s="33"/>
      <c r="MW340" s="33"/>
      <c r="MX340" s="33"/>
      <c r="MY340" s="33"/>
      <c r="MZ340" s="33"/>
      <c r="NA340" s="33"/>
      <c r="NB340" s="33"/>
      <c r="NC340" s="33"/>
      <c r="ND340" s="33"/>
      <c r="NE340" s="33"/>
      <c r="NF340" s="33"/>
      <c r="NG340" s="33"/>
      <c r="NH340" s="33"/>
      <c r="NI340" s="33"/>
      <c r="NJ340" s="33"/>
      <c r="NK340" s="33"/>
      <c r="NL340" s="33"/>
      <c r="NM340" s="33"/>
      <c r="NN340" s="33"/>
      <c r="NO340" s="33"/>
      <c r="NP340" s="33"/>
      <c r="NQ340" s="33"/>
      <c r="NR340" s="33"/>
      <c r="NS340" s="33"/>
      <c r="NT340" s="33"/>
      <c r="NU340" s="33"/>
      <c r="NV340" s="33"/>
      <c r="NW340" s="33"/>
      <c r="NX340" s="33"/>
      <c r="NY340" s="33"/>
      <c r="NZ340" s="33"/>
      <c r="OA340" s="33"/>
      <c r="OB340" s="33"/>
      <c r="OC340" s="33"/>
      <c r="OD340" s="33"/>
      <c r="OE340" s="33"/>
      <c r="OF340" s="33"/>
      <c r="OG340" s="33"/>
      <c r="OH340" s="33"/>
      <c r="OI340" s="33"/>
      <c r="OJ340" s="33"/>
      <c r="OK340" s="33"/>
      <c r="OL340" s="33"/>
      <c r="OM340" s="33"/>
      <c r="ON340" s="33"/>
      <c r="OO340" s="33"/>
      <c r="OP340" s="33"/>
      <c r="OQ340" s="33"/>
      <c r="OR340" s="33"/>
      <c r="OS340" s="33"/>
      <c r="OT340" s="33"/>
      <c r="OU340" s="33"/>
      <c r="OV340" s="33"/>
      <c r="OW340" s="33"/>
      <c r="OX340" s="33"/>
      <c r="OY340" s="33"/>
      <c r="OZ340" s="33"/>
      <c r="PA340" s="33"/>
      <c r="PB340" s="33"/>
      <c r="PC340" s="33"/>
      <c r="PD340" s="33"/>
      <c r="PE340" s="33"/>
      <c r="PF340" s="33"/>
      <c r="PG340" s="33"/>
      <c r="PH340" s="33"/>
      <c r="PI340" s="33"/>
      <c r="PJ340" s="33"/>
      <c r="PK340" s="33"/>
      <c r="PL340" s="33"/>
      <c r="PM340" s="33"/>
      <c r="PN340" s="33"/>
      <c r="PO340" s="33"/>
      <c r="PP340" s="33"/>
      <c r="PQ340" s="33"/>
      <c r="PR340" s="33"/>
      <c r="PS340" s="33"/>
      <c r="PT340" s="33"/>
      <c r="PU340" s="33"/>
      <c r="PV340" s="33"/>
      <c r="PW340" s="33"/>
      <c r="PX340" s="33"/>
      <c r="PY340" s="33"/>
      <c r="PZ340" s="33"/>
      <c r="QA340" s="33"/>
      <c r="QB340" s="33"/>
      <c r="QC340" s="33"/>
      <c r="QD340" s="33"/>
      <c r="QE340" s="33"/>
      <c r="QF340" s="33"/>
      <c r="QG340" s="33"/>
      <c r="QH340" s="33"/>
      <c r="QI340" s="33"/>
      <c r="QJ340" s="33"/>
      <c r="QK340" s="33"/>
      <c r="QL340" s="33"/>
      <c r="QM340" s="33"/>
      <c r="QN340" s="33"/>
      <c r="QO340" s="33"/>
      <c r="QP340" s="33"/>
      <c r="QQ340" s="33"/>
      <c r="QR340" s="33"/>
      <c r="QS340" s="33"/>
      <c r="QT340" s="33"/>
      <c r="QU340" s="33"/>
      <c r="QV340" s="33"/>
      <c r="QW340" s="33"/>
      <c r="QX340" s="33"/>
      <c r="QY340" s="33"/>
      <c r="QZ340" s="33"/>
      <c r="RA340" s="33"/>
      <c r="RB340" s="33"/>
      <c r="RC340" s="33"/>
      <c r="RD340" s="33"/>
      <c r="RE340" s="33"/>
      <c r="RF340" s="33"/>
      <c r="RG340" s="33"/>
      <c r="RH340" s="33"/>
      <c r="RI340" s="33"/>
      <c r="RJ340" s="33"/>
      <c r="RK340" s="33"/>
      <c r="RL340" s="33"/>
      <c r="RM340" s="33"/>
      <c r="RN340" s="33"/>
      <c r="RO340" s="33"/>
      <c r="RP340" s="33"/>
      <c r="RQ340" s="33"/>
      <c r="RR340" s="33"/>
      <c r="RS340" s="33"/>
      <c r="RT340" s="33"/>
      <c r="RU340" s="33"/>
      <c r="RV340" s="33"/>
      <c r="RW340" s="33"/>
      <c r="RX340" s="33"/>
      <c r="RY340" s="33"/>
      <c r="RZ340" s="33"/>
      <c r="SA340" s="33"/>
      <c r="SB340" s="33"/>
      <c r="SC340" s="33"/>
      <c r="SD340" s="33"/>
      <c r="SE340" s="33"/>
      <c r="SF340" s="33"/>
      <c r="SG340" s="33"/>
      <c r="SH340" s="33"/>
      <c r="SI340" s="33"/>
      <c r="SJ340" s="33"/>
      <c r="SK340" s="33"/>
      <c r="SL340" s="33"/>
      <c r="SM340" s="33"/>
      <c r="SN340" s="33"/>
      <c r="SO340" s="33"/>
      <c r="SP340" s="33"/>
      <c r="SQ340" s="33"/>
      <c r="SR340" s="33"/>
      <c r="SS340" s="33"/>
      <c r="ST340" s="33"/>
      <c r="SU340" s="33"/>
      <c r="SV340" s="33"/>
      <c r="SW340" s="33"/>
      <c r="SX340" s="33"/>
      <c r="SY340" s="33"/>
      <c r="SZ340" s="33"/>
      <c r="TA340" s="33"/>
      <c r="TB340" s="33"/>
      <c r="TC340" s="33"/>
      <c r="TD340" s="33"/>
      <c r="TE340" s="33"/>
    </row>
    <row r="341" spans="1:525" s="27" customFormat="1" ht="30" customHeight="1" x14ac:dyDescent="0.25">
      <c r="A341" s="61"/>
      <c r="B341" s="62"/>
      <c r="C341" s="63"/>
      <c r="D341" s="64"/>
      <c r="E341" s="148"/>
      <c r="F341" s="149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  <c r="IU341" s="32"/>
      <c r="IV341" s="32"/>
      <c r="IW341" s="32"/>
      <c r="IX341" s="32"/>
      <c r="IY341" s="32"/>
      <c r="IZ341" s="32"/>
      <c r="JA341" s="32"/>
      <c r="JB341" s="32"/>
      <c r="JC341" s="32"/>
      <c r="JD341" s="32"/>
      <c r="JE341" s="32"/>
      <c r="JF341" s="32"/>
      <c r="JG341" s="32"/>
      <c r="JH341" s="32"/>
      <c r="JI341" s="32"/>
      <c r="JJ341" s="32"/>
      <c r="JK341" s="32"/>
      <c r="JL341" s="32"/>
      <c r="JM341" s="32"/>
      <c r="JN341" s="32"/>
      <c r="JO341" s="32"/>
      <c r="JP341" s="32"/>
      <c r="JQ341" s="32"/>
      <c r="JR341" s="32"/>
      <c r="JS341" s="32"/>
      <c r="JT341" s="32"/>
      <c r="JU341" s="32"/>
      <c r="JV341" s="32"/>
      <c r="JW341" s="32"/>
      <c r="JX341" s="32"/>
      <c r="JY341" s="32"/>
      <c r="JZ341" s="32"/>
      <c r="KA341" s="32"/>
      <c r="KB341" s="32"/>
      <c r="KC341" s="32"/>
      <c r="KD341" s="32"/>
      <c r="KE341" s="32"/>
      <c r="KF341" s="32"/>
      <c r="KG341" s="32"/>
      <c r="KH341" s="32"/>
      <c r="KI341" s="32"/>
      <c r="KJ341" s="32"/>
      <c r="KK341" s="32"/>
      <c r="KL341" s="32"/>
      <c r="KM341" s="32"/>
      <c r="KN341" s="32"/>
      <c r="KO341" s="32"/>
      <c r="KP341" s="32"/>
      <c r="KQ341" s="32"/>
      <c r="KR341" s="32"/>
      <c r="KS341" s="32"/>
      <c r="KT341" s="32"/>
      <c r="KU341" s="32"/>
      <c r="KV341" s="32"/>
      <c r="KW341" s="32"/>
      <c r="KX341" s="32"/>
      <c r="KY341" s="32"/>
      <c r="KZ341" s="32"/>
      <c r="LA341" s="32"/>
      <c r="LB341" s="32"/>
      <c r="LC341" s="32"/>
      <c r="LD341" s="32"/>
      <c r="LE341" s="32"/>
      <c r="LF341" s="32"/>
      <c r="LG341" s="32"/>
      <c r="LH341" s="32"/>
      <c r="LI341" s="32"/>
      <c r="LJ341" s="32"/>
      <c r="LK341" s="32"/>
      <c r="LL341" s="32"/>
      <c r="LM341" s="32"/>
      <c r="LN341" s="32"/>
      <c r="LO341" s="32"/>
      <c r="LP341" s="32"/>
      <c r="LQ341" s="32"/>
      <c r="LR341" s="32"/>
      <c r="LS341" s="32"/>
      <c r="LT341" s="32"/>
      <c r="LU341" s="32"/>
      <c r="LV341" s="32"/>
      <c r="LW341" s="32"/>
      <c r="LX341" s="32"/>
      <c r="LY341" s="32"/>
      <c r="LZ341" s="32"/>
      <c r="MA341" s="32"/>
      <c r="MB341" s="32"/>
      <c r="MC341" s="32"/>
      <c r="MD341" s="32"/>
      <c r="ME341" s="32"/>
      <c r="MF341" s="32"/>
      <c r="MG341" s="32"/>
      <c r="MH341" s="32"/>
      <c r="MI341" s="32"/>
      <c r="MJ341" s="32"/>
      <c r="MK341" s="32"/>
      <c r="ML341" s="32"/>
      <c r="MM341" s="32"/>
      <c r="MN341" s="32"/>
      <c r="MO341" s="32"/>
      <c r="MP341" s="32"/>
      <c r="MQ341" s="32"/>
      <c r="MR341" s="32"/>
      <c r="MS341" s="32"/>
      <c r="MT341" s="32"/>
      <c r="MU341" s="32"/>
      <c r="MV341" s="32"/>
      <c r="MW341" s="32"/>
      <c r="MX341" s="32"/>
      <c r="MY341" s="32"/>
      <c r="MZ341" s="32"/>
      <c r="NA341" s="32"/>
      <c r="NB341" s="32"/>
      <c r="NC341" s="32"/>
      <c r="ND341" s="32"/>
      <c r="NE341" s="32"/>
      <c r="NF341" s="32"/>
      <c r="NG341" s="32"/>
      <c r="NH341" s="32"/>
      <c r="NI341" s="32"/>
      <c r="NJ341" s="32"/>
      <c r="NK341" s="32"/>
      <c r="NL341" s="32"/>
      <c r="NM341" s="32"/>
      <c r="NN341" s="32"/>
      <c r="NO341" s="32"/>
      <c r="NP341" s="32"/>
      <c r="NQ341" s="32"/>
      <c r="NR341" s="32"/>
      <c r="NS341" s="32"/>
      <c r="NT341" s="32"/>
      <c r="NU341" s="32"/>
      <c r="NV341" s="32"/>
      <c r="NW341" s="32"/>
      <c r="NX341" s="32"/>
      <c r="NY341" s="32"/>
      <c r="NZ341" s="32"/>
      <c r="OA341" s="32"/>
      <c r="OB341" s="32"/>
      <c r="OC341" s="32"/>
      <c r="OD341" s="32"/>
      <c r="OE341" s="32"/>
      <c r="OF341" s="32"/>
      <c r="OG341" s="32"/>
      <c r="OH341" s="32"/>
      <c r="OI341" s="32"/>
      <c r="OJ341" s="32"/>
      <c r="OK341" s="32"/>
      <c r="OL341" s="32"/>
      <c r="OM341" s="32"/>
      <c r="ON341" s="32"/>
      <c r="OO341" s="32"/>
      <c r="OP341" s="32"/>
      <c r="OQ341" s="32"/>
      <c r="OR341" s="32"/>
      <c r="OS341" s="32"/>
      <c r="OT341" s="32"/>
      <c r="OU341" s="32"/>
      <c r="OV341" s="32"/>
      <c r="OW341" s="32"/>
      <c r="OX341" s="32"/>
      <c r="OY341" s="32"/>
      <c r="OZ341" s="32"/>
      <c r="PA341" s="32"/>
      <c r="PB341" s="32"/>
      <c r="PC341" s="32"/>
      <c r="PD341" s="32"/>
      <c r="PE341" s="32"/>
      <c r="PF341" s="32"/>
      <c r="PG341" s="32"/>
      <c r="PH341" s="32"/>
      <c r="PI341" s="32"/>
      <c r="PJ341" s="32"/>
      <c r="PK341" s="32"/>
      <c r="PL341" s="32"/>
      <c r="PM341" s="32"/>
      <c r="PN341" s="32"/>
      <c r="PO341" s="32"/>
      <c r="PP341" s="32"/>
      <c r="PQ341" s="32"/>
      <c r="PR341" s="32"/>
      <c r="PS341" s="32"/>
      <c r="PT341" s="32"/>
      <c r="PU341" s="32"/>
      <c r="PV341" s="32"/>
      <c r="PW341" s="32"/>
      <c r="PX341" s="32"/>
      <c r="PY341" s="32"/>
      <c r="PZ341" s="32"/>
      <c r="QA341" s="32"/>
      <c r="QB341" s="32"/>
      <c r="QC341" s="32"/>
      <c r="QD341" s="32"/>
      <c r="QE341" s="32"/>
      <c r="QF341" s="32"/>
      <c r="QG341" s="32"/>
      <c r="QH341" s="32"/>
      <c r="QI341" s="32"/>
      <c r="QJ341" s="32"/>
      <c r="QK341" s="32"/>
      <c r="QL341" s="32"/>
      <c r="QM341" s="32"/>
      <c r="QN341" s="32"/>
      <c r="QO341" s="32"/>
      <c r="QP341" s="32"/>
      <c r="QQ341" s="32"/>
      <c r="QR341" s="32"/>
      <c r="QS341" s="32"/>
      <c r="QT341" s="32"/>
      <c r="QU341" s="32"/>
      <c r="QV341" s="32"/>
      <c r="QW341" s="32"/>
      <c r="QX341" s="32"/>
      <c r="QY341" s="32"/>
      <c r="QZ341" s="32"/>
      <c r="RA341" s="32"/>
      <c r="RB341" s="32"/>
      <c r="RC341" s="32"/>
      <c r="RD341" s="32"/>
      <c r="RE341" s="32"/>
      <c r="RF341" s="32"/>
      <c r="RG341" s="32"/>
      <c r="RH341" s="32"/>
      <c r="RI341" s="32"/>
      <c r="RJ341" s="32"/>
      <c r="RK341" s="32"/>
      <c r="RL341" s="32"/>
      <c r="RM341" s="32"/>
      <c r="RN341" s="32"/>
      <c r="RO341" s="32"/>
      <c r="RP341" s="32"/>
      <c r="RQ341" s="32"/>
      <c r="RR341" s="32"/>
      <c r="RS341" s="32"/>
      <c r="RT341" s="32"/>
      <c r="RU341" s="32"/>
      <c r="RV341" s="32"/>
      <c r="RW341" s="32"/>
      <c r="RX341" s="32"/>
      <c r="RY341" s="32"/>
      <c r="RZ341" s="32"/>
      <c r="SA341" s="32"/>
      <c r="SB341" s="32"/>
      <c r="SC341" s="32"/>
      <c r="SD341" s="32"/>
      <c r="SE341" s="32"/>
      <c r="SF341" s="32"/>
      <c r="SG341" s="32"/>
      <c r="SH341" s="32"/>
      <c r="SI341" s="32"/>
      <c r="SJ341" s="32"/>
      <c r="SK341" s="32"/>
      <c r="SL341" s="32"/>
      <c r="SM341" s="32"/>
      <c r="SN341" s="32"/>
      <c r="SO341" s="32"/>
      <c r="SP341" s="32"/>
      <c r="SQ341" s="32"/>
      <c r="SR341" s="32"/>
      <c r="SS341" s="32"/>
      <c r="ST341" s="32"/>
      <c r="SU341" s="32"/>
      <c r="SV341" s="32"/>
      <c r="SW341" s="32"/>
      <c r="SX341" s="32"/>
      <c r="SY341" s="32"/>
      <c r="SZ341" s="32"/>
      <c r="TA341" s="32"/>
      <c r="TB341" s="32"/>
      <c r="TC341" s="32"/>
      <c r="TD341" s="32"/>
      <c r="TE341" s="32"/>
    </row>
    <row r="342" spans="1:525" s="27" customFormat="1" ht="32.25" hidden="1" customHeight="1" x14ac:dyDescent="0.25">
      <c r="A342" s="61"/>
      <c r="B342" s="62"/>
      <c r="C342" s="63"/>
      <c r="D342" s="64"/>
      <c r="E342" s="148">
        <f>E340-'дод 3'!D266</f>
        <v>0</v>
      </c>
      <c r="F342" s="148">
        <f>F340-'дод 3'!E266</f>
        <v>0</v>
      </c>
      <c r="G342" s="148">
        <f>G340-'дод 3'!F266</f>
        <v>0</v>
      </c>
      <c r="H342" s="148">
        <f>H340-'дод 3'!G266</f>
        <v>0</v>
      </c>
      <c r="I342" s="148">
        <f>I340-'дод 3'!H266</f>
        <v>0</v>
      </c>
      <c r="J342" s="148">
        <f>J340-'дод 3'!I266</f>
        <v>0</v>
      </c>
      <c r="K342" s="148">
        <f>K340-'дод 3'!J266</f>
        <v>0</v>
      </c>
      <c r="L342" s="148">
        <f>L340-'дод 3'!K266</f>
        <v>0</v>
      </c>
      <c r="M342" s="148">
        <f>M340-'дод 3'!L266</f>
        <v>0</v>
      </c>
      <c r="N342" s="148">
        <f>N340-'дод 3'!M266</f>
        <v>0</v>
      </c>
      <c r="O342" s="148">
        <f>O340-'дод 3'!N266</f>
        <v>0</v>
      </c>
      <c r="P342" s="148">
        <f>P340-'дод 3'!O266</f>
        <v>0</v>
      </c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  <c r="IQ342" s="32"/>
      <c r="IR342" s="32"/>
      <c r="IS342" s="32"/>
      <c r="IT342" s="32"/>
      <c r="IU342" s="32"/>
      <c r="IV342" s="32"/>
      <c r="IW342" s="32"/>
      <c r="IX342" s="32"/>
      <c r="IY342" s="32"/>
      <c r="IZ342" s="32"/>
      <c r="JA342" s="32"/>
      <c r="JB342" s="32"/>
      <c r="JC342" s="32"/>
      <c r="JD342" s="32"/>
      <c r="JE342" s="32"/>
      <c r="JF342" s="32"/>
      <c r="JG342" s="32"/>
      <c r="JH342" s="32"/>
      <c r="JI342" s="32"/>
      <c r="JJ342" s="32"/>
      <c r="JK342" s="32"/>
      <c r="JL342" s="32"/>
      <c r="JM342" s="32"/>
      <c r="JN342" s="32"/>
      <c r="JO342" s="32"/>
      <c r="JP342" s="32"/>
      <c r="JQ342" s="32"/>
      <c r="JR342" s="32"/>
      <c r="JS342" s="32"/>
      <c r="JT342" s="32"/>
      <c r="JU342" s="32"/>
      <c r="JV342" s="32"/>
      <c r="JW342" s="32"/>
      <c r="JX342" s="32"/>
      <c r="JY342" s="32"/>
      <c r="JZ342" s="32"/>
      <c r="KA342" s="32"/>
      <c r="KB342" s="32"/>
      <c r="KC342" s="32"/>
      <c r="KD342" s="32"/>
      <c r="KE342" s="32"/>
      <c r="KF342" s="32"/>
      <c r="KG342" s="32"/>
      <c r="KH342" s="32"/>
      <c r="KI342" s="32"/>
      <c r="KJ342" s="32"/>
      <c r="KK342" s="32"/>
      <c r="KL342" s="32"/>
      <c r="KM342" s="32"/>
      <c r="KN342" s="32"/>
      <c r="KO342" s="32"/>
      <c r="KP342" s="32"/>
      <c r="KQ342" s="32"/>
      <c r="KR342" s="32"/>
      <c r="KS342" s="32"/>
      <c r="KT342" s="32"/>
      <c r="KU342" s="32"/>
      <c r="KV342" s="32"/>
      <c r="KW342" s="32"/>
      <c r="KX342" s="32"/>
      <c r="KY342" s="32"/>
      <c r="KZ342" s="32"/>
      <c r="LA342" s="32"/>
      <c r="LB342" s="32"/>
      <c r="LC342" s="32"/>
      <c r="LD342" s="32"/>
      <c r="LE342" s="32"/>
      <c r="LF342" s="32"/>
      <c r="LG342" s="32"/>
      <c r="LH342" s="32"/>
      <c r="LI342" s="32"/>
      <c r="LJ342" s="32"/>
      <c r="LK342" s="32"/>
      <c r="LL342" s="32"/>
      <c r="LM342" s="32"/>
      <c r="LN342" s="32"/>
      <c r="LO342" s="32"/>
      <c r="LP342" s="32"/>
      <c r="LQ342" s="32"/>
      <c r="LR342" s="32"/>
      <c r="LS342" s="32"/>
      <c r="LT342" s="32"/>
      <c r="LU342" s="32"/>
      <c r="LV342" s="32"/>
      <c r="LW342" s="32"/>
      <c r="LX342" s="32"/>
      <c r="LY342" s="32"/>
      <c r="LZ342" s="32"/>
      <c r="MA342" s="32"/>
      <c r="MB342" s="32"/>
      <c r="MC342" s="32"/>
      <c r="MD342" s="32"/>
      <c r="ME342" s="32"/>
      <c r="MF342" s="32"/>
      <c r="MG342" s="32"/>
      <c r="MH342" s="32"/>
      <c r="MI342" s="32"/>
      <c r="MJ342" s="32"/>
      <c r="MK342" s="32"/>
      <c r="ML342" s="32"/>
      <c r="MM342" s="32"/>
      <c r="MN342" s="32"/>
      <c r="MO342" s="32"/>
      <c r="MP342" s="32"/>
      <c r="MQ342" s="32"/>
      <c r="MR342" s="32"/>
      <c r="MS342" s="32"/>
      <c r="MT342" s="32"/>
      <c r="MU342" s="32"/>
      <c r="MV342" s="32"/>
      <c r="MW342" s="32"/>
      <c r="MX342" s="32"/>
      <c r="MY342" s="32"/>
      <c r="MZ342" s="32"/>
      <c r="NA342" s="32"/>
      <c r="NB342" s="32"/>
      <c r="NC342" s="32"/>
      <c r="ND342" s="32"/>
      <c r="NE342" s="32"/>
      <c r="NF342" s="32"/>
      <c r="NG342" s="32"/>
      <c r="NH342" s="32"/>
      <c r="NI342" s="32"/>
      <c r="NJ342" s="32"/>
      <c r="NK342" s="32"/>
      <c r="NL342" s="32"/>
      <c r="NM342" s="32"/>
      <c r="NN342" s="32"/>
      <c r="NO342" s="32"/>
      <c r="NP342" s="32"/>
      <c r="NQ342" s="32"/>
      <c r="NR342" s="32"/>
      <c r="NS342" s="32"/>
      <c r="NT342" s="32"/>
      <c r="NU342" s="32"/>
      <c r="NV342" s="32"/>
      <c r="NW342" s="32"/>
      <c r="NX342" s="32"/>
      <c r="NY342" s="32"/>
      <c r="NZ342" s="32"/>
      <c r="OA342" s="32"/>
      <c r="OB342" s="32"/>
      <c r="OC342" s="32"/>
      <c r="OD342" s="32"/>
      <c r="OE342" s="32"/>
      <c r="OF342" s="32"/>
      <c r="OG342" s="32"/>
      <c r="OH342" s="32"/>
      <c r="OI342" s="32"/>
      <c r="OJ342" s="32"/>
      <c r="OK342" s="32"/>
      <c r="OL342" s="32"/>
      <c r="OM342" s="32"/>
      <c r="ON342" s="32"/>
      <c r="OO342" s="32"/>
      <c r="OP342" s="32"/>
      <c r="OQ342" s="32"/>
      <c r="OR342" s="32"/>
      <c r="OS342" s="32"/>
      <c r="OT342" s="32"/>
      <c r="OU342" s="32"/>
      <c r="OV342" s="32"/>
      <c r="OW342" s="32"/>
      <c r="OX342" s="32"/>
      <c r="OY342" s="32"/>
      <c r="OZ342" s="32"/>
      <c r="PA342" s="32"/>
      <c r="PB342" s="32"/>
      <c r="PC342" s="32"/>
      <c r="PD342" s="32"/>
      <c r="PE342" s="32"/>
      <c r="PF342" s="32"/>
      <c r="PG342" s="32"/>
      <c r="PH342" s="32"/>
      <c r="PI342" s="32"/>
      <c r="PJ342" s="32"/>
      <c r="PK342" s="32"/>
      <c r="PL342" s="32"/>
      <c r="PM342" s="32"/>
      <c r="PN342" s="32"/>
      <c r="PO342" s="32"/>
      <c r="PP342" s="32"/>
      <c r="PQ342" s="32"/>
      <c r="PR342" s="32"/>
      <c r="PS342" s="32"/>
      <c r="PT342" s="32"/>
      <c r="PU342" s="32"/>
      <c r="PV342" s="32"/>
      <c r="PW342" s="32"/>
      <c r="PX342" s="32"/>
      <c r="PY342" s="32"/>
      <c r="PZ342" s="32"/>
      <c r="QA342" s="32"/>
      <c r="QB342" s="32"/>
      <c r="QC342" s="32"/>
      <c r="QD342" s="32"/>
      <c r="QE342" s="32"/>
      <c r="QF342" s="32"/>
      <c r="QG342" s="32"/>
      <c r="QH342" s="32"/>
      <c r="QI342" s="32"/>
      <c r="QJ342" s="32"/>
      <c r="QK342" s="32"/>
      <c r="QL342" s="32"/>
      <c r="QM342" s="32"/>
      <c r="QN342" s="32"/>
      <c r="QO342" s="32"/>
      <c r="QP342" s="32"/>
      <c r="QQ342" s="32"/>
      <c r="QR342" s="32"/>
      <c r="QS342" s="32"/>
      <c r="QT342" s="32"/>
      <c r="QU342" s="32"/>
      <c r="QV342" s="32"/>
      <c r="QW342" s="32"/>
      <c r="QX342" s="32"/>
      <c r="QY342" s="32"/>
      <c r="QZ342" s="32"/>
      <c r="RA342" s="32"/>
      <c r="RB342" s="32"/>
      <c r="RC342" s="32"/>
      <c r="RD342" s="32"/>
      <c r="RE342" s="32"/>
      <c r="RF342" s="32"/>
      <c r="RG342" s="32"/>
      <c r="RH342" s="32"/>
      <c r="RI342" s="32"/>
      <c r="RJ342" s="32"/>
      <c r="RK342" s="32"/>
      <c r="RL342" s="32"/>
      <c r="RM342" s="32"/>
      <c r="RN342" s="32"/>
      <c r="RO342" s="32"/>
      <c r="RP342" s="32"/>
      <c r="RQ342" s="32"/>
      <c r="RR342" s="32"/>
      <c r="RS342" s="32"/>
      <c r="RT342" s="32"/>
      <c r="RU342" s="32"/>
      <c r="RV342" s="32"/>
      <c r="RW342" s="32"/>
      <c r="RX342" s="32"/>
      <c r="RY342" s="32"/>
      <c r="RZ342" s="32"/>
      <c r="SA342" s="32"/>
      <c r="SB342" s="32"/>
      <c r="SC342" s="32"/>
      <c r="SD342" s="32"/>
      <c r="SE342" s="32"/>
      <c r="SF342" s="32"/>
      <c r="SG342" s="32"/>
      <c r="SH342" s="32"/>
      <c r="SI342" s="32"/>
      <c r="SJ342" s="32"/>
      <c r="SK342" s="32"/>
      <c r="SL342" s="32"/>
      <c r="SM342" s="32"/>
      <c r="SN342" s="32"/>
      <c r="SO342" s="32"/>
      <c r="SP342" s="32"/>
      <c r="SQ342" s="32"/>
      <c r="SR342" s="32"/>
      <c r="SS342" s="32"/>
      <c r="ST342" s="32"/>
      <c r="SU342" s="32"/>
      <c r="SV342" s="32"/>
      <c r="SW342" s="32"/>
      <c r="SX342" s="32"/>
      <c r="SY342" s="32"/>
      <c r="SZ342" s="32"/>
      <c r="TA342" s="32"/>
      <c r="TB342" s="32"/>
      <c r="TC342" s="32"/>
      <c r="TD342" s="32"/>
      <c r="TE342" s="32"/>
    </row>
    <row r="343" spans="1:525" s="27" customFormat="1" ht="30" hidden="1" customHeight="1" x14ac:dyDescent="0.25">
      <c r="A343" s="61"/>
      <c r="B343" s="62"/>
      <c r="C343" s="63"/>
      <c r="D343" s="64"/>
      <c r="E343" s="148"/>
      <c r="F343" s="149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  <c r="IO343" s="32"/>
      <c r="IP343" s="32"/>
      <c r="IQ343" s="32"/>
      <c r="IR343" s="32"/>
      <c r="IS343" s="32"/>
      <c r="IT343" s="32"/>
      <c r="IU343" s="32"/>
      <c r="IV343" s="32"/>
      <c r="IW343" s="32"/>
      <c r="IX343" s="32"/>
      <c r="IY343" s="32"/>
      <c r="IZ343" s="32"/>
      <c r="JA343" s="32"/>
      <c r="JB343" s="32"/>
      <c r="JC343" s="32"/>
      <c r="JD343" s="32"/>
      <c r="JE343" s="32"/>
      <c r="JF343" s="32"/>
      <c r="JG343" s="32"/>
      <c r="JH343" s="32"/>
      <c r="JI343" s="32"/>
      <c r="JJ343" s="32"/>
      <c r="JK343" s="32"/>
      <c r="JL343" s="32"/>
      <c r="JM343" s="32"/>
      <c r="JN343" s="32"/>
      <c r="JO343" s="32"/>
      <c r="JP343" s="32"/>
      <c r="JQ343" s="32"/>
      <c r="JR343" s="32"/>
      <c r="JS343" s="32"/>
      <c r="JT343" s="32"/>
      <c r="JU343" s="32"/>
      <c r="JV343" s="32"/>
      <c r="JW343" s="32"/>
      <c r="JX343" s="32"/>
      <c r="JY343" s="32"/>
      <c r="JZ343" s="32"/>
      <c r="KA343" s="32"/>
      <c r="KB343" s="32"/>
      <c r="KC343" s="32"/>
      <c r="KD343" s="32"/>
      <c r="KE343" s="32"/>
      <c r="KF343" s="32"/>
      <c r="KG343" s="32"/>
      <c r="KH343" s="32"/>
      <c r="KI343" s="32"/>
      <c r="KJ343" s="32"/>
      <c r="KK343" s="32"/>
      <c r="KL343" s="32"/>
      <c r="KM343" s="32"/>
      <c r="KN343" s="32"/>
      <c r="KO343" s="32"/>
      <c r="KP343" s="32"/>
      <c r="KQ343" s="32"/>
      <c r="KR343" s="32"/>
      <c r="KS343" s="32"/>
      <c r="KT343" s="32"/>
      <c r="KU343" s="32"/>
      <c r="KV343" s="32"/>
      <c r="KW343" s="32"/>
      <c r="KX343" s="32"/>
      <c r="KY343" s="32"/>
      <c r="KZ343" s="32"/>
      <c r="LA343" s="32"/>
      <c r="LB343" s="32"/>
      <c r="LC343" s="32"/>
      <c r="LD343" s="32"/>
      <c r="LE343" s="32"/>
      <c r="LF343" s="32"/>
      <c r="LG343" s="32"/>
      <c r="LH343" s="32"/>
      <c r="LI343" s="32"/>
      <c r="LJ343" s="32"/>
      <c r="LK343" s="32"/>
      <c r="LL343" s="32"/>
      <c r="LM343" s="32"/>
      <c r="LN343" s="32"/>
      <c r="LO343" s="32"/>
      <c r="LP343" s="32"/>
      <c r="LQ343" s="32"/>
      <c r="LR343" s="32"/>
      <c r="LS343" s="32"/>
      <c r="LT343" s="32"/>
      <c r="LU343" s="32"/>
      <c r="LV343" s="32"/>
      <c r="LW343" s="32"/>
      <c r="LX343" s="32"/>
      <c r="LY343" s="32"/>
      <c r="LZ343" s="32"/>
      <c r="MA343" s="32"/>
      <c r="MB343" s="32"/>
      <c r="MC343" s="32"/>
      <c r="MD343" s="32"/>
      <c r="ME343" s="32"/>
      <c r="MF343" s="32"/>
      <c r="MG343" s="32"/>
      <c r="MH343" s="32"/>
      <c r="MI343" s="32"/>
      <c r="MJ343" s="32"/>
      <c r="MK343" s="32"/>
      <c r="ML343" s="32"/>
      <c r="MM343" s="32"/>
      <c r="MN343" s="32"/>
      <c r="MO343" s="32"/>
      <c r="MP343" s="32"/>
      <c r="MQ343" s="32"/>
      <c r="MR343" s="32"/>
      <c r="MS343" s="32"/>
      <c r="MT343" s="32"/>
      <c r="MU343" s="32"/>
      <c r="MV343" s="32"/>
      <c r="MW343" s="32"/>
      <c r="MX343" s="32"/>
      <c r="MY343" s="32"/>
      <c r="MZ343" s="32"/>
      <c r="NA343" s="32"/>
      <c r="NB343" s="32"/>
      <c r="NC343" s="32"/>
      <c r="ND343" s="32"/>
      <c r="NE343" s="32"/>
      <c r="NF343" s="32"/>
      <c r="NG343" s="32"/>
      <c r="NH343" s="32"/>
      <c r="NI343" s="32"/>
      <c r="NJ343" s="32"/>
      <c r="NK343" s="32"/>
      <c r="NL343" s="32"/>
      <c r="NM343" s="32"/>
      <c r="NN343" s="32"/>
      <c r="NO343" s="32"/>
      <c r="NP343" s="32"/>
      <c r="NQ343" s="32"/>
      <c r="NR343" s="32"/>
      <c r="NS343" s="32"/>
      <c r="NT343" s="32"/>
      <c r="NU343" s="32"/>
      <c r="NV343" s="32"/>
      <c r="NW343" s="32"/>
      <c r="NX343" s="32"/>
      <c r="NY343" s="32"/>
      <c r="NZ343" s="32"/>
      <c r="OA343" s="32"/>
      <c r="OB343" s="32"/>
      <c r="OC343" s="32"/>
      <c r="OD343" s="32"/>
      <c r="OE343" s="32"/>
      <c r="OF343" s="32"/>
      <c r="OG343" s="32"/>
      <c r="OH343" s="32"/>
      <c r="OI343" s="32"/>
      <c r="OJ343" s="32"/>
      <c r="OK343" s="32"/>
      <c r="OL343" s="32"/>
      <c r="OM343" s="32"/>
      <c r="ON343" s="32"/>
      <c r="OO343" s="32"/>
      <c r="OP343" s="32"/>
      <c r="OQ343" s="32"/>
      <c r="OR343" s="32"/>
      <c r="OS343" s="32"/>
      <c r="OT343" s="32"/>
      <c r="OU343" s="32"/>
      <c r="OV343" s="32"/>
      <c r="OW343" s="32"/>
      <c r="OX343" s="32"/>
      <c r="OY343" s="32"/>
      <c r="OZ343" s="32"/>
      <c r="PA343" s="32"/>
      <c r="PB343" s="32"/>
      <c r="PC343" s="32"/>
      <c r="PD343" s="32"/>
      <c r="PE343" s="32"/>
      <c r="PF343" s="32"/>
      <c r="PG343" s="32"/>
      <c r="PH343" s="32"/>
      <c r="PI343" s="32"/>
      <c r="PJ343" s="32"/>
      <c r="PK343" s="32"/>
      <c r="PL343" s="32"/>
      <c r="PM343" s="32"/>
      <c r="PN343" s="32"/>
      <c r="PO343" s="32"/>
      <c r="PP343" s="32"/>
      <c r="PQ343" s="32"/>
      <c r="PR343" s="32"/>
      <c r="PS343" s="32"/>
      <c r="PT343" s="32"/>
      <c r="PU343" s="32"/>
      <c r="PV343" s="32"/>
      <c r="PW343" s="32"/>
      <c r="PX343" s="32"/>
      <c r="PY343" s="32"/>
      <c r="PZ343" s="32"/>
      <c r="QA343" s="32"/>
      <c r="QB343" s="32"/>
      <c r="QC343" s="32"/>
      <c r="QD343" s="32"/>
      <c r="QE343" s="32"/>
      <c r="QF343" s="32"/>
      <c r="QG343" s="32"/>
      <c r="QH343" s="32"/>
      <c r="QI343" s="32"/>
      <c r="QJ343" s="32"/>
      <c r="QK343" s="32"/>
      <c r="QL343" s="32"/>
      <c r="QM343" s="32"/>
      <c r="QN343" s="32"/>
      <c r="QO343" s="32"/>
      <c r="QP343" s="32"/>
      <c r="QQ343" s="32"/>
      <c r="QR343" s="32"/>
      <c r="QS343" s="32"/>
      <c r="QT343" s="32"/>
      <c r="QU343" s="32"/>
      <c r="QV343" s="32"/>
      <c r="QW343" s="32"/>
      <c r="QX343" s="32"/>
      <c r="QY343" s="32"/>
      <c r="QZ343" s="32"/>
      <c r="RA343" s="32"/>
      <c r="RB343" s="32"/>
      <c r="RC343" s="32"/>
      <c r="RD343" s="32"/>
      <c r="RE343" s="32"/>
      <c r="RF343" s="32"/>
      <c r="RG343" s="32"/>
      <c r="RH343" s="32"/>
      <c r="RI343" s="32"/>
      <c r="RJ343" s="32"/>
      <c r="RK343" s="32"/>
      <c r="RL343" s="32"/>
      <c r="RM343" s="32"/>
      <c r="RN343" s="32"/>
      <c r="RO343" s="32"/>
      <c r="RP343" s="32"/>
      <c r="RQ343" s="32"/>
      <c r="RR343" s="32"/>
      <c r="RS343" s="32"/>
      <c r="RT343" s="32"/>
      <c r="RU343" s="32"/>
      <c r="RV343" s="32"/>
      <c r="RW343" s="32"/>
      <c r="RX343" s="32"/>
      <c r="RY343" s="32"/>
      <c r="RZ343" s="32"/>
      <c r="SA343" s="32"/>
      <c r="SB343" s="32"/>
      <c r="SC343" s="32"/>
      <c r="SD343" s="32"/>
      <c r="SE343" s="32"/>
      <c r="SF343" s="32"/>
      <c r="SG343" s="32"/>
      <c r="SH343" s="32"/>
      <c r="SI343" s="32"/>
      <c r="SJ343" s="32"/>
      <c r="SK343" s="32"/>
      <c r="SL343" s="32"/>
      <c r="SM343" s="32"/>
      <c r="SN343" s="32"/>
      <c r="SO343" s="32"/>
      <c r="SP343" s="32"/>
      <c r="SQ343" s="32"/>
      <c r="SR343" s="32"/>
      <c r="SS343" s="32"/>
      <c r="ST343" s="32"/>
      <c r="SU343" s="32"/>
      <c r="SV343" s="32"/>
      <c r="SW343" s="32"/>
      <c r="SX343" s="32"/>
      <c r="SY343" s="32"/>
      <c r="SZ343" s="32"/>
      <c r="TA343" s="32"/>
      <c r="TB343" s="32"/>
      <c r="TC343" s="32"/>
      <c r="TD343" s="32"/>
      <c r="TE343" s="32"/>
    </row>
    <row r="344" spans="1:525" s="121" customFormat="1" ht="27" customHeight="1" x14ac:dyDescent="0.55000000000000004">
      <c r="A344" s="118" t="s">
        <v>569</v>
      </c>
      <c r="B344" s="119"/>
      <c r="C344" s="120"/>
      <c r="D344" s="114"/>
      <c r="E344" s="148"/>
      <c r="F344" s="149"/>
      <c r="G344" s="114"/>
      <c r="H344" s="114"/>
      <c r="I344" s="114"/>
      <c r="J344" s="114"/>
      <c r="K344" s="150"/>
      <c r="L344" s="150"/>
      <c r="M344" s="114"/>
      <c r="N344" s="114" t="s">
        <v>571</v>
      </c>
      <c r="O344" s="151"/>
      <c r="P344" s="151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122"/>
      <c r="AS344" s="122"/>
      <c r="AT344" s="122"/>
      <c r="AU344" s="122"/>
      <c r="AV344" s="122"/>
      <c r="AW344" s="122"/>
      <c r="AX344" s="122"/>
      <c r="AY344" s="122"/>
      <c r="AZ344" s="122"/>
      <c r="BA344" s="122"/>
      <c r="BB344" s="122"/>
      <c r="BC344" s="122"/>
      <c r="BD344" s="122"/>
      <c r="BE344" s="122"/>
      <c r="BF344" s="122"/>
      <c r="BG344" s="122"/>
      <c r="BH344" s="122"/>
      <c r="BI344" s="122"/>
      <c r="BJ344" s="122"/>
      <c r="BK344" s="122"/>
      <c r="BL344" s="122"/>
      <c r="BM344" s="122"/>
      <c r="BN344" s="122"/>
      <c r="BO344" s="122"/>
      <c r="BP344" s="122"/>
      <c r="BQ344" s="122"/>
      <c r="BR344" s="122"/>
      <c r="BS344" s="122"/>
      <c r="BT344" s="122"/>
      <c r="BU344" s="122"/>
      <c r="BV344" s="122"/>
      <c r="BW344" s="122"/>
      <c r="BX344" s="122"/>
      <c r="BY344" s="122"/>
      <c r="BZ344" s="122"/>
      <c r="CA344" s="122"/>
      <c r="CB344" s="122"/>
      <c r="CC344" s="122"/>
      <c r="CD344" s="122"/>
      <c r="CE344" s="122"/>
      <c r="CF344" s="122"/>
      <c r="CG344" s="122"/>
      <c r="CH344" s="122"/>
      <c r="CI344" s="122"/>
      <c r="CJ344" s="122"/>
      <c r="CK344" s="122"/>
      <c r="CL344" s="122"/>
      <c r="CM344" s="122"/>
      <c r="CN344" s="122"/>
      <c r="CO344" s="122"/>
      <c r="CP344" s="122"/>
      <c r="CQ344" s="122"/>
      <c r="CR344" s="122"/>
      <c r="CS344" s="122"/>
      <c r="CT344" s="122"/>
      <c r="CU344" s="122"/>
      <c r="CV344" s="122"/>
      <c r="CW344" s="122"/>
      <c r="CX344" s="122"/>
      <c r="CY344" s="122"/>
      <c r="CZ344" s="122"/>
      <c r="DA344" s="122"/>
      <c r="DB344" s="122"/>
      <c r="DC344" s="122"/>
      <c r="DD344" s="122"/>
      <c r="DE344" s="122"/>
      <c r="DF344" s="122"/>
      <c r="DG344" s="122"/>
      <c r="DH344" s="122"/>
      <c r="DI344" s="122"/>
      <c r="DJ344" s="122"/>
      <c r="DK344" s="122"/>
      <c r="DL344" s="122"/>
      <c r="DM344" s="122"/>
      <c r="DN344" s="122"/>
      <c r="DO344" s="122"/>
      <c r="DP344" s="122"/>
      <c r="DQ344" s="122"/>
      <c r="DR344" s="122"/>
      <c r="DS344" s="122"/>
      <c r="DT344" s="122"/>
      <c r="DU344" s="122"/>
      <c r="DV344" s="122"/>
      <c r="DW344" s="122"/>
      <c r="DX344" s="122"/>
      <c r="DY344" s="122"/>
      <c r="DZ344" s="122"/>
      <c r="EA344" s="122"/>
      <c r="EB344" s="122"/>
      <c r="EC344" s="122"/>
      <c r="ED344" s="122"/>
      <c r="EE344" s="122"/>
      <c r="EF344" s="122"/>
      <c r="EG344" s="122"/>
      <c r="EH344" s="122"/>
      <c r="EI344" s="122"/>
      <c r="EJ344" s="122"/>
      <c r="EK344" s="122"/>
      <c r="EL344" s="122"/>
      <c r="EM344" s="122"/>
      <c r="EN344" s="122"/>
      <c r="EO344" s="122"/>
      <c r="EP344" s="122"/>
      <c r="EQ344" s="122"/>
      <c r="ER344" s="122"/>
      <c r="ES344" s="122"/>
      <c r="ET344" s="122"/>
      <c r="EU344" s="122"/>
      <c r="EV344" s="122"/>
      <c r="EW344" s="122"/>
      <c r="EX344" s="122"/>
      <c r="EY344" s="122"/>
      <c r="EZ344" s="122"/>
      <c r="FA344" s="122"/>
      <c r="FB344" s="122"/>
      <c r="FC344" s="122"/>
      <c r="FD344" s="122"/>
      <c r="FE344" s="122"/>
      <c r="FF344" s="122"/>
      <c r="FG344" s="122"/>
      <c r="FH344" s="122"/>
      <c r="FI344" s="122"/>
      <c r="FJ344" s="122"/>
      <c r="FK344" s="122"/>
      <c r="FL344" s="122"/>
      <c r="FM344" s="122"/>
      <c r="FN344" s="122"/>
      <c r="FO344" s="122"/>
      <c r="FP344" s="122"/>
      <c r="FQ344" s="122"/>
      <c r="FR344" s="122"/>
      <c r="FS344" s="122"/>
      <c r="FT344" s="122"/>
      <c r="FU344" s="122"/>
      <c r="FV344" s="122"/>
      <c r="FW344" s="122"/>
      <c r="FX344" s="122"/>
      <c r="FY344" s="122"/>
      <c r="FZ344" s="122"/>
      <c r="GA344" s="122"/>
      <c r="GB344" s="122"/>
      <c r="GC344" s="122"/>
      <c r="GD344" s="122"/>
      <c r="GE344" s="122"/>
      <c r="GF344" s="122"/>
      <c r="GG344" s="122"/>
      <c r="GH344" s="122"/>
      <c r="GI344" s="122"/>
      <c r="GJ344" s="122"/>
      <c r="GK344" s="122"/>
      <c r="GL344" s="122"/>
      <c r="GM344" s="122"/>
      <c r="GN344" s="122"/>
      <c r="GO344" s="122"/>
      <c r="GP344" s="122"/>
      <c r="GQ344" s="122"/>
      <c r="GR344" s="122"/>
      <c r="GS344" s="122"/>
      <c r="GT344" s="122"/>
      <c r="GU344" s="122"/>
      <c r="GV344" s="122"/>
      <c r="GW344" s="122"/>
      <c r="GX344" s="122"/>
      <c r="GY344" s="122"/>
      <c r="GZ344" s="122"/>
      <c r="HA344" s="122"/>
      <c r="HB344" s="122"/>
      <c r="HC344" s="122"/>
      <c r="HD344" s="122"/>
      <c r="HE344" s="122"/>
      <c r="HF344" s="122"/>
      <c r="HG344" s="122"/>
      <c r="HH344" s="122"/>
      <c r="HI344" s="122"/>
      <c r="HJ344" s="122"/>
      <c r="HK344" s="122"/>
      <c r="HL344" s="122"/>
      <c r="HM344" s="122"/>
      <c r="HN344" s="122"/>
      <c r="HO344" s="122"/>
      <c r="HP344" s="122"/>
      <c r="HQ344" s="122"/>
      <c r="HR344" s="122"/>
      <c r="HS344" s="122"/>
      <c r="HT344" s="122"/>
      <c r="HU344" s="122"/>
      <c r="HV344" s="122"/>
      <c r="HW344" s="122"/>
      <c r="HX344" s="122"/>
      <c r="HY344" s="122"/>
      <c r="HZ344" s="122"/>
      <c r="IA344" s="122"/>
      <c r="IB344" s="122"/>
      <c r="IC344" s="122"/>
      <c r="ID344" s="122"/>
      <c r="IE344" s="122"/>
      <c r="IF344" s="122"/>
      <c r="IG344" s="122"/>
      <c r="IH344" s="122"/>
      <c r="II344" s="122"/>
      <c r="IJ344" s="122"/>
      <c r="IK344" s="122"/>
      <c r="IL344" s="122"/>
      <c r="IM344" s="122"/>
      <c r="IN344" s="122"/>
      <c r="IO344" s="122"/>
      <c r="IP344" s="122"/>
      <c r="IQ344" s="122"/>
      <c r="IR344" s="122"/>
      <c r="IS344" s="122"/>
      <c r="IT344" s="122"/>
      <c r="IU344" s="122"/>
      <c r="IV344" s="122"/>
      <c r="IW344" s="122"/>
      <c r="IX344" s="122"/>
      <c r="IY344" s="122"/>
      <c r="IZ344" s="122"/>
      <c r="JA344" s="122"/>
      <c r="JB344" s="122"/>
      <c r="JC344" s="122"/>
      <c r="JD344" s="122"/>
      <c r="JE344" s="122"/>
      <c r="JF344" s="122"/>
      <c r="JG344" s="122"/>
      <c r="JH344" s="122"/>
      <c r="JI344" s="122"/>
      <c r="JJ344" s="122"/>
      <c r="JK344" s="122"/>
      <c r="JL344" s="122"/>
      <c r="JM344" s="122"/>
      <c r="JN344" s="122"/>
      <c r="JO344" s="122"/>
      <c r="JP344" s="122"/>
      <c r="JQ344" s="122"/>
      <c r="JR344" s="122"/>
      <c r="JS344" s="122"/>
      <c r="JT344" s="122"/>
      <c r="JU344" s="122"/>
      <c r="JV344" s="122"/>
      <c r="JW344" s="122"/>
      <c r="JX344" s="122"/>
      <c r="JY344" s="122"/>
      <c r="JZ344" s="122"/>
      <c r="KA344" s="122"/>
      <c r="KB344" s="122"/>
      <c r="KC344" s="122"/>
      <c r="KD344" s="122"/>
      <c r="KE344" s="122"/>
      <c r="KF344" s="122"/>
      <c r="KG344" s="122"/>
      <c r="KH344" s="122"/>
      <c r="KI344" s="122"/>
      <c r="KJ344" s="122"/>
      <c r="KK344" s="122"/>
      <c r="KL344" s="122"/>
      <c r="KM344" s="122"/>
      <c r="KN344" s="122"/>
      <c r="KO344" s="122"/>
      <c r="KP344" s="122"/>
      <c r="KQ344" s="122"/>
      <c r="KR344" s="122"/>
      <c r="KS344" s="122"/>
      <c r="KT344" s="122"/>
      <c r="KU344" s="122"/>
      <c r="KV344" s="122"/>
      <c r="KW344" s="122"/>
      <c r="KX344" s="122"/>
      <c r="KY344" s="122"/>
      <c r="KZ344" s="122"/>
      <c r="LA344" s="122"/>
      <c r="LB344" s="122"/>
      <c r="LC344" s="122"/>
      <c r="LD344" s="122"/>
      <c r="LE344" s="122"/>
      <c r="LF344" s="122"/>
      <c r="LG344" s="122"/>
      <c r="LH344" s="122"/>
      <c r="LI344" s="122"/>
      <c r="LJ344" s="122"/>
      <c r="LK344" s="122"/>
      <c r="LL344" s="122"/>
      <c r="LM344" s="122"/>
      <c r="LN344" s="122"/>
      <c r="LO344" s="122"/>
      <c r="LP344" s="122"/>
      <c r="LQ344" s="122"/>
      <c r="LR344" s="122"/>
      <c r="LS344" s="122"/>
      <c r="LT344" s="122"/>
      <c r="LU344" s="122"/>
      <c r="LV344" s="122"/>
      <c r="LW344" s="122"/>
      <c r="LX344" s="122"/>
      <c r="LY344" s="122"/>
      <c r="LZ344" s="122"/>
      <c r="MA344" s="122"/>
      <c r="MB344" s="122"/>
      <c r="MC344" s="122"/>
      <c r="MD344" s="122"/>
      <c r="ME344" s="122"/>
      <c r="MF344" s="122"/>
      <c r="MG344" s="122"/>
      <c r="MH344" s="122"/>
      <c r="MI344" s="122"/>
      <c r="MJ344" s="122"/>
      <c r="MK344" s="122"/>
      <c r="ML344" s="122"/>
      <c r="MM344" s="122"/>
      <c r="MN344" s="122"/>
      <c r="MO344" s="122"/>
      <c r="MP344" s="122"/>
      <c r="MQ344" s="122"/>
      <c r="MR344" s="122"/>
      <c r="MS344" s="122"/>
      <c r="MT344" s="122"/>
      <c r="MU344" s="122"/>
      <c r="MV344" s="122"/>
      <c r="MW344" s="122"/>
      <c r="MX344" s="122"/>
      <c r="MY344" s="122"/>
      <c r="MZ344" s="122"/>
      <c r="NA344" s="122"/>
      <c r="NB344" s="122"/>
      <c r="NC344" s="122"/>
      <c r="ND344" s="122"/>
      <c r="NE344" s="122"/>
      <c r="NF344" s="122"/>
      <c r="NG344" s="122"/>
      <c r="NH344" s="122"/>
      <c r="NI344" s="122"/>
      <c r="NJ344" s="122"/>
      <c r="NK344" s="122"/>
      <c r="NL344" s="122"/>
      <c r="NM344" s="122"/>
      <c r="NN344" s="122"/>
      <c r="NO344" s="122"/>
      <c r="NP344" s="122"/>
      <c r="NQ344" s="122"/>
      <c r="NR344" s="122"/>
      <c r="NS344" s="122"/>
      <c r="NT344" s="122"/>
      <c r="NU344" s="122"/>
      <c r="NV344" s="122"/>
      <c r="NW344" s="122"/>
      <c r="NX344" s="122"/>
      <c r="NY344" s="122"/>
      <c r="NZ344" s="122"/>
      <c r="OA344" s="122"/>
      <c r="OB344" s="122"/>
      <c r="OC344" s="122"/>
      <c r="OD344" s="122"/>
      <c r="OE344" s="122"/>
      <c r="OF344" s="122"/>
      <c r="OG344" s="122"/>
      <c r="OH344" s="122"/>
      <c r="OI344" s="122"/>
      <c r="OJ344" s="122"/>
      <c r="OK344" s="122"/>
      <c r="OL344" s="122"/>
      <c r="OM344" s="122"/>
      <c r="ON344" s="122"/>
      <c r="OO344" s="122"/>
      <c r="OP344" s="122"/>
      <c r="OQ344" s="122"/>
      <c r="OR344" s="122"/>
      <c r="OS344" s="122"/>
      <c r="OT344" s="122"/>
      <c r="OU344" s="122"/>
      <c r="OV344" s="122"/>
      <c r="OW344" s="122"/>
      <c r="OX344" s="122"/>
      <c r="OY344" s="122"/>
      <c r="OZ344" s="122"/>
      <c r="PA344" s="122"/>
      <c r="PB344" s="122"/>
      <c r="PC344" s="122"/>
      <c r="PD344" s="122"/>
      <c r="PE344" s="122"/>
      <c r="PF344" s="122"/>
      <c r="PG344" s="122"/>
      <c r="PH344" s="122"/>
      <c r="PI344" s="122"/>
      <c r="PJ344" s="122"/>
      <c r="PK344" s="122"/>
      <c r="PL344" s="122"/>
      <c r="PM344" s="122"/>
      <c r="PN344" s="122"/>
      <c r="PO344" s="122"/>
      <c r="PP344" s="122"/>
      <c r="PQ344" s="122"/>
      <c r="PR344" s="122"/>
      <c r="PS344" s="122"/>
      <c r="PT344" s="122"/>
      <c r="PU344" s="122"/>
      <c r="PV344" s="122"/>
      <c r="PW344" s="122"/>
      <c r="PX344" s="122"/>
      <c r="PY344" s="122"/>
      <c r="PZ344" s="122"/>
      <c r="QA344" s="122"/>
      <c r="QB344" s="122"/>
      <c r="QC344" s="122"/>
      <c r="QD344" s="122"/>
      <c r="QE344" s="122"/>
      <c r="QF344" s="122"/>
      <c r="QG344" s="122"/>
      <c r="QH344" s="122"/>
      <c r="QI344" s="122"/>
      <c r="QJ344" s="122"/>
      <c r="QK344" s="122"/>
      <c r="QL344" s="122"/>
      <c r="QM344" s="122"/>
      <c r="QN344" s="122"/>
      <c r="QO344" s="122"/>
      <c r="QP344" s="122"/>
      <c r="QQ344" s="122"/>
      <c r="QR344" s="122"/>
      <c r="QS344" s="122"/>
      <c r="QT344" s="122"/>
      <c r="QU344" s="122"/>
      <c r="QV344" s="122"/>
      <c r="QW344" s="122"/>
      <c r="QX344" s="122"/>
      <c r="QY344" s="122"/>
      <c r="QZ344" s="122"/>
      <c r="RA344" s="122"/>
      <c r="RB344" s="122"/>
      <c r="RC344" s="122"/>
      <c r="RD344" s="122"/>
      <c r="RE344" s="122"/>
      <c r="RF344" s="122"/>
      <c r="RG344" s="122"/>
      <c r="RH344" s="122"/>
      <c r="RI344" s="122"/>
      <c r="RJ344" s="122"/>
      <c r="RK344" s="122"/>
      <c r="RL344" s="122"/>
      <c r="RM344" s="122"/>
      <c r="RN344" s="122"/>
      <c r="RO344" s="122"/>
      <c r="RP344" s="122"/>
      <c r="RQ344" s="122"/>
      <c r="RR344" s="122"/>
      <c r="RS344" s="122"/>
      <c r="RT344" s="122"/>
      <c r="RU344" s="122"/>
      <c r="RV344" s="122"/>
      <c r="RW344" s="122"/>
      <c r="RX344" s="122"/>
      <c r="RY344" s="122"/>
      <c r="RZ344" s="122"/>
      <c r="SA344" s="122"/>
      <c r="SB344" s="122"/>
      <c r="SC344" s="122"/>
      <c r="SD344" s="122"/>
      <c r="SE344" s="122"/>
      <c r="SF344" s="122"/>
      <c r="SG344" s="122"/>
      <c r="SH344" s="122"/>
      <c r="SI344" s="122"/>
      <c r="SJ344" s="122"/>
      <c r="SK344" s="122"/>
      <c r="SL344" s="122"/>
      <c r="SM344" s="122"/>
      <c r="SN344" s="122"/>
      <c r="SO344" s="122"/>
      <c r="SP344" s="122"/>
      <c r="SQ344" s="122"/>
      <c r="SR344" s="122"/>
      <c r="SS344" s="122"/>
      <c r="ST344" s="122"/>
      <c r="SU344" s="122"/>
      <c r="SV344" s="122"/>
      <c r="SW344" s="122"/>
      <c r="SX344" s="122"/>
      <c r="SY344" s="122"/>
      <c r="SZ344" s="122"/>
      <c r="TA344" s="122"/>
      <c r="TB344" s="122"/>
      <c r="TC344" s="122"/>
      <c r="TD344" s="122"/>
      <c r="TE344" s="122"/>
    </row>
    <row r="345" spans="1:525" s="28" customFormat="1" ht="18.75" customHeight="1" x14ac:dyDescent="0.25">
      <c r="A345" s="53"/>
      <c r="B345" s="58"/>
      <c r="C345" s="58"/>
      <c r="D345" s="35"/>
      <c r="E345" s="148"/>
      <c r="F345" s="149"/>
      <c r="G345" s="131"/>
      <c r="H345" s="131"/>
      <c r="I345" s="131"/>
      <c r="J345" s="131"/>
      <c r="K345" s="131"/>
      <c r="L345" s="131"/>
      <c r="M345" s="131"/>
      <c r="N345" s="131"/>
      <c r="O345" s="131"/>
      <c r="P345" s="152"/>
    </row>
    <row r="346" spans="1:525" s="116" customFormat="1" ht="41.25" customHeight="1" x14ac:dyDescent="0.45">
      <c r="A346" s="115" t="s">
        <v>618</v>
      </c>
      <c r="B346" s="115"/>
      <c r="C346" s="115"/>
      <c r="D346" s="115"/>
      <c r="E346" s="148"/>
      <c r="F346" s="149"/>
      <c r="G346" s="153"/>
      <c r="H346" s="153"/>
      <c r="I346" s="153"/>
      <c r="J346" s="153"/>
      <c r="K346" s="148"/>
      <c r="L346" s="153"/>
      <c r="M346" s="153"/>
      <c r="N346" s="153"/>
      <c r="O346" s="153"/>
      <c r="P346" s="153"/>
    </row>
    <row r="347" spans="1:525" s="127" customFormat="1" ht="18.75" x14ac:dyDescent="0.3">
      <c r="A347" s="125"/>
      <c r="B347" s="125"/>
      <c r="C347" s="125"/>
      <c r="D347" s="126"/>
      <c r="E347" s="155">
        <f>E337-'дод 3'!D263</f>
        <v>0</v>
      </c>
      <c r="F347" s="155">
        <f>F337-'дод 3'!E263</f>
        <v>0</v>
      </c>
      <c r="G347" s="155">
        <f>G337-'дод 3'!F263</f>
        <v>0</v>
      </c>
      <c r="H347" s="155">
        <f>H337-'дод 3'!G263</f>
        <v>0</v>
      </c>
      <c r="I347" s="155">
        <f>I337-'дод 3'!H263</f>
        <v>0</v>
      </c>
      <c r="J347" s="155">
        <f>J337-'дод 3'!I263</f>
        <v>0</v>
      </c>
      <c r="K347" s="155">
        <f>K337-'дод 3'!J263</f>
        <v>0</v>
      </c>
      <c r="L347" s="155">
        <f>L337-'дод 3'!K263</f>
        <v>0</v>
      </c>
      <c r="M347" s="155">
        <f>M337-'дод 3'!L263</f>
        <v>0</v>
      </c>
      <c r="N347" s="155">
        <f>N337-'дод 3'!M263</f>
        <v>0</v>
      </c>
      <c r="O347" s="155">
        <f>O337-'дод 3'!N263</f>
        <v>0</v>
      </c>
      <c r="P347" s="155">
        <f>P337-'дод 3'!O263</f>
        <v>0</v>
      </c>
    </row>
    <row r="348" spans="1:525" s="127" customFormat="1" ht="18.75" x14ac:dyDescent="0.3">
      <c r="A348" s="125"/>
      <c r="B348" s="125"/>
      <c r="C348" s="125"/>
      <c r="D348" s="126"/>
      <c r="E348" s="155">
        <f>E338-'дод 3'!D264</f>
        <v>0</v>
      </c>
      <c r="F348" s="155">
        <f>F338-'дод 3'!E264</f>
        <v>0</v>
      </c>
      <c r="G348" s="155">
        <f>G338-'дод 3'!F264</f>
        <v>0</v>
      </c>
      <c r="H348" s="155">
        <f>H338-'дод 3'!G264</f>
        <v>0</v>
      </c>
      <c r="I348" s="155">
        <f>I338-'дод 3'!H264</f>
        <v>0</v>
      </c>
      <c r="J348" s="155">
        <f>J338-'дод 3'!I264</f>
        <v>0</v>
      </c>
      <c r="K348" s="155">
        <f>K338-'дод 3'!J264</f>
        <v>0</v>
      </c>
      <c r="L348" s="155">
        <f>L338-'дод 3'!K264</f>
        <v>0</v>
      </c>
      <c r="M348" s="155">
        <f>M338-'дод 3'!L264</f>
        <v>0</v>
      </c>
      <c r="N348" s="155">
        <f>N338-'дод 3'!M264</f>
        <v>0</v>
      </c>
      <c r="O348" s="155">
        <f>O338-'дод 3'!N264</f>
        <v>0</v>
      </c>
      <c r="P348" s="155">
        <f>P338-'дод 3'!O264</f>
        <v>0</v>
      </c>
    </row>
    <row r="349" spans="1:525" s="127" customFormat="1" ht="18.75" x14ac:dyDescent="0.3">
      <c r="A349" s="125"/>
      <c r="B349" s="125"/>
      <c r="C349" s="125"/>
      <c r="D349" s="126"/>
      <c r="E349" s="155">
        <f>E339-'дод 3'!D265</f>
        <v>0</v>
      </c>
      <c r="F349" s="155">
        <f>F339-'дод 3'!E265</f>
        <v>0</v>
      </c>
      <c r="G349" s="155">
        <f>G339-'дод 3'!F265</f>
        <v>0</v>
      </c>
      <c r="H349" s="155">
        <f>H339-'дод 3'!G265</f>
        <v>0</v>
      </c>
      <c r="I349" s="155">
        <f>I339-'дод 3'!H265</f>
        <v>0</v>
      </c>
      <c r="J349" s="155">
        <f>J339-'дод 3'!I265</f>
        <v>0</v>
      </c>
      <c r="K349" s="155">
        <f>K339-'дод 3'!J265</f>
        <v>0</v>
      </c>
      <c r="L349" s="155">
        <f>L339-'дод 3'!K265</f>
        <v>0</v>
      </c>
      <c r="M349" s="155">
        <f>M339-'дод 3'!L265</f>
        <v>0</v>
      </c>
      <c r="N349" s="155">
        <f>N339-'дод 3'!M265</f>
        <v>0</v>
      </c>
      <c r="O349" s="155">
        <f>O339-'дод 3'!N265</f>
        <v>0</v>
      </c>
      <c r="P349" s="155">
        <f>P339-'дод 3'!O265</f>
        <v>0</v>
      </c>
    </row>
    <row r="350" spans="1:525" s="127" customFormat="1" ht="18.75" x14ac:dyDescent="0.3">
      <c r="A350" s="125"/>
      <c r="B350" s="125"/>
      <c r="C350" s="125"/>
      <c r="D350" s="126"/>
      <c r="E350" s="155">
        <f>E340-'дод 3'!D266</f>
        <v>0</v>
      </c>
      <c r="F350" s="155">
        <f>F340-'дод 3'!E266</f>
        <v>0</v>
      </c>
      <c r="G350" s="155">
        <f>G340-'дод 3'!F266</f>
        <v>0</v>
      </c>
      <c r="H350" s="155">
        <f>H340-'дод 3'!G266</f>
        <v>0</v>
      </c>
      <c r="I350" s="155">
        <f>I340-'дод 3'!H266</f>
        <v>0</v>
      </c>
      <c r="J350" s="155">
        <f>J340-'дод 3'!I266</f>
        <v>0</v>
      </c>
      <c r="K350" s="155">
        <f>K340-'дод 3'!J266</f>
        <v>0</v>
      </c>
      <c r="L350" s="155">
        <f>L340-'дод 3'!K266</f>
        <v>0</v>
      </c>
      <c r="M350" s="155">
        <f>M340-'дод 3'!L266</f>
        <v>0</v>
      </c>
      <c r="N350" s="155">
        <f>N340-'дод 3'!M266</f>
        <v>0</v>
      </c>
      <c r="O350" s="155">
        <f>O340-'дод 3'!N266</f>
        <v>0</v>
      </c>
      <c r="P350" s="155">
        <f>P340-'дод 3'!O266</f>
        <v>0</v>
      </c>
    </row>
    <row r="351" spans="1:525" s="130" customFormat="1" x14ac:dyDescent="0.25">
      <c r="A351" s="128"/>
      <c r="B351" s="128"/>
      <c r="C351" s="128"/>
      <c r="D351" s="129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52"/>
    </row>
    <row r="352" spans="1:525" s="28" customFormat="1" x14ac:dyDescent="0.25">
      <c r="A352" s="53"/>
      <c r="B352" s="58"/>
      <c r="C352" s="58"/>
      <c r="D352" s="35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52"/>
    </row>
    <row r="353" spans="1:16" s="28" customFormat="1" x14ac:dyDescent="0.25">
      <c r="A353" s="53"/>
      <c r="B353" s="58"/>
      <c r="C353" s="58"/>
      <c r="D353" s="35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52"/>
    </row>
    <row r="354" spans="1:16" s="28" customFormat="1" x14ac:dyDescent="0.25">
      <c r="A354" s="53"/>
      <c r="B354" s="58"/>
      <c r="C354" s="58"/>
      <c r="D354" s="35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52"/>
    </row>
    <row r="355" spans="1:16" s="28" customFormat="1" x14ac:dyDescent="0.25">
      <c r="A355" s="53"/>
      <c r="B355" s="58"/>
      <c r="C355" s="58"/>
      <c r="D355" s="35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52"/>
    </row>
    <row r="356" spans="1:16" s="28" customFormat="1" x14ac:dyDescent="0.25">
      <c r="A356" s="53"/>
      <c r="B356" s="58"/>
      <c r="C356" s="58"/>
      <c r="D356" s="35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52"/>
    </row>
    <row r="357" spans="1:16" s="28" customFormat="1" x14ac:dyDescent="0.25">
      <c r="A357" s="53"/>
      <c r="B357" s="58"/>
      <c r="C357" s="58"/>
      <c r="D357" s="35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52"/>
    </row>
    <row r="358" spans="1:16" s="28" customFormat="1" x14ac:dyDescent="0.25">
      <c r="A358" s="53"/>
      <c r="B358" s="58"/>
      <c r="C358" s="58"/>
      <c r="D358" s="35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52"/>
    </row>
    <row r="359" spans="1:16" s="28" customFormat="1" x14ac:dyDescent="0.25">
      <c r="A359" s="53"/>
      <c r="B359" s="58"/>
      <c r="C359" s="58"/>
      <c r="D359" s="35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52"/>
    </row>
    <row r="360" spans="1:16" s="28" customFormat="1" x14ac:dyDescent="0.25">
      <c r="A360" s="53"/>
      <c r="B360" s="58"/>
      <c r="C360" s="58"/>
      <c r="D360" s="35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52"/>
    </row>
    <row r="361" spans="1:16" s="28" customFormat="1" x14ac:dyDescent="0.25">
      <c r="A361" s="53"/>
      <c r="B361" s="58"/>
      <c r="C361" s="58"/>
      <c r="D361" s="35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52"/>
    </row>
    <row r="362" spans="1:16" s="28" customFormat="1" x14ac:dyDescent="0.25">
      <c r="A362" s="53"/>
      <c r="B362" s="58"/>
      <c r="C362" s="58"/>
      <c r="D362" s="35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52"/>
    </row>
    <row r="363" spans="1:16" s="28" customFormat="1" x14ac:dyDescent="0.25">
      <c r="A363" s="53"/>
      <c r="B363" s="58"/>
      <c r="C363" s="58"/>
      <c r="D363" s="35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52"/>
    </row>
    <row r="364" spans="1:16" s="28" customFormat="1" x14ac:dyDescent="0.25">
      <c r="A364" s="53"/>
      <c r="B364" s="58"/>
      <c r="C364" s="58"/>
      <c r="D364" s="35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52"/>
    </row>
    <row r="365" spans="1:16" s="28" customFormat="1" x14ac:dyDescent="0.25">
      <c r="A365" s="53"/>
      <c r="B365" s="58"/>
      <c r="C365" s="58"/>
      <c r="D365" s="35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52"/>
    </row>
    <row r="366" spans="1:16" s="28" customFormat="1" x14ac:dyDescent="0.25">
      <c r="A366" s="53"/>
      <c r="B366" s="58"/>
      <c r="C366" s="58"/>
      <c r="D366" s="35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52"/>
    </row>
    <row r="367" spans="1:16" s="28" customFormat="1" x14ac:dyDescent="0.25">
      <c r="A367" s="53"/>
      <c r="B367" s="58"/>
      <c r="C367" s="58"/>
      <c r="D367" s="35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52"/>
    </row>
    <row r="368" spans="1:16" s="28" customFormat="1" x14ac:dyDescent="0.25">
      <c r="A368" s="53"/>
      <c r="B368" s="58"/>
      <c r="C368" s="58"/>
      <c r="D368" s="35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52"/>
    </row>
    <row r="369" spans="1:16" s="28" customFormat="1" x14ac:dyDescent="0.25">
      <c r="A369" s="53"/>
      <c r="B369" s="58"/>
      <c r="C369" s="58"/>
      <c r="D369" s="35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52"/>
    </row>
    <row r="370" spans="1:16" s="28" customFormat="1" x14ac:dyDescent="0.25">
      <c r="A370" s="53"/>
      <c r="B370" s="58"/>
      <c r="C370" s="58"/>
      <c r="D370" s="35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52"/>
    </row>
    <row r="371" spans="1:16" s="28" customFormat="1" x14ac:dyDescent="0.25">
      <c r="A371" s="53"/>
      <c r="B371" s="58"/>
      <c r="C371" s="58"/>
      <c r="D371" s="35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52"/>
    </row>
    <row r="372" spans="1:16" s="28" customFormat="1" x14ac:dyDescent="0.25">
      <c r="A372" s="53"/>
      <c r="B372" s="58"/>
      <c r="C372" s="58"/>
      <c r="D372" s="35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52"/>
    </row>
    <row r="373" spans="1:16" s="28" customFormat="1" x14ac:dyDescent="0.25">
      <c r="A373" s="53"/>
      <c r="B373" s="58"/>
      <c r="C373" s="58"/>
      <c r="D373" s="35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52"/>
    </row>
    <row r="374" spans="1:16" s="28" customFormat="1" x14ac:dyDescent="0.25">
      <c r="A374" s="53"/>
      <c r="B374" s="58"/>
      <c r="C374" s="58"/>
      <c r="D374" s="35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52"/>
    </row>
    <row r="375" spans="1:16" s="28" customFormat="1" x14ac:dyDescent="0.25">
      <c r="A375" s="53"/>
      <c r="B375" s="58"/>
      <c r="C375" s="58"/>
      <c r="D375" s="35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52"/>
    </row>
    <row r="376" spans="1:16" s="28" customFormat="1" x14ac:dyDescent="0.25">
      <c r="A376" s="53"/>
      <c r="B376" s="58"/>
      <c r="C376" s="58"/>
      <c r="D376" s="35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52"/>
    </row>
    <row r="377" spans="1:16" s="28" customFormat="1" x14ac:dyDescent="0.25">
      <c r="A377" s="53"/>
      <c r="B377" s="58"/>
      <c r="C377" s="58"/>
      <c r="D377" s="35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52"/>
    </row>
    <row r="378" spans="1:16" s="28" customFormat="1" x14ac:dyDescent="0.25">
      <c r="A378" s="53"/>
      <c r="B378" s="58"/>
      <c r="C378" s="58"/>
      <c r="D378" s="35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52"/>
    </row>
    <row r="379" spans="1:16" s="28" customFormat="1" x14ac:dyDescent="0.25">
      <c r="A379" s="53"/>
      <c r="B379" s="58"/>
      <c r="C379" s="58"/>
      <c r="D379" s="35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52"/>
    </row>
    <row r="380" spans="1:16" s="28" customFormat="1" x14ac:dyDescent="0.25">
      <c r="A380" s="53"/>
      <c r="B380" s="58"/>
      <c r="C380" s="58"/>
      <c r="D380" s="35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52"/>
    </row>
    <row r="381" spans="1:16" s="28" customFormat="1" x14ac:dyDescent="0.25">
      <c r="A381" s="53"/>
      <c r="B381" s="58"/>
      <c r="C381" s="58"/>
      <c r="D381" s="35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52"/>
    </row>
    <row r="382" spans="1:16" s="28" customFormat="1" x14ac:dyDescent="0.25">
      <c r="A382" s="53"/>
      <c r="B382" s="58"/>
      <c r="C382" s="58"/>
      <c r="D382" s="35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52"/>
    </row>
    <row r="383" spans="1:16" s="28" customFormat="1" x14ac:dyDescent="0.25">
      <c r="A383" s="53"/>
      <c r="B383" s="58"/>
      <c r="C383" s="58"/>
      <c r="D383" s="35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52"/>
    </row>
    <row r="384" spans="1:16" s="28" customFormat="1" x14ac:dyDescent="0.25">
      <c r="A384" s="53"/>
      <c r="B384" s="58"/>
      <c r="C384" s="58"/>
      <c r="D384" s="35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52"/>
    </row>
    <row r="385" spans="1:16" s="28" customFormat="1" x14ac:dyDescent="0.25">
      <c r="A385" s="53"/>
      <c r="B385" s="58"/>
      <c r="C385" s="58"/>
      <c r="D385" s="35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52"/>
    </row>
    <row r="386" spans="1:16" s="28" customFormat="1" x14ac:dyDescent="0.25">
      <c r="A386" s="53"/>
      <c r="B386" s="58"/>
      <c r="C386" s="58"/>
      <c r="D386" s="35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52"/>
    </row>
    <row r="387" spans="1:16" s="28" customFormat="1" x14ac:dyDescent="0.25">
      <c r="A387" s="53"/>
      <c r="B387" s="58"/>
      <c r="C387" s="58"/>
      <c r="D387" s="35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52"/>
    </row>
    <row r="388" spans="1:16" s="28" customFormat="1" x14ac:dyDescent="0.25">
      <c r="A388" s="53"/>
      <c r="B388" s="58"/>
      <c r="C388" s="58"/>
      <c r="D388" s="35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52"/>
    </row>
    <row r="389" spans="1:16" s="28" customFormat="1" x14ac:dyDescent="0.25">
      <c r="A389" s="53"/>
      <c r="B389" s="58"/>
      <c r="C389" s="58"/>
      <c r="D389" s="35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52"/>
    </row>
    <row r="390" spans="1:16" s="28" customFormat="1" x14ac:dyDescent="0.25">
      <c r="A390" s="53"/>
      <c r="B390" s="58"/>
      <c r="C390" s="58"/>
      <c r="D390" s="35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52"/>
    </row>
    <row r="391" spans="1:16" s="28" customFormat="1" x14ac:dyDescent="0.25">
      <c r="A391" s="53"/>
      <c r="B391" s="58"/>
      <c r="C391" s="58"/>
      <c r="D391" s="35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52"/>
    </row>
    <row r="392" spans="1:16" s="28" customFormat="1" x14ac:dyDescent="0.25">
      <c r="A392" s="53"/>
      <c r="B392" s="58"/>
      <c r="C392" s="58"/>
      <c r="D392" s="35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52"/>
    </row>
    <row r="393" spans="1:16" s="28" customFormat="1" x14ac:dyDescent="0.25">
      <c r="A393" s="53"/>
      <c r="B393" s="58"/>
      <c r="C393" s="58"/>
      <c r="D393" s="35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52"/>
    </row>
    <row r="394" spans="1:16" s="28" customFormat="1" x14ac:dyDescent="0.25">
      <c r="A394" s="53"/>
      <c r="B394" s="58"/>
      <c r="C394" s="58"/>
      <c r="D394" s="35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52"/>
    </row>
    <row r="395" spans="1:16" s="28" customFormat="1" x14ac:dyDescent="0.25">
      <c r="A395" s="53"/>
      <c r="B395" s="58"/>
      <c r="C395" s="58"/>
      <c r="D395" s="35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52"/>
    </row>
    <row r="396" spans="1:16" s="28" customFormat="1" x14ac:dyDescent="0.25">
      <c r="A396" s="53"/>
      <c r="B396" s="58"/>
      <c r="C396" s="58"/>
      <c r="D396" s="35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52"/>
    </row>
    <row r="397" spans="1:16" s="28" customFormat="1" x14ac:dyDescent="0.25">
      <c r="A397" s="53"/>
      <c r="B397" s="58"/>
      <c r="C397" s="58"/>
      <c r="D397" s="35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52"/>
    </row>
    <row r="398" spans="1:16" s="28" customFormat="1" x14ac:dyDescent="0.25">
      <c r="A398" s="53"/>
      <c r="B398" s="58"/>
      <c r="C398" s="58"/>
      <c r="D398" s="35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52"/>
    </row>
    <row r="399" spans="1:16" s="28" customFormat="1" x14ac:dyDescent="0.25">
      <c r="A399" s="53"/>
      <c r="B399" s="58"/>
      <c r="C399" s="58"/>
      <c r="D399" s="35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52"/>
    </row>
    <row r="400" spans="1:16" s="28" customFormat="1" x14ac:dyDescent="0.25">
      <c r="A400" s="53"/>
      <c r="B400" s="58"/>
      <c r="C400" s="58"/>
      <c r="D400" s="35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52"/>
    </row>
    <row r="401" spans="1:16" s="28" customFormat="1" x14ac:dyDescent="0.25">
      <c r="A401" s="53"/>
      <c r="B401" s="58"/>
      <c r="C401" s="58"/>
      <c r="D401" s="35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52"/>
    </row>
    <row r="402" spans="1:16" s="28" customFormat="1" x14ac:dyDescent="0.25">
      <c r="A402" s="53"/>
      <c r="B402" s="58"/>
      <c r="C402" s="58"/>
      <c r="D402" s="35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52"/>
    </row>
    <row r="403" spans="1:16" s="28" customFormat="1" x14ac:dyDescent="0.25">
      <c r="A403" s="53"/>
      <c r="B403" s="58"/>
      <c r="C403" s="58"/>
      <c r="D403" s="35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52"/>
    </row>
    <row r="404" spans="1:16" s="28" customFormat="1" x14ac:dyDescent="0.25">
      <c r="A404" s="53"/>
      <c r="B404" s="58"/>
      <c r="C404" s="58"/>
      <c r="D404" s="35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52"/>
    </row>
    <row r="405" spans="1:16" s="28" customFormat="1" x14ac:dyDescent="0.25">
      <c r="A405" s="53"/>
      <c r="B405" s="58"/>
      <c r="C405" s="58"/>
      <c r="D405" s="35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52"/>
    </row>
    <row r="406" spans="1:16" s="28" customFormat="1" x14ac:dyDescent="0.25">
      <c r="A406" s="53"/>
      <c r="B406" s="58"/>
      <c r="C406" s="58"/>
      <c r="D406" s="35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52"/>
    </row>
    <row r="407" spans="1:16" s="28" customFormat="1" x14ac:dyDescent="0.25">
      <c r="A407" s="53"/>
      <c r="B407" s="58"/>
      <c r="C407" s="58"/>
      <c r="D407" s="35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52"/>
    </row>
    <row r="408" spans="1:16" s="28" customFormat="1" x14ac:dyDescent="0.25">
      <c r="A408" s="53"/>
      <c r="B408" s="58"/>
      <c r="C408" s="58"/>
      <c r="D408" s="35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52"/>
    </row>
    <row r="409" spans="1:16" s="28" customFormat="1" x14ac:dyDescent="0.25">
      <c r="A409" s="53"/>
      <c r="B409" s="58"/>
      <c r="C409" s="58"/>
      <c r="D409" s="35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52"/>
    </row>
    <row r="410" spans="1:16" s="28" customFormat="1" x14ac:dyDescent="0.25">
      <c r="A410" s="53"/>
      <c r="B410" s="58"/>
      <c r="C410" s="58"/>
      <c r="D410" s="35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52"/>
    </row>
    <row r="411" spans="1:16" s="28" customFormat="1" x14ac:dyDescent="0.25">
      <c r="A411" s="53"/>
      <c r="B411" s="58"/>
      <c r="C411" s="58"/>
      <c r="D411" s="35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52"/>
    </row>
    <row r="412" spans="1:16" s="28" customFormat="1" x14ac:dyDescent="0.25">
      <c r="A412" s="53"/>
      <c r="B412" s="58"/>
      <c r="C412" s="58"/>
      <c r="D412" s="35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52"/>
    </row>
    <row r="413" spans="1:16" s="28" customFormat="1" x14ac:dyDescent="0.25">
      <c r="A413" s="53"/>
      <c r="B413" s="58"/>
      <c r="C413" s="58"/>
      <c r="D413" s="35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52"/>
    </row>
    <row r="414" spans="1:16" s="28" customFormat="1" x14ac:dyDescent="0.25">
      <c r="A414" s="53"/>
      <c r="B414" s="58"/>
      <c r="C414" s="58"/>
      <c r="D414" s="35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52"/>
    </row>
    <row r="415" spans="1:16" s="28" customFormat="1" x14ac:dyDescent="0.25">
      <c r="A415" s="53"/>
      <c r="B415" s="58"/>
      <c r="C415" s="58"/>
      <c r="D415" s="35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52"/>
    </row>
    <row r="416" spans="1:16" s="28" customFormat="1" x14ac:dyDescent="0.25">
      <c r="A416" s="53"/>
      <c r="B416" s="58"/>
      <c r="C416" s="58"/>
      <c r="D416" s="35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52"/>
    </row>
    <row r="417" spans="1:16" s="28" customFormat="1" x14ac:dyDescent="0.25">
      <c r="A417" s="53"/>
      <c r="B417" s="58"/>
      <c r="C417" s="58"/>
      <c r="D417" s="35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52"/>
    </row>
    <row r="418" spans="1:16" s="28" customFormat="1" x14ac:dyDescent="0.25">
      <c r="A418" s="53"/>
      <c r="B418" s="58"/>
      <c r="C418" s="58"/>
      <c r="D418" s="35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52"/>
    </row>
    <row r="419" spans="1:16" s="28" customFormat="1" x14ac:dyDescent="0.25">
      <c r="A419" s="53"/>
      <c r="B419" s="58"/>
      <c r="C419" s="58"/>
      <c r="D419" s="35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52"/>
    </row>
    <row r="420" spans="1:16" s="28" customFormat="1" x14ac:dyDescent="0.25">
      <c r="A420" s="53"/>
      <c r="B420" s="58"/>
      <c r="C420" s="58"/>
      <c r="D420" s="35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52"/>
    </row>
    <row r="421" spans="1:16" s="28" customFormat="1" x14ac:dyDescent="0.25">
      <c r="A421" s="53"/>
      <c r="B421" s="58"/>
      <c r="C421" s="58"/>
      <c r="D421" s="35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52"/>
    </row>
    <row r="422" spans="1:16" s="28" customFormat="1" x14ac:dyDescent="0.25">
      <c r="A422" s="53"/>
      <c r="B422" s="58"/>
      <c r="C422" s="58"/>
      <c r="D422" s="35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52"/>
    </row>
    <row r="423" spans="1:16" s="28" customFormat="1" x14ac:dyDescent="0.25">
      <c r="A423" s="53"/>
      <c r="B423" s="58"/>
      <c r="C423" s="58"/>
      <c r="D423" s="35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52"/>
    </row>
    <row r="424" spans="1:16" s="28" customFormat="1" x14ac:dyDescent="0.25">
      <c r="A424" s="53"/>
      <c r="B424" s="58"/>
      <c r="C424" s="58"/>
      <c r="D424" s="35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52"/>
    </row>
    <row r="425" spans="1:16" s="28" customFormat="1" x14ac:dyDescent="0.25">
      <c r="A425" s="53"/>
      <c r="B425" s="58"/>
      <c r="C425" s="58"/>
      <c r="D425" s="35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52"/>
    </row>
    <row r="426" spans="1:16" s="28" customFormat="1" x14ac:dyDescent="0.25">
      <c r="A426" s="53"/>
      <c r="B426" s="58"/>
      <c r="C426" s="58"/>
      <c r="D426" s="35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52"/>
    </row>
    <row r="427" spans="1:16" s="28" customFormat="1" x14ac:dyDescent="0.25">
      <c r="A427" s="53"/>
      <c r="B427" s="58"/>
      <c r="C427" s="58"/>
      <c r="D427" s="35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52"/>
    </row>
    <row r="428" spans="1:16" s="28" customFormat="1" x14ac:dyDescent="0.25">
      <c r="A428" s="53"/>
      <c r="B428" s="58"/>
      <c r="C428" s="58"/>
      <c r="D428" s="35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52"/>
    </row>
    <row r="429" spans="1:16" s="28" customFormat="1" x14ac:dyDescent="0.25">
      <c r="A429" s="53"/>
      <c r="B429" s="58"/>
      <c r="C429" s="58"/>
      <c r="D429" s="35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52"/>
    </row>
    <row r="430" spans="1:16" s="28" customFormat="1" x14ac:dyDescent="0.25">
      <c r="A430" s="53"/>
      <c r="B430" s="58"/>
      <c r="C430" s="58"/>
      <c r="D430" s="35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52"/>
    </row>
    <row r="431" spans="1:16" s="28" customFormat="1" x14ac:dyDescent="0.25">
      <c r="A431" s="53"/>
      <c r="B431" s="58"/>
      <c r="C431" s="58"/>
      <c r="D431" s="35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52"/>
    </row>
    <row r="432" spans="1:16" s="28" customFormat="1" x14ac:dyDescent="0.25">
      <c r="A432" s="53"/>
      <c r="B432" s="58"/>
      <c r="C432" s="58"/>
      <c r="D432" s="35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52"/>
    </row>
    <row r="433" spans="1:16" s="28" customFormat="1" x14ac:dyDescent="0.25">
      <c r="A433" s="53"/>
      <c r="B433" s="58"/>
      <c r="C433" s="58"/>
      <c r="D433" s="35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52"/>
    </row>
    <row r="434" spans="1:16" s="28" customFormat="1" x14ac:dyDescent="0.25">
      <c r="A434" s="53"/>
      <c r="B434" s="58"/>
      <c r="C434" s="58"/>
      <c r="D434" s="35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52"/>
    </row>
    <row r="435" spans="1:16" s="28" customFormat="1" x14ac:dyDescent="0.25">
      <c r="A435" s="53"/>
      <c r="B435" s="58"/>
      <c r="C435" s="58"/>
      <c r="D435" s="35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52"/>
    </row>
    <row r="436" spans="1:16" s="28" customFormat="1" x14ac:dyDescent="0.25">
      <c r="A436" s="53"/>
      <c r="B436" s="58"/>
      <c r="C436" s="58"/>
      <c r="D436" s="35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52"/>
    </row>
    <row r="437" spans="1:16" s="28" customFormat="1" x14ac:dyDescent="0.25">
      <c r="A437" s="53"/>
      <c r="B437" s="58"/>
      <c r="C437" s="58"/>
      <c r="D437" s="35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52"/>
    </row>
    <row r="438" spans="1:16" s="28" customFormat="1" x14ac:dyDescent="0.25">
      <c r="A438" s="53"/>
      <c r="B438" s="58"/>
      <c r="C438" s="58"/>
      <c r="D438" s="35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52"/>
    </row>
    <row r="439" spans="1:16" s="28" customFormat="1" x14ac:dyDescent="0.25">
      <c r="A439" s="53"/>
      <c r="B439" s="58"/>
      <c r="C439" s="58"/>
      <c r="D439" s="35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52"/>
    </row>
    <row r="440" spans="1:16" s="28" customFormat="1" x14ac:dyDescent="0.25">
      <c r="A440" s="53"/>
      <c r="B440" s="58"/>
      <c r="C440" s="58"/>
      <c r="D440" s="35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52"/>
    </row>
    <row r="441" spans="1:16" s="28" customFormat="1" x14ac:dyDescent="0.25">
      <c r="A441" s="53"/>
      <c r="B441" s="58"/>
      <c r="C441" s="58"/>
      <c r="D441" s="35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52"/>
    </row>
    <row r="442" spans="1:16" s="28" customFormat="1" x14ac:dyDescent="0.25">
      <c r="A442" s="53"/>
      <c r="B442" s="58"/>
      <c r="C442" s="58"/>
      <c r="D442" s="35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52"/>
    </row>
    <row r="443" spans="1:16" s="28" customFormat="1" x14ac:dyDescent="0.25">
      <c r="A443" s="53"/>
      <c r="B443" s="58"/>
      <c r="C443" s="58"/>
      <c r="D443" s="35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52"/>
    </row>
    <row r="444" spans="1:16" s="28" customFormat="1" x14ac:dyDescent="0.25">
      <c r="A444" s="53"/>
      <c r="B444" s="58"/>
      <c r="C444" s="58"/>
      <c r="D444" s="35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52"/>
    </row>
    <row r="445" spans="1:16" s="28" customFormat="1" x14ac:dyDescent="0.25">
      <c r="A445" s="53"/>
      <c r="B445" s="58"/>
      <c r="C445" s="58"/>
      <c r="D445" s="35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52"/>
    </row>
    <row r="446" spans="1:16" s="28" customFormat="1" x14ac:dyDescent="0.25">
      <c r="A446" s="53"/>
      <c r="B446" s="58"/>
      <c r="C446" s="58"/>
      <c r="D446" s="35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52"/>
    </row>
    <row r="447" spans="1:16" s="28" customFormat="1" x14ac:dyDescent="0.25">
      <c r="A447" s="53"/>
      <c r="B447" s="58"/>
      <c r="C447" s="58"/>
      <c r="D447" s="35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52"/>
    </row>
    <row r="448" spans="1:16" s="28" customFormat="1" x14ac:dyDescent="0.25">
      <c r="A448" s="53"/>
      <c r="B448" s="58"/>
      <c r="C448" s="58"/>
      <c r="D448" s="35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52"/>
    </row>
    <row r="449" spans="1:16" s="28" customFormat="1" x14ac:dyDescent="0.25">
      <c r="A449" s="53"/>
      <c r="B449" s="58"/>
      <c r="C449" s="58"/>
      <c r="D449" s="35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52"/>
    </row>
    <row r="450" spans="1:16" s="28" customFormat="1" x14ac:dyDescent="0.25">
      <c r="A450" s="53"/>
      <c r="B450" s="58"/>
      <c r="C450" s="58"/>
      <c r="D450" s="35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52"/>
    </row>
    <row r="451" spans="1:16" s="28" customFormat="1" x14ac:dyDescent="0.25">
      <c r="A451" s="53"/>
      <c r="B451" s="58"/>
      <c r="C451" s="58"/>
      <c r="D451" s="35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52"/>
    </row>
    <row r="452" spans="1:16" s="28" customFormat="1" x14ac:dyDescent="0.25">
      <c r="A452" s="53"/>
      <c r="B452" s="58"/>
      <c r="C452" s="58"/>
      <c r="D452" s="35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52"/>
    </row>
    <row r="453" spans="1:16" s="28" customFormat="1" x14ac:dyDescent="0.25">
      <c r="A453" s="53"/>
      <c r="B453" s="58"/>
      <c r="C453" s="58"/>
      <c r="D453" s="35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52"/>
    </row>
    <row r="454" spans="1:16" s="28" customFormat="1" x14ac:dyDescent="0.25">
      <c r="A454" s="53"/>
      <c r="B454" s="58"/>
      <c r="C454" s="58"/>
      <c r="D454" s="35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52"/>
    </row>
    <row r="455" spans="1:16" s="28" customFormat="1" x14ac:dyDescent="0.25">
      <c r="A455" s="53"/>
      <c r="B455" s="58"/>
      <c r="C455" s="58"/>
      <c r="D455" s="35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52"/>
    </row>
    <row r="456" spans="1:16" s="28" customFormat="1" x14ac:dyDescent="0.25">
      <c r="A456" s="53"/>
      <c r="B456" s="58"/>
      <c r="C456" s="58"/>
      <c r="D456" s="35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52"/>
    </row>
    <row r="457" spans="1:16" s="28" customFormat="1" x14ac:dyDescent="0.25">
      <c r="A457" s="53"/>
      <c r="B457" s="58"/>
      <c r="C457" s="58"/>
      <c r="D457" s="35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52"/>
    </row>
    <row r="458" spans="1:16" s="28" customFormat="1" x14ac:dyDescent="0.25">
      <c r="A458" s="53"/>
      <c r="B458" s="58"/>
      <c r="C458" s="58"/>
      <c r="D458" s="35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52"/>
    </row>
    <row r="459" spans="1:16" s="28" customFormat="1" x14ac:dyDescent="0.25">
      <c r="A459" s="53"/>
      <c r="B459" s="58"/>
      <c r="C459" s="58"/>
      <c r="D459" s="35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52"/>
    </row>
    <row r="460" spans="1:16" s="28" customFormat="1" x14ac:dyDescent="0.25">
      <c r="A460" s="53"/>
      <c r="B460" s="58"/>
      <c r="C460" s="58"/>
      <c r="D460" s="35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52"/>
    </row>
    <row r="461" spans="1:16" s="28" customFormat="1" x14ac:dyDescent="0.25">
      <c r="A461" s="53"/>
      <c r="B461" s="58"/>
      <c r="C461" s="58"/>
      <c r="D461" s="35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52"/>
    </row>
    <row r="462" spans="1:16" s="28" customFormat="1" x14ac:dyDescent="0.25">
      <c r="A462" s="53"/>
      <c r="B462" s="58"/>
      <c r="C462" s="58"/>
      <c r="D462" s="35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52"/>
    </row>
    <row r="463" spans="1:16" s="28" customFormat="1" x14ac:dyDescent="0.25">
      <c r="A463" s="53"/>
      <c r="B463" s="58"/>
      <c r="C463" s="58"/>
      <c r="D463" s="35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52"/>
    </row>
    <row r="464" spans="1:16" s="28" customFormat="1" x14ac:dyDescent="0.25">
      <c r="A464" s="53"/>
      <c r="B464" s="58"/>
      <c r="C464" s="58"/>
      <c r="D464" s="35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52"/>
    </row>
    <row r="465" spans="1:16" s="28" customFormat="1" x14ac:dyDescent="0.25">
      <c r="A465" s="53"/>
      <c r="B465" s="58"/>
      <c r="C465" s="58"/>
      <c r="D465" s="35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52"/>
    </row>
    <row r="466" spans="1:16" s="28" customFormat="1" x14ac:dyDescent="0.25">
      <c r="A466" s="53"/>
      <c r="B466" s="58"/>
      <c r="C466" s="58"/>
      <c r="D466" s="35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52"/>
    </row>
    <row r="467" spans="1:16" s="28" customFormat="1" x14ac:dyDescent="0.25">
      <c r="A467" s="53"/>
      <c r="B467" s="58"/>
      <c r="C467" s="58"/>
      <c r="D467" s="35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52"/>
    </row>
    <row r="468" spans="1:16" s="28" customFormat="1" x14ac:dyDescent="0.25">
      <c r="A468" s="53"/>
      <c r="B468" s="58"/>
      <c r="C468" s="58"/>
      <c r="D468" s="35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52"/>
    </row>
    <row r="469" spans="1:16" s="28" customFormat="1" x14ac:dyDescent="0.25">
      <c r="A469" s="53"/>
      <c r="B469" s="58"/>
      <c r="C469" s="58"/>
      <c r="D469" s="35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52"/>
    </row>
    <row r="470" spans="1:16" s="28" customFormat="1" x14ac:dyDescent="0.25">
      <c r="A470" s="53"/>
      <c r="B470" s="58"/>
      <c r="C470" s="58"/>
      <c r="D470" s="35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52"/>
    </row>
    <row r="471" spans="1:16" s="28" customFormat="1" x14ac:dyDescent="0.25">
      <c r="A471" s="53"/>
      <c r="B471" s="58"/>
      <c r="C471" s="58"/>
      <c r="D471" s="35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52"/>
    </row>
    <row r="472" spans="1:16" s="28" customFormat="1" x14ac:dyDescent="0.25">
      <c r="A472" s="53"/>
      <c r="B472" s="58"/>
      <c r="C472" s="58"/>
      <c r="D472" s="35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52"/>
    </row>
    <row r="473" spans="1:16" s="28" customFormat="1" x14ac:dyDescent="0.25">
      <c r="A473" s="53"/>
      <c r="B473" s="58"/>
      <c r="C473" s="58"/>
      <c r="D473" s="35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52"/>
    </row>
    <row r="474" spans="1:16" s="28" customFormat="1" x14ac:dyDescent="0.25">
      <c r="A474" s="53"/>
      <c r="B474" s="58"/>
      <c r="C474" s="58"/>
      <c r="D474" s="35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52"/>
    </row>
    <row r="475" spans="1:16" s="28" customFormat="1" x14ac:dyDescent="0.25">
      <c r="A475" s="53"/>
      <c r="B475" s="58"/>
      <c r="C475" s="58"/>
      <c r="D475" s="35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52"/>
    </row>
    <row r="476" spans="1:16" s="28" customFormat="1" x14ac:dyDescent="0.25">
      <c r="A476" s="53"/>
      <c r="B476" s="58"/>
      <c r="C476" s="58"/>
      <c r="D476" s="35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52"/>
    </row>
    <row r="477" spans="1:16" s="28" customFormat="1" x14ac:dyDescent="0.25">
      <c r="A477" s="53"/>
      <c r="B477" s="58"/>
      <c r="C477" s="58"/>
      <c r="D477" s="35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52"/>
    </row>
    <row r="478" spans="1:16" s="28" customFormat="1" x14ac:dyDescent="0.25">
      <c r="A478" s="53"/>
      <c r="B478" s="58"/>
      <c r="C478" s="58"/>
      <c r="D478" s="35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52"/>
    </row>
    <row r="479" spans="1:16" s="28" customFormat="1" x14ac:dyDescent="0.25">
      <c r="A479" s="53"/>
      <c r="B479" s="58"/>
      <c r="C479" s="58"/>
      <c r="D479" s="35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52"/>
    </row>
    <row r="480" spans="1:16" s="28" customFormat="1" x14ac:dyDescent="0.25">
      <c r="A480" s="53"/>
      <c r="B480" s="58"/>
      <c r="C480" s="58"/>
      <c r="D480" s="35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52"/>
    </row>
    <row r="481" spans="1:16" s="28" customFormat="1" x14ac:dyDescent="0.25">
      <c r="A481" s="53"/>
      <c r="B481" s="58"/>
      <c r="C481" s="58"/>
      <c r="D481" s="35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52"/>
    </row>
    <row r="482" spans="1:16" s="28" customFormat="1" x14ac:dyDescent="0.25">
      <c r="A482" s="53"/>
      <c r="B482" s="58"/>
      <c r="C482" s="58"/>
      <c r="D482" s="35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52"/>
    </row>
    <row r="483" spans="1:16" s="28" customFormat="1" x14ac:dyDescent="0.25">
      <c r="A483" s="53"/>
      <c r="B483" s="58"/>
      <c r="C483" s="58"/>
      <c r="D483" s="35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52"/>
    </row>
    <row r="484" spans="1:16" s="28" customFormat="1" x14ac:dyDescent="0.25">
      <c r="A484" s="53"/>
      <c r="B484" s="58"/>
      <c r="C484" s="58"/>
      <c r="D484" s="35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52"/>
    </row>
    <row r="485" spans="1:16" s="28" customFormat="1" x14ac:dyDescent="0.25">
      <c r="A485" s="53"/>
      <c r="B485" s="58"/>
      <c r="C485" s="58"/>
      <c r="D485" s="35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52"/>
    </row>
    <row r="486" spans="1:16" s="28" customFormat="1" x14ac:dyDescent="0.25">
      <c r="A486" s="53"/>
      <c r="B486" s="58"/>
      <c r="C486" s="58"/>
      <c r="D486" s="35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52"/>
    </row>
    <row r="487" spans="1:16" s="28" customFormat="1" x14ac:dyDescent="0.25">
      <c r="A487" s="53"/>
      <c r="B487" s="58"/>
      <c r="C487" s="58"/>
      <c r="D487" s="35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52"/>
    </row>
    <row r="488" spans="1:16" s="28" customFormat="1" x14ac:dyDescent="0.25">
      <c r="A488" s="53"/>
      <c r="B488" s="58"/>
      <c r="C488" s="58"/>
      <c r="D488" s="35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52"/>
    </row>
    <row r="489" spans="1:16" s="28" customFormat="1" x14ac:dyDescent="0.25">
      <c r="A489" s="53"/>
      <c r="B489" s="58"/>
      <c r="C489" s="58"/>
      <c r="D489" s="35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52"/>
    </row>
    <row r="490" spans="1:16" s="28" customFormat="1" x14ac:dyDescent="0.25">
      <c r="A490" s="53"/>
      <c r="B490" s="58"/>
      <c r="C490" s="58"/>
      <c r="D490" s="35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52"/>
    </row>
    <row r="491" spans="1:16" s="28" customFormat="1" x14ac:dyDescent="0.25">
      <c r="A491" s="53"/>
      <c r="B491" s="58"/>
      <c r="C491" s="58"/>
      <c r="D491" s="35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52"/>
    </row>
    <row r="492" spans="1:16" s="28" customFormat="1" x14ac:dyDescent="0.25">
      <c r="A492" s="53"/>
      <c r="B492" s="58"/>
      <c r="C492" s="58"/>
      <c r="D492" s="35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52"/>
    </row>
    <row r="493" spans="1:16" s="28" customFormat="1" x14ac:dyDescent="0.25">
      <c r="A493" s="53"/>
      <c r="B493" s="58"/>
      <c r="C493" s="58"/>
      <c r="D493" s="35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52"/>
    </row>
    <row r="494" spans="1:16" s="28" customFormat="1" x14ac:dyDescent="0.25">
      <c r="A494" s="53"/>
      <c r="B494" s="58"/>
      <c r="C494" s="58"/>
      <c r="D494" s="35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52"/>
    </row>
    <row r="495" spans="1:16" s="28" customFormat="1" x14ac:dyDescent="0.25">
      <c r="A495" s="53"/>
      <c r="B495" s="58"/>
      <c r="C495" s="58"/>
      <c r="D495" s="35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52"/>
    </row>
    <row r="496" spans="1:16" s="28" customFormat="1" x14ac:dyDescent="0.25">
      <c r="A496" s="53"/>
      <c r="B496" s="58"/>
      <c r="C496" s="58"/>
      <c r="D496" s="35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52"/>
    </row>
    <row r="497" spans="1:16" s="28" customFormat="1" x14ac:dyDescent="0.25">
      <c r="A497" s="53"/>
      <c r="B497" s="58"/>
      <c r="C497" s="58"/>
      <c r="D497" s="35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52"/>
    </row>
    <row r="498" spans="1:16" s="28" customFormat="1" x14ac:dyDescent="0.25">
      <c r="A498" s="53"/>
      <c r="B498" s="58"/>
      <c r="C498" s="58"/>
      <c r="D498" s="35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52"/>
    </row>
    <row r="499" spans="1:16" s="28" customFormat="1" x14ac:dyDescent="0.25">
      <c r="A499" s="53"/>
      <c r="B499" s="58"/>
      <c r="C499" s="58"/>
      <c r="D499" s="35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52"/>
    </row>
    <row r="500" spans="1:16" s="28" customFormat="1" x14ac:dyDescent="0.25">
      <c r="A500" s="53"/>
      <c r="B500" s="58"/>
      <c r="C500" s="58"/>
      <c r="D500" s="35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52"/>
    </row>
    <row r="501" spans="1:16" s="28" customFormat="1" x14ac:dyDescent="0.25">
      <c r="A501" s="53"/>
      <c r="B501" s="58"/>
      <c r="C501" s="58"/>
      <c r="D501" s="35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52"/>
    </row>
    <row r="502" spans="1:16" s="28" customFormat="1" x14ac:dyDescent="0.25">
      <c r="A502" s="53"/>
      <c r="B502" s="58"/>
      <c r="C502" s="58"/>
      <c r="D502" s="35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52"/>
    </row>
    <row r="503" spans="1:16" s="28" customFormat="1" x14ac:dyDescent="0.25">
      <c r="A503" s="53"/>
      <c r="B503" s="58"/>
      <c r="C503" s="58"/>
      <c r="D503" s="35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52"/>
    </row>
    <row r="504" spans="1:16" s="28" customFormat="1" x14ac:dyDescent="0.25">
      <c r="A504" s="53"/>
      <c r="B504" s="58"/>
      <c r="C504" s="58"/>
      <c r="D504" s="35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52"/>
    </row>
    <row r="505" spans="1:16" s="28" customFormat="1" x14ac:dyDescent="0.25">
      <c r="A505" s="53"/>
      <c r="B505" s="58"/>
      <c r="C505" s="58"/>
      <c r="D505" s="35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52"/>
    </row>
    <row r="506" spans="1:16" s="28" customFormat="1" x14ac:dyDescent="0.25">
      <c r="A506" s="53"/>
      <c r="B506" s="58"/>
      <c r="C506" s="58"/>
      <c r="D506" s="35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52"/>
    </row>
    <row r="507" spans="1:16" s="28" customFormat="1" x14ac:dyDescent="0.25">
      <c r="A507" s="53"/>
      <c r="B507" s="58"/>
      <c r="C507" s="58"/>
      <c r="D507" s="35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52"/>
    </row>
    <row r="508" spans="1:16" s="28" customFormat="1" x14ac:dyDescent="0.25">
      <c r="A508" s="53"/>
      <c r="B508" s="58"/>
      <c r="C508" s="58"/>
      <c r="D508" s="35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52"/>
    </row>
    <row r="509" spans="1:16" s="28" customFormat="1" x14ac:dyDescent="0.25">
      <c r="A509" s="53"/>
      <c r="B509" s="58"/>
      <c r="C509" s="58"/>
      <c r="D509" s="35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52"/>
    </row>
    <row r="510" spans="1:16" s="28" customFormat="1" x14ac:dyDescent="0.25">
      <c r="A510" s="53"/>
      <c r="B510" s="58"/>
      <c r="C510" s="58"/>
      <c r="D510" s="35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52"/>
    </row>
    <row r="511" spans="1:16" s="28" customFormat="1" x14ac:dyDescent="0.25">
      <c r="A511" s="53"/>
      <c r="B511" s="58"/>
      <c r="C511" s="58"/>
      <c r="D511" s="35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52"/>
    </row>
    <row r="512" spans="1:16" s="28" customFormat="1" x14ac:dyDescent="0.25">
      <c r="A512" s="53"/>
      <c r="B512" s="58"/>
      <c r="C512" s="58"/>
      <c r="D512" s="35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52"/>
    </row>
    <row r="513" spans="1:16" s="28" customFormat="1" x14ac:dyDescent="0.25">
      <c r="A513" s="53"/>
      <c r="B513" s="58"/>
      <c r="C513" s="58"/>
      <c r="D513" s="35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52"/>
    </row>
    <row r="514" spans="1:16" s="28" customFormat="1" x14ac:dyDescent="0.25">
      <c r="A514" s="53"/>
      <c r="B514" s="58"/>
      <c r="C514" s="58"/>
      <c r="D514" s="35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52"/>
    </row>
    <row r="515" spans="1:16" s="28" customFormat="1" x14ac:dyDescent="0.25">
      <c r="A515" s="53"/>
      <c r="B515" s="58"/>
      <c r="C515" s="58"/>
      <c r="D515" s="35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52"/>
    </row>
    <row r="516" spans="1:16" s="28" customFormat="1" x14ac:dyDescent="0.25">
      <c r="A516" s="53"/>
      <c r="B516" s="58"/>
      <c r="C516" s="58"/>
      <c r="D516" s="35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52"/>
    </row>
    <row r="517" spans="1:16" s="28" customFormat="1" x14ac:dyDescent="0.25">
      <c r="A517" s="53"/>
      <c r="B517" s="58"/>
      <c r="C517" s="58"/>
      <c r="D517" s="35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52"/>
    </row>
    <row r="518" spans="1:16" s="28" customFormat="1" x14ac:dyDescent="0.25">
      <c r="A518" s="53"/>
      <c r="B518" s="58"/>
      <c r="C518" s="58"/>
      <c r="D518" s="35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52"/>
    </row>
    <row r="519" spans="1:16" s="28" customFormat="1" x14ac:dyDescent="0.25">
      <c r="A519" s="53"/>
      <c r="B519" s="58"/>
      <c r="C519" s="58"/>
      <c r="D519" s="35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52"/>
    </row>
    <row r="520" spans="1:16" s="28" customFormat="1" x14ac:dyDescent="0.25">
      <c r="A520" s="53"/>
      <c r="B520" s="58"/>
      <c r="C520" s="58"/>
      <c r="D520" s="35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52"/>
    </row>
    <row r="521" spans="1:16" s="28" customFormat="1" x14ac:dyDescent="0.25">
      <c r="A521" s="53"/>
      <c r="B521" s="58"/>
      <c r="C521" s="58"/>
      <c r="D521" s="35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52"/>
    </row>
    <row r="522" spans="1:16" s="28" customFormat="1" x14ac:dyDescent="0.25">
      <c r="A522" s="53"/>
      <c r="B522" s="58"/>
      <c r="C522" s="58"/>
      <c r="D522" s="35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52"/>
    </row>
    <row r="523" spans="1:16" s="28" customFormat="1" x14ac:dyDescent="0.25">
      <c r="A523" s="53"/>
      <c r="B523" s="58"/>
      <c r="C523" s="58"/>
      <c r="D523" s="35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52"/>
    </row>
    <row r="524" spans="1:16" s="28" customFormat="1" x14ac:dyDescent="0.25">
      <c r="A524" s="53"/>
      <c r="B524" s="58"/>
      <c r="C524" s="58"/>
      <c r="D524" s="35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52"/>
    </row>
    <row r="525" spans="1:16" s="28" customFormat="1" x14ac:dyDescent="0.25">
      <c r="A525" s="53"/>
      <c r="B525" s="58"/>
      <c r="C525" s="58"/>
      <c r="D525" s="35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52"/>
    </row>
    <row r="526" spans="1:16" s="28" customFormat="1" x14ac:dyDescent="0.25">
      <c r="A526" s="53"/>
      <c r="B526" s="58"/>
      <c r="C526" s="58"/>
      <c r="D526" s="35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52"/>
    </row>
    <row r="527" spans="1:16" s="28" customFormat="1" x14ac:dyDescent="0.25">
      <c r="A527" s="53"/>
      <c r="B527" s="58"/>
      <c r="C527" s="58"/>
      <c r="D527" s="35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52"/>
    </row>
    <row r="528" spans="1:16" s="28" customFormat="1" x14ac:dyDescent="0.25">
      <c r="A528" s="53"/>
      <c r="B528" s="58"/>
      <c r="C528" s="58"/>
      <c r="D528" s="35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52"/>
    </row>
    <row r="529" spans="1:16" s="28" customFormat="1" x14ac:dyDescent="0.25">
      <c r="A529" s="53"/>
      <c r="B529" s="58"/>
      <c r="C529" s="58"/>
      <c r="D529" s="35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52"/>
    </row>
    <row r="530" spans="1:16" s="28" customFormat="1" x14ac:dyDescent="0.25">
      <c r="A530" s="53"/>
      <c r="B530" s="58"/>
      <c r="C530" s="58"/>
      <c r="D530" s="35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52"/>
    </row>
    <row r="531" spans="1:16" s="28" customFormat="1" x14ac:dyDescent="0.25">
      <c r="A531" s="53"/>
      <c r="B531" s="58"/>
      <c r="C531" s="58"/>
      <c r="D531" s="35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52"/>
    </row>
    <row r="532" spans="1:16" s="28" customFormat="1" x14ac:dyDescent="0.25">
      <c r="A532" s="53"/>
      <c r="B532" s="58"/>
      <c r="C532" s="58"/>
      <c r="D532" s="35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52"/>
    </row>
    <row r="533" spans="1:16" s="28" customFormat="1" x14ac:dyDescent="0.25">
      <c r="A533" s="53"/>
      <c r="B533" s="58"/>
      <c r="C533" s="58"/>
      <c r="D533" s="35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52"/>
    </row>
    <row r="534" spans="1:16" s="28" customFormat="1" x14ac:dyDescent="0.25">
      <c r="A534" s="53"/>
      <c r="B534" s="58"/>
      <c r="C534" s="58"/>
      <c r="D534" s="35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52"/>
    </row>
    <row r="535" spans="1:16" s="28" customFormat="1" x14ac:dyDescent="0.25">
      <c r="A535" s="53"/>
      <c r="B535" s="58"/>
      <c r="C535" s="58"/>
      <c r="D535" s="35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52"/>
    </row>
    <row r="536" spans="1:16" s="28" customFormat="1" x14ac:dyDescent="0.25">
      <c r="A536" s="53"/>
      <c r="B536" s="58"/>
      <c r="C536" s="58"/>
      <c r="D536" s="35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52"/>
    </row>
    <row r="537" spans="1:16" s="28" customFormat="1" x14ac:dyDescent="0.25">
      <c r="A537" s="53"/>
      <c r="B537" s="58"/>
      <c r="C537" s="58"/>
      <c r="D537" s="35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52"/>
    </row>
    <row r="538" spans="1:16" s="28" customFormat="1" x14ac:dyDescent="0.25">
      <c r="A538" s="53"/>
      <c r="B538" s="58"/>
      <c r="C538" s="58"/>
      <c r="D538" s="35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52"/>
    </row>
    <row r="539" spans="1:16" s="28" customFormat="1" x14ac:dyDescent="0.25">
      <c r="A539" s="53"/>
      <c r="B539" s="58"/>
      <c r="C539" s="58"/>
      <c r="D539" s="35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52"/>
    </row>
    <row r="540" spans="1:16" s="28" customFormat="1" x14ac:dyDescent="0.25">
      <c r="A540" s="53"/>
      <c r="B540" s="58"/>
      <c r="C540" s="58"/>
      <c r="D540" s="35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52"/>
    </row>
    <row r="541" spans="1:16" s="28" customFormat="1" x14ac:dyDescent="0.25">
      <c r="A541" s="53"/>
      <c r="B541" s="58"/>
      <c r="C541" s="58"/>
      <c r="D541" s="35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52"/>
    </row>
    <row r="542" spans="1:16" s="28" customFormat="1" x14ac:dyDescent="0.25">
      <c r="A542" s="53"/>
      <c r="B542" s="58"/>
      <c r="C542" s="58"/>
      <c r="D542" s="35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52"/>
    </row>
    <row r="543" spans="1:16" s="28" customFormat="1" x14ac:dyDescent="0.25">
      <c r="A543" s="53"/>
      <c r="B543" s="58"/>
      <c r="C543" s="58"/>
      <c r="D543" s="35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52"/>
    </row>
    <row r="544" spans="1:16" s="28" customFormat="1" x14ac:dyDescent="0.25">
      <c r="A544" s="53"/>
      <c r="B544" s="58"/>
      <c r="C544" s="58"/>
      <c r="D544" s="35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52"/>
    </row>
    <row r="545" spans="1:16" s="28" customFormat="1" x14ac:dyDescent="0.25">
      <c r="A545" s="53"/>
      <c r="B545" s="58"/>
      <c r="C545" s="58"/>
      <c r="D545" s="35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52"/>
    </row>
    <row r="546" spans="1:16" s="28" customFormat="1" x14ac:dyDescent="0.25">
      <c r="A546" s="53"/>
      <c r="B546" s="58"/>
      <c r="C546" s="58"/>
      <c r="D546" s="35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52"/>
    </row>
    <row r="547" spans="1:16" s="28" customFormat="1" x14ac:dyDescent="0.25">
      <c r="A547" s="53"/>
      <c r="B547" s="58"/>
      <c r="C547" s="58"/>
      <c r="D547" s="35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52"/>
    </row>
    <row r="548" spans="1:16" s="28" customFormat="1" x14ac:dyDescent="0.25">
      <c r="A548" s="53"/>
      <c r="B548" s="58"/>
      <c r="C548" s="58"/>
      <c r="D548" s="35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52"/>
    </row>
    <row r="549" spans="1:16" s="28" customFormat="1" x14ac:dyDescent="0.25">
      <c r="A549" s="53"/>
      <c r="B549" s="58"/>
      <c r="C549" s="58"/>
      <c r="D549" s="35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52"/>
    </row>
    <row r="550" spans="1:16" s="28" customFormat="1" x14ac:dyDescent="0.25">
      <c r="A550" s="53"/>
      <c r="B550" s="58"/>
      <c r="C550" s="58"/>
      <c r="D550" s="35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52"/>
    </row>
    <row r="551" spans="1:16" s="28" customFormat="1" x14ac:dyDescent="0.25">
      <c r="A551" s="53"/>
      <c r="B551" s="58"/>
      <c r="C551" s="58"/>
      <c r="D551" s="35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52"/>
    </row>
    <row r="552" spans="1:16" s="28" customFormat="1" x14ac:dyDescent="0.25">
      <c r="A552" s="53"/>
      <c r="B552" s="58"/>
      <c r="C552" s="58"/>
      <c r="D552" s="35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52"/>
    </row>
    <row r="553" spans="1:16" s="28" customFormat="1" x14ac:dyDescent="0.25">
      <c r="A553" s="53"/>
      <c r="B553" s="58"/>
      <c r="C553" s="58"/>
      <c r="D553" s="35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52"/>
    </row>
    <row r="554" spans="1:16" s="28" customFormat="1" x14ac:dyDescent="0.25">
      <c r="A554" s="53"/>
      <c r="B554" s="58"/>
      <c r="C554" s="58"/>
      <c r="D554" s="35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52"/>
    </row>
    <row r="555" spans="1:16" s="28" customFormat="1" x14ac:dyDescent="0.25">
      <c r="A555" s="53"/>
      <c r="B555" s="58"/>
      <c r="C555" s="58"/>
      <c r="D555" s="35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52"/>
    </row>
    <row r="556" spans="1:16" s="28" customFormat="1" x14ac:dyDescent="0.25">
      <c r="A556" s="53"/>
      <c r="B556" s="58"/>
      <c r="C556" s="58"/>
      <c r="D556" s="35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52"/>
    </row>
    <row r="557" spans="1:16" s="28" customFormat="1" x14ac:dyDescent="0.25">
      <c r="A557" s="53"/>
      <c r="B557" s="58"/>
      <c r="C557" s="58"/>
      <c r="D557" s="35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52"/>
    </row>
    <row r="558" spans="1:16" s="28" customFormat="1" x14ac:dyDescent="0.25">
      <c r="A558" s="53"/>
      <c r="B558" s="58"/>
      <c r="C558" s="58"/>
      <c r="D558" s="35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52"/>
    </row>
    <row r="559" spans="1:16" s="28" customFormat="1" x14ac:dyDescent="0.25">
      <c r="A559" s="53"/>
      <c r="B559" s="58"/>
      <c r="C559" s="58"/>
      <c r="D559" s="35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52"/>
    </row>
    <row r="560" spans="1:16" s="28" customFormat="1" x14ac:dyDescent="0.25">
      <c r="A560" s="53"/>
      <c r="B560" s="58"/>
      <c r="C560" s="58"/>
      <c r="D560" s="35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52"/>
    </row>
    <row r="561" spans="1:16" s="28" customFormat="1" x14ac:dyDescent="0.25">
      <c r="A561" s="53"/>
      <c r="B561" s="58"/>
      <c r="C561" s="58"/>
      <c r="D561" s="35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52"/>
    </row>
    <row r="562" spans="1:16" s="28" customFormat="1" x14ac:dyDescent="0.25">
      <c r="A562" s="53"/>
      <c r="B562" s="58"/>
      <c r="C562" s="58"/>
      <c r="D562" s="35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52"/>
    </row>
    <row r="563" spans="1:16" s="28" customFormat="1" x14ac:dyDescent="0.25">
      <c r="A563" s="53"/>
      <c r="B563" s="58"/>
      <c r="C563" s="58"/>
      <c r="D563" s="35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52"/>
    </row>
    <row r="564" spans="1:16" s="28" customFormat="1" x14ac:dyDescent="0.25">
      <c r="A564" s="53"/>
      <c r="B564" s="58"/>
      <c r="C564" s="58"/>
      <c r="D564" s="35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52"/>
    </row>
    <row r="565" spans="1:16" s="28" customFormat="1" x14ac:dyDescent="0.25">
      <c r="A565" s="53"/>
      <c r="B565" s="58"/>
      <c r="C565" s="58"/>
      <c r="D565" s="35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52"/>
    </row>
    <row r="566" spans="1:16" s="28" customFormat="1" x14ac:dyDescent="0.25">
      <c r="A566" s="53"/>
      <c r="B566" s="58"/>
      <c r="C566" s="58"/>
      <c r="D566" s="35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52"/>
    </row>
    <row r="567" spans="1:16" s="28" customFormat="1" x14ac:dyDescent="0.25">
      <c r="A567" s="53"/>
      <c r="B567" s="58"/>
      <c r="C567" s="58"/>
      <c r="D567" s="35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52"/>
    </row>
    <row r="568" spans="1:16" s="28" customFormat="1" x14ac:dyDescent="0.25">
      <c r="A568" s="53"/>
      <c r="B568" s="58"/>
      <c r="C568" s="58"/>
      <c r="D568" s="35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52"/>
    </row>
    <row r="569" spans="1:16" s="28" customFormat="1" x14ac:dyDescent="0.25">
      <c r="A569" s="53"/>
      <c r="B569" s="58"/>
      <c r="C569" s="58"/>
      <c r="D569" s="35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52"/>
    </row>
    <row r="570" spans="1:16" s="28" customFormat="1" x14ac:dyDescent="0.25">
      <c r="A570" s="53"/>
      <c r="B570" s="58"/>
      <c r="C570" s="58"/>
      <c r="D570" s="35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52"/>
    </row>
    <row r="571" spans="1:16" s="28" customFormat="1" x14ac:dyDescent="0.25">
      <c r="A571" s="53"/>
      <c r="B571" s="58"/>
      <c r="C571" s="58"/>
      <c r="D571" s="35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52"/>
    </row>
    <row r="572" spans="1:16" s="28" customFormat="1" x14ac:dyDescent="0.25">
      <c r="A572" s="53"/>
      <c r="B572" s="58"/>
      <c r="C572" s="58"/>
      <c r="D572" s="35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52"/>
    </row>
    <row r="573" spans="1:16" s="28" customFormat="1" x14ac:dyDescent="0.25">
      <c r="A573" s="53"/>
      <c r="B573" s="58"/>
      <c r="C573" s="58"/>
      <c r="D573" s="35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52"/>
    </row>
    <row r="574" spans="1:16" s="28" customFormat="1" x14ac:dyDescent="0.25">
      <c r="A574" s="53"/>
      <c r="B574" s="58"/>
      <c r="C574" s="58"/>
      <c r="D574" s="35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52"/>
    </row>
    <row r="575" spans="1:16" s="28" customFormat="1" x14ac:dyDescent="0.25">
      <c r="A575" s="53"/>
      <c r="B575" s="58"/>
      <c r="C575" s="58"/>
      <c r="D575" s="35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52"/>
    </row>
    <row r="576" spans="1:16" s="28" customFormat="1" x14ac:dyDescent="0.25">
      <c r="A576" s="53"/>
      <c r="B576" s="58"/>
      <c r="C576" s="58"/>
      <c r="D576" s="35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52"/>
    </row>
    <row r="577" spans="1:16" s="28" customFormat="1" x14ac:dyDescent="0.25">
      <c r="A577" s="53"/>
      <c r="B577" s="58"/>
      <c r="C577" s="58"/>
      <c r="D577" s="35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52"/>
    </row>
    <row r="578" spans="1:16" s="28" customFormat="1" x14ac:dyDescent="0.25">
      <c r="A578" s="53"/>
      <c r="B578" s="58"/>
      <c r="C578" s="58"/>
      <c r="D578" s="35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52"/>
    </row>
    <row r="579" spans="1:16" s="28" customFormat="1" x14ac:dyDescent="0.25">
      <c r="A579" s="53"/>
      <c r="B579" s="58"/>
      <c r="C579" s="58"/>
      <c r="D579" s="35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52"/>
    </row>
    <row r="580" spans="1:16" s="28" customFormat="1" x14ac:dyDescent="0.25">
      <c r="A580" s="53"/>
      <c r="B580" s="58"/>
      <c r="C580" s="58"/>
      <c r="D580" s="35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52"/>
    </row>
    <row r="581" spans="1:16" s="28" customFormat="1" x14ac:dyDescent="0.25">
      <c r="A581" s="53"/>
      <c r="B581" s="58"/>
      <c r="C581" s="58"/>
      <c r="D581" s="35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52"/>
    </row>
    <row r="582" spans="1:16" s="28" customFormat="1" x14ac:dyDescent="0.25">
      <c r="A582" s="53"/>
      <c r="B582" s="58"/>
      <c r="C582" s="58"/>
      <c r="D582" s="35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52"/>
    </row>
    <row r="583" spans="1:16" s="28" customFormat="1" x14ac:dyDescent="0.25">
      <c r="A583" s="53"/>
      <c r="B583" s="58"/>
      <c r="C583" s="58"/>
      <c r="D583" s="35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52"/>
    </row>
    <row r="584" spans="1:16" s="28" customFormat="1" x14ac:dyDescent="0.25">
      <c r="A584" s="53"/>
      <c r="B584" s="58"/>
      <c r="C584" s="58"/>
      <c r="D584" s="35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52"/>
    </row>
    <row r="585" spans="1:16" s="28" customFormat="1" x14ac:dyDescent="0.25">
      <c r="A585" s="53"/>
      <c r="B585" s="58"/>
      <c r="C585" s="58"/>
      <c r="D585" s="35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52"/>
    </row>
    <row r="586" spans="1:16" s="28" customFormat="1" x14ac:dyDescent="0.25">
      <c r="A586" s="53"/>
      <c r="B586" s="58"/>
      <c r="C586" s="58"/>
      <c r="D586" s="35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52"/>
    </row>
    <row r="587" spans="1:16" s="28" customFormat="1" x14ac:dyDescent="0.25">
      <c r="A587" s="53"/>
      <c r="B587" s="58"/>
      <c r="C587" s="58"/>
      <c r="D587" s="35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52"/>
    </row>
    <row r="588" spans="1:16" s="28" customFormat="1" x14ac:dyDescent="0.25">
      <c r="A588" s="53"/>
      <c r="B588" s="58"/>
      <c r="C588" s="58"/>
      <c r="D588" s="35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52"/>
    </row>
    <row r="589" spans="1:16" s="28" customFormat="1" x14ac:dyDescent="0.25">
      <c r="A589" s="53"/>
      <c r="B589" s="58"/>
      <c r="C589" s="58"/>
      <c r="D589" s="35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52"/>
    </row>
    <row r="590" spans="1:16" s="28" customFormat="1" x14ac:dyDescent="0.25">
      <c r="A590" s="53"/>
      <c r="B590" s="58"/>
      <c r="C590" s="58"/>
      <c r="D590" s="35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52"/>
    </row>
    <row r="591" spans="1:16" s="28" customFormat="1" x14ac:dyDescent="0.25">
      <c r="A591" s="53"/>
      <c r="B591" s="58"/>
      <c r="C591" s="58"/>
      <c r="D591" s="35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52"/>
    </row>
    <row r="592" spans="1:16" s="28" customFormat="1" x14ac:dyDescent="0.25">
      <c r="A592" s="53"/>
      <c r="B592" s="58"/>
      <c r="C592" s="58"/>
      <c r="D592" s="35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52"/>
    </row>
    <row r="593" spans="1:16" s="28" customFormat="1" x14ac:dyDescent="0.25">
      <c r="A593" s="53"/>
      <c r="B593" s="58"/>
      <c r="C593" s="58"/>
      <c r="D593" s="35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52"/>
    </row>
    <row r="594" spans="1:16" s="28" customFormat="1" x14ac:dyDescent="0.25">
      <c r="A594" s="53"/>
      <c r="B594" s="58"/>
      <c r="C594" s="58"/>
      <c r="D594" s="35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52"/>
    </row>
    <row r="595" spans="1:16" s="28" customFormat="1" x14ac:dyDescent="0.25">
      <c r="A595" s="53"/>
      <c r="B595" s="58"/>
      <c r="C595" s="58"/>
      <c r="D595" s="35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52"/>
    </row>
    <row r="596" spans="1:16" s="28" customFormat="1" x14ac:dyDescent="0.25">
      <c r="A596" s="53"/>
      <c r="B596" s="58"/>
      <c r="C596" s="58"/>
      <c r="D596" s="35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52"/>
    </row>
    <row r="597" spans="1:16" s="28" customFormat="1" x14ac:dyDescent="0.25">
      <c r="A597" s="53"/>
      <c r="B597" s="58"/>
      <c r="C597" s="58"/>
      <c r="D597" s="35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52"/>
    </row>
    <row r="598" spans="1:16" s="28" customFormat="1" x14ac:dyDescent="0.25">
      <c r="A598" s="53"/>
      <c r="B598" s="58"/>
      <c r="C598" s="58"/>
      <c r="D598" s="35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52"/>
    </row>
    <row r="599" spans="1:16" s="28" customFormat="1" x14ac:dyDescent="0.25">
      <c r="A599" s="53"/>
      <c r="B599" s="58"/>
      <c r="C599" s="58"/>
      <c r="D599" s="35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52"/>
    </row>
    <row r="600" spans="1:16" s="28" customFormat="1" x14ac:dyDescent="0.25">
      <c r="A600" s="53"/>
      <c r="B600" s="58"/>
      <c r="C600" s="58"/>
      <c r="D600" s="35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52"/>
    </row>
    <row r="601" spans="1:16" s="28" customFormat="1" x14ac:dyDescent="0.25">
      <c r="A601" s="53"/>
      <c r="B601" s="58"/>
      <c r="C601" s="58"/>
      <c r="D601" s="35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52"/>
    </row>
    <row r="602" spans="1:16" s="28" customFormat="1" x14ac:dyDescent="0.25">
      <c r="A602" s="53"/>
      <c r="B602" s="58"/>
      <c r="C602" s="58"/>
      <c r="D602" s="35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52"/>
    </row>
    <row r="603" spans="1:16" s="28" customFormat="1" x14ac:dyDescent="0.25">
      <c r="A603" s="53"/>
      <c r="B603" s="58"/>
      <c r="C603" s="58"/>
      <c r="D603" s="35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52"/>
    </row>
    <row r="604" spans="1:16" s="28" customFormat="1" x14ac:dyDescent="0.25">
      <c r="A604" s="53"/>
      <c r="B604" s="58"/>
      <c r="C604" s="58"/>
      <c r="D604" s="35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52"/>
    </row>
    <row r="605" spans="1:16" s="28" customFormat="1" x14ac:dyDescent="0.25">
      <c r="A605" s="53"/>
      <c r="B605" s="58"/>
      <c r="C605" s="58"/>
      <c r="D605" s="35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52"/>
    </row>
    <row r="606" spans="1:16" s="28" customFormat="1" x14ac:dyDescent="0.25">
      <c r="A606" s="53"/>
      <c r="B606" s="58"/>
      <c r="C606" s="58"/>
      <c r="D606" s="35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52"/>
    </row>
    <row r="607" spans="1:16" s="28" customFormat="1" x14ac:dyDescent="0.25">
      <c r="A607" s="53"/>
      <c r="B607" s="58"/>
      <c r="C607" s="58"/>
      <c r="D607" s="35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52"/>
    </row>
    <row r="608" spans="1:16" s="28" customFormat="1" x14ac:dyDescent="0.25">
      <c r="A608" s="53"/>
      <c r="B608" s="58"/>
      <c r="C608" s="58"/>
      <c r="D608" s="35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52"/>
    </row>
    <row r="609" spans="1:16" s="28" customFormat="1" x14ac:dyDescent="0.25">
      <c r="A609" s="53"/>
      <c r="B609" s="58"/>
      <c r="C609" s="58"/>
      <c r="D609" s="35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52"/>
    </row>
    <row r="610" spans="1:16" s="28" customFormat="1" x14ac:dyDescent="0.25">
      <c r="A610" s="53"/>
      <c r="B610" s="58"/>
      <c r="C610" s="58"/>
      <c r="D610" s="35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52"/>
    </row>
    <row r="611" spans="1:16" s="28" customFormat="1" x14ac:dyDescent="0.25">
      <c r="A611" s="53"/>
      <c r="B611" s="58"/>
      <c r="C611" s="58"/>
      <c r="D611" s="35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52"/>
    </row>
    <row r="612" spans="1:16" s="28" customFormat="1" x14ac:dyDescent="0.25">
      <c r="A612" s="53"/>
      <c r="B612" s="58"/>
      <c r="C612" s="58"/>
      <c r="D612" s="35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52"/>
    </row>
    <row r="613" spans="1:16" s="28" customFormat="1" x14ac:dyDescent="0.25">
      <c r="A613" s="53"/>
      <c r="B613" s="58"/>
      <c r="C613" s="58"/>
      <c r="D613" s="35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52"/>
    </row>
    <row r="614" spans="1:16" s="28" customFormat="1" x14ac:dyDescent="0.25">
      <c r="A614" s="53"/>
      <c r="B614" s="58"/>
      <c r="C614" s="58"/>
      <c r="D614" s="35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52"/>
    </row>
    <row r="615" spans="1:16" s="28" customFormat="1" x14ac:dyDescent="0.25">
      <c r="A615" s="53"/>
      <c r="B615" s="58"/>
      <c r="C615" s="58"/>
      <c r="D615" s="35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52"/>
    </row>
    <row r="616" spans="1:16" s="28" customFormat="1" x14ac:dyDescent="0.25">
      <c r="A616" s="53"/>
      <c r="B616" s="58"/>
      <c r="C616" s="58"/>
      <c r="D616" s="35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52"/>
    </row>
    <row r="617" spans="1:16" s="28" customFormat="1" x14ac:dyDescent="0.25">
      <c r="A617" s="53"/>
      <c r="B617" s="58"/>
      <c r="C617" s="58"/>
      <c r="D617" s="35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52"/>
    </row>
    <row r="618" spans="1:16" s="28" customFormat="1" x14ac:dyDescent="0.25">
      <c r="A618" s="53"/>
      <c r="B618" s="58"/>
      <c r="C618" s="58"/>
      <c r="D618" s="35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52"/>
    </row>
    <row r="619" spans="1:16" s="28" customFormat="1" x14ac:dyDescent="0.25">
      <c r="A619" s="53"/>
      <c r="B619" s="58"/>
      <c r="C619" s="58"/>
      <c r="D619" s="35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52"/>
    </row>
    <row r="620" spans="1:16" s="28" customFormat="1" x14ac:dyDescent="0.25">
      <c r="A620" s="53"/>
      <c r="B620" s="58"/>
      <c r="C620" s="58"/>
      <c r="D620" s="35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52"/>
    </row>
    <row r="621" spans="1:16" s="28" customFormat="1" x14ac:dyDescent="0.25">
      <c r="A621" s="53"/>
      <c r="B621" s="58"/>
      <c r="C621" s="58"/>
      <c r="D621" s="35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52"/>
    </row>
    <row r="622" spans="1:16" s="28" customFormat="1" x14ac:dyDescent="0.25">
      <c r="A622" s="53"/>
      <c r="B622" s="58"/>
      <c r="C622" s="58"/>
      <c r="D622" s="35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52"/>
    </row>
    <row r="623" spans="1:16" s="28" customFormat="1" x14ac:dyDescent="0.25">
      <c r="A623" s="53"/>
      <c r="B623" s="58"/>
      <c r="C623" s="58"/>
      <c r="D623" s="35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52"/>
    </row>
    <row r="624" spans="1:16" s="28" customFormat="1" x14ac:dyDescent="0.25">
      <c r="A624" s="53"/>
      <c r="B624" s="58"/>
      <c r="C624" s="58"/>
      <c r="D624" s="35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52"/>
    </row>
    <row r="625" spans="1:16" s="28" customFormat="1" x14ac:dyDescent="0.25">
      <c r="A625" s="53"/>
      <c r="B625" s="58"/>
      <c r="C625" s="58"/>
      <c r="D625" s="35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52"/>
    </row>
    <row r="626" spans="1:16" s="28" customFormat="1" x14ac:dyDescent="0.25">
      <c r="A626" s="53"/>
      <c r="B626" s="58"/>
      <c r="C626" s="58"/>
      <c r="D626" s="35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52"/>
    </row>
    <row r="627" spans="1:16" s="28" customFormat="1" x14ac:dyDescent="0.25">
      <c r="A627" s="53"/>
      <c r="B627" s="58"/>
      <c r="C627" s="58"/>
      <c r="D627" s="35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52"/>
    </row>
    <row r="628" spans="1:16" s="28" customFormat="1" x14ac:dyDescent="0.25">
      <c r="A628" s="53"/>
      <c r="B628" s="58"/>
      <c r="C628" s="58"/>
      <c r="D628" s="35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52"/>
    </row>
    <row r="629" spans="1:16" s="28" customFormat="1" x14ac:dyDescent="0.25">
      <c r="A629" s="53"/>
      <c r="B629" s="58"/>
      <c r="C629" s="58"/>
      <c r="D629" s="35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52"/>
    </row>
    <row r="630" spans="1:16" s="28" customFormat="1" x14ac:dyDescent="0.25">
      <c r="A630" s="53"/>
      <c r="B630" s="58"/>
      <c r="C630" s="58"/>
      <c r="D630" s="35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52"/>
    </row>
    <row r="631" spans="1:16" s="28" customFormat="1" x14ac:dyDescent="0.25">
      <c r="A631" s="53"/>
      <c r="B631" s="58"/>
      <c r="C631" s="58"/>
      <c r="D631" s="35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52"/>
    </row>
    <row r="632" spans="1:16" s="28" customFormat="1" x14ac:dyDescent="0.25">
      <c r="A632" s="53"/>
      <c r="B632" s="58"/>
      <c r="C632" s="58"/>
      <c r="D632" s="35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52"/>
    </row>
    <row r="633" spans="1:16" s="28" customFormat="1" x14ac:dyDescent="0.25">
      <c r="A633" s="53"/>
      <c r="B633" s="58"/>
      <c r="C633" s="58"/>
      <c r="D633" s="35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52"/>
    </row>
    <row r="634" spans="1:16" s="28" customFormat="1" x14ac:dyDescent="0.25">
      <c r="A634" s="53"/>
      <c r="B634" s="58"/>
      <c r="C634" s="58"/>
      <c r="D634" s="35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52"/>
    </row>
    <row r="635" spans="1:16" s="28" customFormat="1" x14ac:dyDescent="0.25">
      <c r="A635" s="53"/>
      <c r="B635" s="58"/>
      <c r="C635" s="58"/>
      <c r="D635" s="35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52"/>
    </row>
    <row r="636" spans="1:16" s="28" customFormat="1" x14ac:dyDescent="0.25">
      <c r="A636" s="53"/>
      <c r="B636" s="58"/>
      <c r="C636" s="58"/>
      <c r="D636" s="35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52"/>
    </row>
    <row r="637" spans="1:16" s="28" customFormat="1" x14ac:dyDescent="0.25">
      <c r="A637" s="53"/>
      <c r="B637" s="58"/>
      <c r="C637" s="58"/>
      <c r="D637" s="35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52"/>
    </row>
    <row r="638" spans="1:16" s="28" customFormat="1" x14ac:dyDescent="0.25">
      <c r="A638" s="53"/>
      <c r="B638" s="58"/>
      <c r="C638" s="58"/>
      <c r="D638" s="35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52"/>
    </row>
    <row r="639" spans="1:16" s="28" customFormat="1" x14ac:dyDescent="0.25">
      <c r="A639" s="53"/>
      <c r="B639" s="58"/>
      <c r="C639" s="58"/>
      <c r="D639" s="35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52"/>
    </row>
    <row r="640" spans="1:16" s="28" customFormat="1" x14ac:dyDescent="0.25">
      <c r="A640" s="53"/>
      <c r="B640" s="58"/>
      <c r="C640" s="58"/>
      <c r="D640" s="35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52"/>
    </row>
    <row r="641" spans="1:16" s="28" customFormat="1" x14ac:dyDescent="0.25">
      <c r="A641" s="53"/>
      <c r="B641" s="58"/>
      <c r="C641" s="58"/>
      <c r="D641" s="35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52"/>
    </row>
    <row r="642" spans="1:16" s="28" customFormat="1" x14ac:dyDescent="0.25">
      <c r="A642" s="53"/>
      <c r="B642" s="58"/>
      <c r="C642" s="58"/>
      <c r="D642" s="35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52"/>
    </row>
    <row r="643" spans="1:16" s="28" customFormat="1" x14ac:dyDescent="0.25">
      <c r="A643" s="53"/>
      <c r="B643" s="58"/>
      <c r="C643" s="58"/>
      <c r="D643" s="35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52"/>
    </row>
    <row r="644" spans="1:16" s="28" customFormat="1" x14ac:dyDescent="0.25">
      <c r="A644" s="53"/>
      <c r="B644" s="58"/>
      <c r="C644" s="58"/>
      <c r="D644" s="35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52"/>
    </row>
    <row r="645" spans="1:16" s="28" customFormat="1" x14ac:dyDescent="0.25">
      <c r="A645" s="53"/>
      <c r="B645" s="58"/>
      <c r="C645" s="58"/>
      <c r="D645" s="35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52"/>
    </row>
    <row r="646" spans="1:16" s="28" customFormat="1" x14ac:dyDescent="0.25">
      <c r="A646" s="53"/>
      <c r="B646" s="58"/>
      <c r="C646" s="58"/>
      <c r="D646" s="35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52"/>
    </row>
    <row r="647" spans="1:16" s="28" customFormat="1" x14ac:dyDescent="0.25">
      <c r="A647" s="53"/>
      <c r="B647" s="58"/>
      <c r="C647" s="58"/>
      <c r="D647" s="35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52"/>
    </row>
    <row r="648" spans="1:16" s="28" customFormat="1" x14ac:dyDescent="0.25">
      <c r="A648" s="53"/>
      <c r="B648" s="58"/>
      <c r="C648" s="58"/>
      <c r="D648" s="35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52"/>
    </row>
    <row r="649" spans="1:16" s="28" customFormat="1" x14ac:dyDescent="0.25">
      <c r="A649" s="53"/>
      <c r="B649" s="58"/>
      <c r="C649" s="58"/>
      <c r="D649" s="35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52"/>
    </row>
    <row r="650" spans="1:16" s="28" customFormat="1" x14ac:dyDescent="0.25">
      <c r="A650" s="53"/>
      <c r="B650" s="58"/>
      <c r="C650" s="58"/>
      <c r="D650" s="35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52"/>
    </row>
    <row r="651" spans="1:16" s="28" customFormat="1" x14ac:dyDescent="0.25">
      <c r="A651" s="53"/>
      <c r="B651" s="58"/>
      <c r="C651" s="58"/>
      <c r="D651" s="35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52"/>
    </row>
    <row r="652" spans="1:16" s="28" customFormat="1" x14ac:dyDescent="0.25">
      <c r="A652" s="53"/>
      <c r="B652" s="58"/>
      <c r="C652" s="58"/>
      <c r="D652" s="35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52"/>
    </row>
    <row r="653" spans="1:16" s="28" customFormat="1" x14ac:dyDescent="0.25">
      <c r="A653" s="53"/>
      <c r="B653" s="58"/>
      <c r="C653" s="58"/>
      <c r="D653" s="35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52"/>
    </row>
    <row r="654" spans="1:16" s="28" customFormat="1" x14ac:dyDescent="0.25">
      <c r="A654" s="53"/>
      <c r="B654" s="58"/>
      <c r="C654" s="58"/>
      <c r="D654" s="35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52"/>
    </row>
    <row r="655" spans="1:16" s="28" customFormat="1" x14ac:dyDescent="0.25">
      <c r="A655" s="53"/>
      <c r="B655" s="58"/>
      <c r="C655" s="58"/>
      <c r="D655" s="35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52"/>
    </row>
    <row r="656" spans="1:16" s="28" customFormat="1" x14ac:dyDescent="0.25">
      <c r="A656" s="53"/>
      <c r="B656" s="58"/>
      <c r="C656" s="58"/>
      <c r="D656" s="35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52"/>
    </row>
    <row r="657" spans="1:16" s="28" customFormat="1" x14ac:dyDescent="0.25">
      <c r="A657" s="53"/>
      <c r="B657" s="58"/>
      <c r="C657" s="58"/>
      <c r="D657" s="35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52"/>
    </row>
    <row r="658" spans="1:16" s="28" customFormat="1" x14ac:dyDescent="0.25">
      <c r="A658" s="53"/>
      <c r="B658" s="58"/>
      <c r="C658" s="58"/>
      <c r="D658" s="35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52"/>
    </row>
    <row r="659" spans="1:16" s="28" customFormat="1" x14ac:dyDescent="0.25">
      <c r="A659" s="53"/>
      <c r="B659" s="58"/>
      <c r="C659" s="58"/>
      <c r="D659" s="35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52"/>
    </row>
    <row r="660" spans="1:16" s="28" customFormat="1" x14ac:dyDescent="0.25">
      <c r="A660" s="53"/>
      <c r="B660" s="58"/>
      <c r="C660" s="58"/>
      <c r="D660" s="35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52"/>
    </row>
    <row r="661" spans="1:16" s="28" customFormat="1" x14ac:dyDescent="0.25">
      <c r="A661" s="53"/>
      <c r="B661" s="58"/>
      <c r="C661" s="58"/>
      <c r="D661" s="35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52"/>
    </row>
    <row r="662" spans="1:16" s="28" customFormat="1" x14ac:dyDescent="0.25">
      <c r="A662" s="53"/>
      <c r="B662" s="58"/>
      <c r="C662" s="58"/>
      <c r="D662" s="35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52"/>
    </row>
    <row r="663" spans="1:16" s="28" customFormat="1" x14ac:dyDescent="0.25">
      <c r="A663" s="53"/>
      <c r="B663" s="58"/>
      <c r="C663" s="58"/>
      <c r="D663" s="35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52"/>
    </row>
    <row r="664" spans="1:16" s="28" customFormat="1" x14ac:dyDescent="0.25">
      <c r="A664" s="53"/>
      <c r="B664" s="58"/>
      <c r="C664" s="58"/>
      <c r="D664" s="35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52"/>
    </row>
    <row r="665" spans="1:16" s="28" customFormat="1" x14ac:dyDescent="0.25">
      <c r="A665" s="53"/>
      <c r="B665" s="58"/>
      <c r="C665" s="58"/>
      <c r="D665" s="35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52"/>
    </row>
    <row r="666" spans="1:16" s="28" customFormat="1" x14ac:dyDescent="0.25">
      <c r="A666" s="53"/>
      <c r="B666" s="58"/>
      <c r="C666" s="58"/>
      <c r="D666" s="35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52"/>
    </row>
    <row r="667" spans="1:16" s="28" customFormat="1" x14ac:dyDescent="0.25">
      <c r="A667" s="53"/>
      <c r="B667" s="58"/>
      <c r="C667" s="58"/>
      <c r="D667" s="35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52"/>
    </row>
    <row r="668" spans="1:16" s="28" customFormat="1" x14ac:dyDescent="0.25">
      <c r="A668" s="53"/>
      <c r="B668" s="58"/>
      <c r="C668" s="58"/>
      <c r="D668" s="35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52"/>
    </row>
    <row r="669" spans="1:16" s="28" customFormat="1" x14ac:dyDescent="0.25">
      <c r="A669" s="53"/>
      <c r="B669" s="58"/>
      <c r="C669" s="58"/>
      <c r="D669" s="35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52"/>
    </row>
    <row r="670" spans="1:16" s="28" customFormat="1" x14ac:dyDescent="0.25">
      <c r="A670" s="53"/>
      <c r="B670" s="58"/>
      <c r="C670" s="58"/>
      <c r="D670" s="35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52"/>
    </row>
    <row r="671" spans="1:16" s="28" customFormat="1" x14ac:dyDescent="0.25">
      <c r="A671" s="53"/>
      <c r="B671" s="58"/>
      <c r="C671" s="58"/>
      <c r="D671" s="35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52"/>
    </row>
    <row r="672" spans="1:16" s="28" customFormat="1" x14ac:dyDescent="0.25">
      <c r="A672" s="53"/>
      <c r="B672" s="58"/>
      <c r="C672" s="58"/>
      <c r="D672" s="35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52"/>
    </row>
    <row r="673" spans="1:16" s="28" customFormat="1" x14ac:dyDescent="0.25">
      <c r="A673" s="53"/>
      <c r="B673" s="58"/>
      <c r="C673" s="58"/>
      <c r="D673" s="35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52"/>
    </row>
    <row r="674" spans="1:16" s="28" customFormat="1" x14ac:dyDescent="0.25">
      <c r="A674" s="53"/>
      <c r="B674" s="58"/>
      <c r="C674" s="58"/>
      <c r="D674" s="35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52"/>
    </row>
    <row r="675" spans="1:16" s="28" customFormat="1" x14ac:dyDescent="0.25">
      <c r="A675" s="53"/>
      <c r="B675" s="58"/>
      <c r="C675" s="58"/>
      <c r="D675" s="35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52"/>
    </row>
    <row r="676" spans="1:16" s="28" customFormat="1" x14ac:dyDescent="0.25">
      <c r="A676" s="53"/>
      <c r="B676" s="58"/>
      <c r="C676" s="58"/>
      <c r="D676" s="35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52"/>
    </row>
    <row r="677" spans="1:16" s="28" customFormat="1" x14ac:dyDescent="0.25">
      <c r="A677" s="53"/>
      <c r="B677" s="58"/>
      <c r="C677" s="58"/>
      <c r="D677" s="35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52"/>
    </row>
    <row r="678" spans="1:16" s="28" customFormat="1" x14ac:dyDescent="0.25">
      <c r="A678" s="53"/>
      <c r="B678" s="58"/>
      <c r="C678" s="58"/>
      <c r="D678" s="35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52"/>
    </row>
    <row r="679" spans="1:16" s="28" customFormat="1" x14ac:dyDescent="0.25">
      <c r="A679" s="53"/>
      <c r="B679" s="58"/>
      <c r="C679" s="58"/>
      <c r="D679" s="35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52"/>
    </row>
    <row r="680" spans="1:16" s="28" customFormat="1" x14ac:dyDescent="0.25">
      <c r="A680" s="53"/>
      <c r="B680" s="58"/>
      <c r="C680" s="58"/>
      <c r="D680" s="35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52"/>
    </row>
    <row r="681" spans="1:16" s="28" customFormat="1" x14ac:dyDescent="0.25">
      <c r="A681" s="53"/>
      <c r="B681" s="58"/>
      <c r="C681" s="58"/>
      <c r="D681" s="35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52"/>
    </row>
    <row r="682" spans="1:16" s="28" customFormat="1" x14ac:dyDescent="0.25">
      <c r="A682" s="53"/>
      <c r="B682" s="58"/>
      <c r="C682" s="58"/>
      <c r="D682" s="35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52"/>
    </row>
    <row r="683" spans="1:16" s="28" customFormat="1" x14ac:dyDescent="0.25">
      <c r="A683" s="53"/>
      <c r="B683" s="58"/>
      <c r="C683" s="58"/>
      <c r="D683" s="35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52"/>
    </row>
    <row r="684" spans="1:16" s="28" customFormat="1" x14ac:dyDescent="0.25">
      <c r="A684" s="53"/>
      <c r="B684" s="58"/>
      <c r="C684" s="58"/>
      <c r="D684" s="35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52"/>
    </row>
    <row r="685" spans="1:16" s="28" customFormat="1" x14ac:dyDescent="0.25">
      <c r="A685" s="53"/>
      <c r="B685" s="58"/>
      <c r="C685" s="58"/>
      <c r="D685" s="35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52"/>
    </row>
    <row r="686" spans="1:16" s="28" customFormat="1" x14ac:dyDescent="0.25">
      <c r="A686" s="53"/>
      <c r="B686" s="58"/>
      <c r="C686" s="58"/>
      <c r="D686" s="35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52"/>
    </row>
    <row r="687" spans="1:16" s="28" customFormat="1" x14ac:dyDescent="0.25">
      <c r="A687" s="53"/>
      <c r="B687" s="58"/>
      <c r="C687" s="58"/>
      <c r="D687" s="35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52"/>
    </row>
    <row r="688" spans="1:16" s="28" customFormat="1" x14ac:dyDescent="0.25">
      <c r="A688" s="53"/>
      <c r="B688" s="58"/>
      <c r="C688" s="58"/>
      <c r="D688" s="35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52"/>
    </row>
    <row r="689" spans="1:16" s="28" customFormat="1" x14ac:dyDescent="0.25">
      <c r="A689" s="53"/>
      <c r="B689" s="58"/>
      <c r="C689" s="58"/>
      <c r="D689" s="35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52"/>
    </row>
    <row r="690" spans="1:16" s="28" customFormat="1" x14ac:dyDescent="0.25">
      <c r="A690" s="53"/>
      <c r="B690" s="58"/>
      <c r="C690" s="58"/>
      <c r="D690" s="35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52"/>
    </row>
    <row r="691" spans="1:16" s="28" customFormat="1" x14ac:dyDescent="0.25">
      <c r="A691" s="53"/>
      <c r="B691" s="58"/>
      <c r="C691" s="58"/>
      <c r="D691" s="35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52"/>
    </row>
    <row r="692" spans="1:16" s="28" customFormat="1" x14ac:dyDescent="0.25">
      <c r="A692" s="53"/>
      <c r="B692" s="58"/>
      <c r="C692" s="58"/>
      <c r="D692" s="35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52"/>
    </row>
    <row r="693" spans="1:16" s="28" customFormat="1" x14ac:dyDescent="0.25">
      <c r="A693" s="53"/>
      <c r="B693" s="58"/>
      <c r="C693" s="58"/>
      <c r="D693" s="35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52"/>
    </row>
    <row r="694" spans="1:16" s="28" customFormat="1" x14ac:dyDescent="0.25">
      <c r="A694" s="53"/>
      <c r="B694" s="58"/>
      <c r="C694" s="58"/>
      <c r="D694" s="35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52"/>
    </row>
    <row r="695" spans="1:16" s="28" customFormat="1" x14ac:dyDescent="0.25">
      <c r="A695" s="53"/>
      <c r="B695" s="58"/>
      <c r="C695" s="58"/>
      <c r="D695" s="35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52"/>
    </row>
    <row r="696" spans="1:16" s="28" customFormat="1" x14ac:dyDescent="0.25">
      <c r="A696" s="53"/>
      <c r="B696" s="58"/>
      <c r="C696" s="58"/>
      <c r="D696" s="35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52"/>
    </row>
    <row r="697" spans="1:16" s="28" customFormat="1" x14ac:dyDescent="0.25">
      <c r="A697" s="53"/>
      <c r="B697" s="58"/>
      <c r="C697" s="58"/>
      <c r="D697" s="35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52"/>
    </row>
    <row r="698" spans="1:16" s="28" customFormat="1" x14ac:dyDescent="0.25">
      <c r="A698" s="53"/>
      <c r="B698" s="58"/>
      <c r="C698" s="58"/>
      <c r="D698" s="35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52"/>
    </row>
    <row r="699" spans="1:16" s="28" customFormat="1" x14ac:dyDescent="0.25">
      <c r="A699" s="53"/>
      <c r="B699" s="58"/>
      <c r="C699" s="58"/>
      <c r="D699" s="35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52"/>
    </row>
    <row r="700" spans="1:16" s="28" customFormat="1" x14ac:dyDescent="0.25">
      <c r="A700" s="53"/>
      <c r="B700" s="58"/>
      <c r="C700" s="58"/>
      <c r="D700" s="35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52"/>
    </row>
    <row r="701" spans="1:16" s="28" customFormat="1" x14ac:dyDescent="0.25">
      <c r="A701" s="53"/>
      <c r="B701" s="58"/>
      <c r="C701" s="58"/>
      <c r="D701" s="35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52"/>
    </row>
    <row r="702" spans="1:16" s="28" customFormat="1" x14ac:dyDescent="0.25">
      <c r="A702" s="53"/>
      <c r="B702" s="58"/>
      <c r="C702" s="58"/>
      <c r="D702" s="35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52"/>
    </row>
    <row r="703" spans="1:16" s="28" customFormat="1" x14ac:dyDescent="0.25">
      <c r="A703" s="53"/>
      <c r="B703" s="58"/>
      <c r="C703" s="58"/>
      <c r="D703" s="35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52"/>
    </row>
    <row r="704" spans="1:16" s="28" customFormat="1" x14ac:dyDescent="0.25">
      <c r="A704" s="53"/>
      <c r="B704" s="58"/>
      <c r="C704" s="58"/>
      <c r="D704" s="35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52"/>
    </row>
    <row r="705" spans="1:16" s="28" customFormat="1" x14ac:dyDescent="0.25">
      <c r="A705" s="53"/>
      <c r="B705" s="58"/>
      <c r="C705" s="58"/>
      <c r="D705" s="35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52"/>
    </row>
    <row r="706" spans="1:16" s="28" customFormat="1" x14ac:dyDescent="0.25">
      <c r="A706" s="53"/>
      <c r="B706" s="58"/>
      <c r="C706" s="58"/>
      <c r="D706" s="35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52"/>
    </row>
    <row r="707" spans="1:16" s="28" customFormat="1" x14ac:dyDescent="0.25">
      <c r="A707" s="53"/>
      <c r="B707" s="58"/>
      <c r="C707" s="58"/>
      <c r="D707" s="35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52"/>
    </row>
    <row r="708" spans="1:16" s="28" customFormat="1" x14ac:dyDescent="0.25">
      <c r="A708" s="53"/>
      <c r="B708" s="58"/>
      <c r="C708" s="58"/>
      <c r="D708" s="35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52"/>
    </row>
    <row r="709" spans="1:16" s="28" customFormat="1" x14ac:dyDescent="0.25">
      <c r="A709" s="53"/>
      <c r="B709" s="58"/>
      <c r="C709" s="58"/>
      <c r="D709" s="35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52"/>
    </row>
    <row r="710" spans="1:16" s="28" customFormat="1" x14ac:dyDescent="0.25">
      <c r="A710" s="53"/>
      <c r="B710" s="58"/>
      <c r="C710" s="58"/>
      <c r="D710" s="35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52"/>
    </row>
    <row r="711" spans="1:16" s="28" customFormat="1" x14ac:dyDescent="0.25">
      <c r="A711" s="53"/>
      <c r="B711" s="58"/>
      <c r="C711" s="58"/>
      <c r="D711" s="35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52"/>
    </row>
    <row r="712" spans="1:16" s="28" customFormat="1" x14ac:dyDescent="0.25">
      <c r="A712" s="53"/>
      <c r="B712" s="58"/>
      <c r="C712" s="58"/>
      <c r="D712" s="35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52"/>
    </row>
    <row r="713" spans="1:16" s="28" customFormat="1" x14ac:dyDescent="0.25">
      <c r="A713" s="53"/>
      <c r="B713" s="58"/>
      <c r="C713" s="58"/>
      <c r="D713" s="35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52"/>
    </row>
    <row r="714" spans="1:16" s="28" customFormat="1" x14ac:dyDescent="0.25">
      <c r="A714" s="53"/>
      <c r="B714" s="58"/>
      <c r="C714" s="58"/>
      <c r="D714" s="35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52"/>
    </row>
    <row r="715" spans="1:16" s="28" customFormat="1" x14ac:dyDescent="0.25">
      <c r="A715" s="53"/>
      <c r="B715" s="58"/>
      <c r="C715" s="58"/>
      <c r="D715" s="35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52"/>
    </row>
    <row r="716" spans="1:16" s="28" customFormat="1" x14ac:dyDescent="0.25">
      <c r="A716" s="53"/>
      <c r="B716" s="58"/>
      <c r="C716" s="58"/>
      <c r="D716" s="35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52"/>
    </row>
    <row r="717" spans="1:16" s="28" customFormat="1" x14ac:dyDescent="0.25">
      <c r="A717" s="53"/>
      <c r="B717" s="58"/>
      <c r="C717" s="58"/>
      <c r="D717" s="35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52"/>
    </row>
    <row r="718" spans="1:16" s="28" customFormat="1" x14ac:dyDescent="0.25">
      <c r="A718" s="53"/>
      <c r="B718" s="58"/>
      <c r="C718" s="58"/>
      <c r="D718" s="35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52"/>
    </row>
    <row r="719" spans="1:16" s="28" customFormat="1" x14ac:dyDescent="0.25">
      <c r="A719" s="53"/>
      <c r="B719" s="58"/>
      <c r="C719" s="58"/>
      <c r="D719" s="35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52"/>
    </row>
    <row r="720" spans="1:16" s="28" customFormat="1" x14ac:dyDescent="0.25">
      <c r="A720" s="53"/>
      <c r="B720" s="58"/>
      <c r="C720" s="58"/>
      <c r="D720" s="35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52"/>
    </row>
    <row r="721" spans="1:16" s="28" customFormat="1" x14ac:dyDescent="0.25">
      <c r="A721" s="53"/>
      <c r="B721" s="58"/>
      <c r="C721" s="58"/>
      <c r="D721" s="35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52"/>
    </row>
    <row r="722" spans="1:16" s="28" customFormat="1" x14ac:dyDescent="0.25">
      <c r="A722" s="53"/>
      <c r="B722" s="58"/>
      <c r="C722" s="58"/>
      <c r="D722" s="35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52"/>
    </row>
    <row r="723" spans="1:16" s="28" customFormat="1" x14ac:dyDescent="0.25">
      <c r="A723" s="53"/>
      <c r="B723" s="58"/>
      <c r="C723" s="58"/>
      <c r="D723" s="35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52"/>
    </row>
    <row r="724" spans="1:16" s="28" customFormat="1" x14ac:dyDescent="0.25">
      <c r="A724" s="53"/>
      <c r="B724" s="58"/>
      <c r="C724" s="58"/>
      <c r="D724" s="35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52"/>
    </row>
    <row r="725" spans="1:16" s="28" customFormat="1" x14ac:dyDescent="0.25">
      <c r="A725" s="53"/>
      <c r="B725" s="58"/>
      <c r="C725" s="58"/>
      <c r="D725" s="35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52"/>
    </row>
    <row r="726" spans="1:16" s="28" customFormat="1" x14ac:dyDescent="0.25">
      <c r="A726" s="53"/>
      <c r="B726" s="58"/>
      <c r="C726" s="58"/>
      <c r="D726" s="35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52"/>
    </row>
    <row r="727" spans="1:16" s="28" customFormat="1" x14ac:dyDescent="0.25">
      <c r="A727" s="53"/>
      <c r="B727" s="58"/>
      <c r="C727" s="58"/>
      <c r="D727" s="35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52"/>
    </row>
    <row r="728" spans="1:16" s="28" customFormat="1" x14ac:dyDescent="0.25">
      <c r="A728" s="53"/>
      <c r="B728" s="58"/>
      <c r="C728" s="58"/>
      <c r="D728" s="35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52"/>
    </row>
    <row r="729" spans="1:16" s="28" customFormat="1" x14ac:dyDescent="0.25">
      <c r="A729" s="53"/>
      <c r="B729" s="58"/>
      <c r="C729" s="58"/>
      <c r="D729" s="35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52"/>
    </row>
    <row r="730" spans="1:16" s="28" customFormat="1" x14ac:dyDescent="0.25">
      <c r="A730" s="53"/>
      <c r="B730" s="58"/>
      <c r="C730" s="58"/>
      <c r="D730" s="35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52"/>
    </row>
    <row r="731" spans="1:16" s="28" customFormat="1" x14ac:dyDescent="0.25">
      <c r="A731" s="53"/>
      <c r="B731" s="58"/>
      <c r="C731" s="58"/>
      <c r="D731" s="35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52"/>
    </row>
    <row r="732" spans="1:16" s="28" customFormat="1" x14ac:dyDescent="0.25">
      <c r="A732" s="53"/>
      <c r="B732" s="58"/>
      <c r="C732" s="58"/>
      <c r="D732" s="35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52"/>
    </row>
    <row r="733" spans="1:16" s="28" customFormat="1" x14ac:dyDescent="0.25">
      <c r="A733" s="53"/>
      <c r="B733" s="58"/>
      <c r="C733" s="58"/>
      <c r="D733" s="35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52"/>
    </row>
    <row r="734" spans="1:16" s="28" customFormat="1" x14ac:dyDescent="0.25">
      <c r="A734" s="53"/>
      <c r="B734" s="58"/>
      <c r="C734" s="58"/>
      <c r="D734" s="35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52"/>
    </row>
    <row r="735" spans="1:16" s="28" customFormat="1" x14ac:dyDescent="0.25">
      <c r="A735" s="53"/>
      <c r="B735" s="58"/>
      <c r="C735" s="58"/>
      <c r="D735" s="35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52"/>
    </row>
    <row r="736" spans="1:16" s="28" customFormat="1" x14ac:dyDescent="0.25">
      <c r="A736" s="53"/>
      <c r="B736" s="58"/>
      <c r="C736" s="58"/>
      <c r="D736" s="35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52"/>
    </row>
    <row r="737" spans="1:16" s="28" customFormat="1" x14ac:dyDescent="0.25">
      <c r="A737" s="53"/>
      <c r="B737" s="58"/>
      <c r="C737" s="58"/>
      <c r="D737" s="35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52"/>
    </row>
    <row r="738" spans="1:16" s="28" customFormat="1" x14ac:dyDescent="0.25">
      <c r="A738" s="53"/>
      <c r="B738" s="58"/>
      <c r="C738" s="58"/>
      <c r="D738" s="35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52"/>
    </row>
    <row r="739" spans="1:16" s="28" customFormat="1" x14ac:dyDescent="0.25">
      <c r="A739" s="53"/>
      <c r="B739" s="58"/>
      <c r="C739" s="58"/>
      <c r="D739" s="35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52"/>
    </row>
    <row r="740" spans="1:16" s="28" customFormat="1" x14ac:dyDescent="0.25">
      <c r="A740" s="53"/>
      <c r="B740" s="58"/>
      <c r="C740" s="58"/>
      <c r="D740" s="35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52"/>
    </row>
    <row r="741" spans="1:16" s="28" customFormat="1" x14ac:dyDescent="0.25">
      <c r="A741" s="53"/>
      <c r="B741" s="58"/>
      <c r="C741" s="58"/>
      <c r="D741" s="35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52"/>
    </row>
    <row r="742" spans="1:16" s="28" customFormat="1" x14ac:dyDescent="0.25">
      <c r="A742" s="53"/>
      <c r="B742" s="58"/>
      <c r="C742" s="58"/>
      <c r="D742" s="35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52"/>
    </row>
    <row r="743" spans="1:16" s="28" customFormat="1" x14ac:dyDescent="0.25">
      <c r="A743" s="53"/>
      <c r="B743" s="58"/>
      <c r="C743" s="58"/>
      <c r="D743" s="35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52"/>
    </row>
    <row r="744" spans="1:16" s="28" customFormat="1" x14ac:dyDescent="0.25">
      <c r="A744" s="53"/>
      <c r="B744" s="58"/>
      <c r="C744" s="58"/>
      <c r="D744" s="35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52"/>
    </row>
    <row r="745" spans="1:16" s="28" customFormat="1" x14ac:dyDescent="0.25">
      <c r="A745" s="53"/>
      <c r="B745" s="58"/>
      <c r="C745" s="58"/>
      <c r="D745" s="35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52"/>
    </row>
    <row r="746" spans="1:16" s="28" customFormat="1" x14ac:dyDescent="0.25">
      <c r="A746" s="53"/>
      <c r="B746" s="58"/>
      <c r="C746" s="58"/>
      <c r="D746" s="35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52"/>
    </row>
    <row r="747" spans="1:16" s="28" customFormat="1" x14ac:dyDescent="0.25">
      <c r="A747" s="53"/>
      <c r="B747" s="58"/>
      <c r="C747" s="58"/>
      <c r="D747" s="35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52"/>
    </row>
    <row r="748" spans="1:16" s="28" customFormat="1" x14ac:dyDescent="0.25">
      <c r="A748" s="53"/>
      <c r="B748" s="58"/>
      <c r="C748" s="58"/>
      <c r="D748" s="35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52"/>
    </row>
    <row r="749" spans="1:16" s="28" customFormat="1" x14ac:dyDescent="0.25">
      <c r="A749" s="53"/>
      <c r="B749" s="58"/>
      <c r="C749" s="58"/>
      <c r="D749" s="35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52"/>
    </row>
    <row r="750" spans="1:16" s="28" customFormat="1" x14ac:dyDescent="0.25">
      <c r="A750" s="53"/>
      <c r="B750" s="58"/>
      <c r="C750" s="58"/>
      <c r="D750" s="35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52"/>
    </row>
    <row r="751" spans="1:16" s="28" customFormat="1" x14ac:dyDescent="0.25">
      <c r="A751" s="53"/>
      <c r="B751" s="58"/>
      <c r="C751" s="58"/>
      <c r="D751" s="35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52"/>
    </row>
    <row r="752" spans="1:16" s="28" customFormat="1" x14ac:dyDescent="0.25">
      <c r="A752" s="53"/>
      <c r="B752" s="58"/>
      <c r="C752" s="58"/>
      <c r="D752" s="35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52"/>
    </row>
    <row r="753" spans="1:16" s="28" customFormat="1" x14ac:dyDescent="0.25">
      <c r="A753" s="53"/>
      <c r="B753" s="58"/>
      <c r="C753" s="58"/>
      <c r="D753" s="35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52"/>
    </row>
    <row r="754" spans="1:16" s="28" customFormat="1" x14ac:dyDescent="0.25">
      <c r="A754" s="53"/>
      <c r="B754" s="58"/>
      <c r="C754" s="58"/>
      <c r="D754" s="35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52"/>
    </row>
    <row r="755" spans="1:16" s="28" customFormat="1" x14ac:dyDescent="0.25">
      <c r="A755" s="53"/>
      <c r="B755" s="58"/>
      <c r="C755" s="58"/>
      <c r="D755" s="35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52"/>
    </row>
    <row r="756" spans="1:16" s="28" customFormat="1" x14ac:dyDescent="0.25">
      <c r="A756" s="53"/>
      <c r="B756" s="58"/>
      <c r="C756" s="58"/>
      <c r="D756" s="35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52"/>
    </row>
    <row r="757" spans="1:16" s="28" customFormat="1" x14ac:dyDescent="0.25">
      <c r="A757" s="53"/>
      <c r="B757" s="58"/>
      <c r="C757" s="58"/>
      <c r="D757" s="35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52"/>
    </row>
    <row r="758" spans="1:16" s="28" customFormat="1" x14ac:dyDescent="0.25">
      <c r="A758" s="53"/>
      <c r="B758" s="58"/>
      <c r="C758" s="58"/>
      <c r="D758" s="35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52"/>
    </row>
    <row r="759" spans="1:16" s="28" customFormat="1" x14ac:dyDescent="0.25">
      <c r="A759" s="53"/>
      <c r="B759" s="58"/>
      <c r="C759" s="58"/>
      <c r="D759" s="35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52"/>
    </row>
    <row r="760" spans="1:16" s="28" customFormat="1" x14ac:dyDescent="0.25">
      <c r="A760" s="53"/>
      <c r="B760" s="58"/>
      <c r="C760" s="58"/>
      <c r="D760" s="35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52"/>
    </row>
    <row r="761" spans="1:16" s="28" customFormat="1" x14ac:dyDescent="0.25">
      <c r="A761" s="53"/>
      <c r="B761" s="58"/>
      <c r="C761" s="58"/>
      <c r="D761" s="35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52"/>
    </row>
    <row r="762" spans="1:16" s="28" customFormat="1" x14ac:dyDescent="0.25">
      <c r="A762" s="53"/>
      <c r="B762" s="58"/>
      <c r="C762" s="58"/>
      <c r="D762" s="35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52"/>
    </row>
    <row r="763" spans="1:16" s="28" customFormat="1" x14ac:dyDescent="0.25">
      <c r="A763" s="53"/>
      <c r="B763" s="58"/>
      <c r="C763" s="58"/>
      <c r="D763" s="35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52"/>
    </row>
    <row r="764" spans="1:16" s="28" customFormat="1" x14ac:dyDescent="0.25">
      <c r="A764" s="53"/>
      <c r="B764" s="58"/>
      <c r="C764" s="58"/>
      <c r="D764" s="35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52"/>
    </row>
    <row r="765" spans="1:16" s="28" customFormat="1" x14ac:dyDescent="0.25">
      <c r="A765" s="53"/>
      <c r="B765" s="58"/>
      <c r="C765" s="58"/>
      <c r="D765" s="35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52"/>
    </row>
    <row r="766" spans="1:16" s="28" customFormat="1" x14ac:dyDescent="0.25">
      <c r="A766" s="53"/>
      <c r="B766" s="58"/>
      <c r="C766" s="58"/>
      <c r="D766" s="35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52"/>
    </row>
    <row r="767" spans="1:16" s="28" customFormat="1" x14ac:dyDescent="0.25">
      <c r="A767" s="53"/>
      <c r="B767" s="58"/>
      <c r="C767" s="58"/>
      <c r="D767" s="35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52"/>
    </row>
    <row r="768" spans="1:16" s="28" customFormat="1" x14ac:dyDescent="0.25">
      <c r="A768" s="53"/>
      <c r="B768" s="58"/>
      <c r="C768" s="58"/>
      <c r="D768" s="35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52"/>
    </row>
    <row r="769" spans="1:16" s="28" customFormat="1" x14ac:dyDescent="0.25">
      <c r="A769" s="53"/>
      <c r="B769" s="58"/>
      <c r="C769" s="58"/>
      <c r="D769" s="35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52"/>
    </row>
    <row r="770" spans="1:16" s="28" customFormat="1" x14ac:dyDescent="0.25">
      <c r="A770" s="53"/>
      <c r="B770" s="58"/>
      <c r="C770" s="58"/>
      <c r="D770" s="35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52"/>
    </row>
    <row r="771" spans="1:16" s="28" customFormat="1" x14ac:dyDescent="0.25">
      <c r="A771" s="53"/>
      <c r="B771" s="58"/>
      <c r="C771" s="58"/>
      <c r="D771" s="35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52"/>
    </row>
    <row r="772" spans="1:16" s="28" customFormat="1" x14ac:dyDescent="0.25">
      <c r="A772" s="53"/>
      <c r="B772" s="58"/>
      <c r="C772" s="58"/>
      <c r="D772" s="35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52"/>
    </row>
    <row r="773" spans="1:16" s="28" customFormat="1" x14ac:dyDescent="0.25">
      <c r="A773" s="53"/>
      <c r="B773" s="58"/>
      <c r="C773" s="58"/>
      <c r="D773" s="35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52"/>
    </row>
    <row r="774" spans="1:16" s="28" customFormat="1" x14ac:dyDescent="0.25">
      <c r="A774" s="53"/>
      <c r="B774" s="58"/>
      <c r="C774" s="58"/>
      <c r="D774" s="35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52"/>
    </row>
    <row r="775" spans="1:16" s="28" customFormat="1" x14ac:dyDescent="0.25">
      <c r="A775" s="53"/>
      <c r="B775" s="58"/>
      <c r="C775" s="58"/>
      <c r="D775" s="35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52"/>
    </row>
    <row r="776" spans="1:16" s="28" customFormat="1" x14ac:dyDescent="0.25">
      <c r="A776" s="53"/>
      <c r="B776" s="58"/>
      <c r="C776" s="58"/>
      <c r="D776" s="35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52"/>
    </row>
    <row r="777" spans="1:16" s="28" customFormat="1" x14ac:dyDescent="0.25">
      <c r="A777" s="53"/>
      <c r="B777" s="58"/>
      <c r="C777" s="58"/>
      <c r="D777" s="35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52"/>
    </row>
    <row r="778" spans="1:16" s="28" customFormat="1" x14ac:dyDescent="0.25">
      <c r="A778" s="53"/>
      <c r="B778" s="58"/>
      <c r="C778" s="58"/>
      <c r="D778" s="35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52"/>
    </row>
    <row r="779" spans="1:16" s="28" customFormat="1" x14ac:dyDescent="0.25">
      <c r="A779" s="53"/>
      <c r="B779" s="58"/>
      <c r="C779" s="58"/>
      <c r="D779" s="35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52"/>
    </row>
    <row r="780" spans="1:16" s="28" customFormat="1" x14ac:dyDescent="0.25">
      <c r="A780" s="53"/>
      <c r="B780" s="58"/>
      <c r="C780" s="58"/>
      <c r="D780" s="35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52"/>
    </row>
    <row r="781" spans="1:16" s="28" customFormat="1" x14ac:dyDescent="0.25">
      <c r="A781" s="53"/>
      <c r="B781" s="58"/>
      <c r="C781" s="58"/>
      <c r="D781" s="35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52"/>
    </row>
    <row r="782" spans="1:16" s="28" customFormat="1" x14ac:dyDescent="0.25">
      <c r="A782" s="53"/>
      <c r="B782" s="58"/>
      <c r="C782" s="58"/>
      <c r="D782" s="35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52"/>
    </row>
    <row r="783" spans="1:16" s="28" customFormat="1" x14ac:dyDescent="0.25">
      <c r="A783" s="53"/>
      <c r="B783" s="58"/>
      <c r="C783" s="58"/>
      <c r="D783" s="35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52"/>
    </row>
    <row r="784" spans="1:16" s="28" customFormat="1" x14ac:dyDescent="0.25">
      <c r="A784" s="53"/>
      <c r="B784" s="58"/>
      <c r="C784" s="58"/>
      <c r="D784" s="35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52"/>
    </row>
    <row r="785" spans="1:16" s="28" customFormat="1" x14ac:dyDescent="0.25">
      <c r="A785" s="53"/>
      <c r="B785" s="58"/>
      <c r="C785" s="58"/>
      <c r="D785" s="35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52"/>
    </row>
    <row r="786" spans="1:16" s="28" customFormat="1" x14ac:dyDescent="0.25">
      <c r="A786" s="53"/>
      <c r="B786" s="58"/>
      <c r="C786" s="58"/>
      <c r="D786" s="35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52"/>
    </row>
    <row r="787" spans="1:16" s="28" customFormat="1" x14ac:dyDescent="0.25">
      <c r="A787" s="53"/>
      <c r="B787" s="58"/>
      <c r="C787" s="58"/>
      <c r="D787" s="35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52"/>
    </row>
    <row r="788" spans="1:16" s="28" customFormat="1" x14ac:dyDescent="0.25">
      <c r="A788" s="53"/>
      <c r="B788" s="58"/>
      <c r="C788" s="58"/>
      <c r="D788" s="35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52"/>
    </row>
    <row r="789" spans="1:16" s="28" customFormat="1" x14ac:dyDescent="0.25">
      <c r="A789" s="53"/>
      <c r="B789" s="58"/>
      <c r="C789" s="58"/>
      <c r="D789" s="35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52"/>
    </row>
    <row r="790" spans="1:16" s="28" customFormat="1" x14ac:dyDescent="0.25">
      <c r="A790" s="53"/>
      <c r="B790" s="58"/>
      <c r="C790" s="58"/>
      <c r="D790" s="35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52"/>
    </row>
    <row r="791" spans="1:16" s="28" customFormat="1" x14ac:dyDescent="0.25">
      <c r="A791" s="53"/>
      <c r="B791" s="58"/>
      <c r="C791" s="58"/>
      <c r="D791" s="35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52"/>
    </row>
    <row r="792" spans="1:16" s="28" customFormat="1" x14ac:dyDescent="0.25">
      <c r="A792" s="53"/>
      <c r="B792" s="58"/>
      <c r="C792" s="58"/>
      <c r="D792" s="35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52"/>
    </row>
    <row r="793" spans="1:16" s="28" customFormat="1" x14ac:dyDescent="0.25">
      <c r="A793" s="53"/>
      <c r="B793" s="58"/>
      <c r="C793" s="58"/>
      <c r="D793" s="35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52"/>
    </row>
    <row r="794" spans="1:16" s="28" customFormat="1" x14ac:dyDescent="0.25">
      <c r="A794" s="53"/>
      <c r="B794" s="58"/>
      <c r="C794" s="58"/>
      <c r="D794" s="35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52"/>
    </row>
    <row r="795" spans="1:16" s="28" customFormat="1" x14ac:dyDescent="0.25">
      <c r="A795" s="53"/>
      <c r="B795" s="58"/>
      <c r="C795" s="58"/>
      <c r="D795" s="35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52"/>
    </row>
    <row r="796" spans="1:16" s="28" customFormat="1" x14ac:dyDescent="0.25">
      <c r="A796" s="53"/>
      <c r="B796" s="58"/>
      <c r="C796" s="58"/>
      <c r="D796" s="35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52"/>
    </row>
    <row r="797" spans="1:16" s="28" customFormat="1" x14ac:dyDescent="0.25">
      <c r="A797" s="53"/>
      <c r="B797" s="58"/>
      <c r="C797" s="58"/>
      <c r="D797" s="35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52"/>
    </row>
    <row r="798" spans="1:16" s="28" customFormat="1" x14ac:dyDescent="0.25">
      <c r="A798" s="53"/>
      <c r="B798" s="58"/>
      <c r="C798" s="58"/>
      <c r="D798" s="35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52"/>
    </row>
    <row r="799" spans="1:16" s="28" customFormat="1" x14ac:dyDescent="0.25">
      <c r="A799" s="53"/>
      <c r="B799" s="58"/>
      <c r="C799" s="58"/>
      <c r="D799" s="35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52"/>
    </row>
    <row r="800" spans="1:16" s="28" customFormat="1" x14ac:dyDescent="0.25">
      <c r="A800" s="53"/>
      <c r="B800" s="58"/>
      <c r="C800" s="58"/>
      <c r="D800" s="35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52"/>
    </row>
    <row r="801" spans="1:16" s="28" customFormat="1" x14ac:dyDescent="0.25">
      <c r="A801" s="53"/>
      <c r="B801" s="58"/>
      <c r="C801" s="58"/>
      <c r="D801" s="35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52"/>
    </row>
    <row r="802" spans="1:16" s="28" customFormat="1" x14ac:dyDescent="0.25">
      <c r="A802" s="53"/>
      <c r="B802" s="58"/>
      <c r="C802" s="58"/>
      <c r="D802" s="35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52"/>
    </row>
    <row r="803" spans="1:16" s="28" customFormat="1" x14ac:dyDescent="0.25">
      <c r="A803" s="53"/>
      <c r="B803" s="58"/>
      <c r="C803" s="58"/>
      <c r="D803" s="35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52"/>
    </row>
    <row r="804" spans="1:16" s="28" customFormat="1" x14ac:dyDescent="0.25">
      <c r="A804" s="53"/>
      <c r="B804" s="58"/>
      <c r="C804" s="58"/>
      <c r="D804" s="35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52"/>
    </row>
    <row r="805" spans="1:16" s="28" customFormat="1" x14ac:dyDescent="0.25">
      <c r="A805" s="53"/>
      <c r="B805" s="58"/>
      <c r="C805" s="58"/>
      <c r="D805" s="35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52"/>
    </row>
    <row r="806" spans="1:16" s="28" customFormat="1" x14ac:dyDescent="0.25">
      <c r="A806" s="53"/>
      <c r="B806" s="58"/>
      <c r="C806" s="58"/>
      <c r="D806" s="35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52"/>
    </row>
    <row r="807" spans="1:16" s="28" customFormat="1" x14ac:dyDescent="0.25">
      <c r="A807" s="53"/>
      <c r="B807" s="58"/>
      <c r="C807" s="58"/>
      <c r="D807" s="35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52"/>
    </row>
    <row r="808" spans="1:16" s="28" customFormat="1" x14ac:dyDescent="0.25">
      <c r="A808" s="53"/>
      <c r="B808" s="58"/>
      <c r="C808" s="58"/>
      <c r="D808" s="35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52"/>
    </row>
    <row r="809" spans="1:16" s="28" customFormat="1" x14ac:dyDescent="0.25">
      <c r="A809" s="53"/>
      <c r="B809" s="58"/>
      <c r="C809" s="58"/>
      <c r="D809" s="35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52"/>
    </row>
    <row r="810" spans="1:16" s="28" customFormat="1" x14ac:dyDescent="0.25">
      <c r="A810" s="53"/>
      <c r="B810" s="58"/>
      <c r="C810" s="58"/>
      <c r="D810" s="35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52"/>
    </row>
    <row r="811" spans="1:16" s="28" customFormat="1" x14ac:dyDescent="0.25">
      <c r="A811" s="53"/>
      <c r="B811" s="58"/>
      <c r="C811" s="58"/>
      <c r="D811" s="35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52"/>
    </row>
    <row r="812" spans="1:16" s="28" customFormat="1" x14ac:dyDescent="0.25">
      <c r="A812" s="53"/>
      <c r="B812" s="58"/>
      <c r="C812" s="58"/>
      <c r="D812" s="35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52"/>
    </row>
    <row r="813" spans="1:16" s="28" customFormat="1" x14ac:dyDescent="0.25">
      <c r="A813" s="53"/>
      <c r="B813" s="58"/>
      <c r="C813" s="58"/>
      <c r="D813" s="35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52"/>
    </row>
    <row r="814" spans="1:16" s="28" customFormat="1" x14ac:dyDescent="0.25">
      <c r="A814" s="53"/>
      <c r="B814" s="58"/>
      <c r="C814" s="58"/>
      <c r="D814" s="35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52"/>
    </row>
    <row r="815" spans="1:16" s="28" customFormat="1" x14ac:dyDescent="0.25">
      <c r="A815" s="53"/>
      <c r="B815" s="58"/>
      <c r="C815" s="58"/>
      <c r="D815" s="35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52"/>
    </row>
    <row r="816" spans="1:16" s="28" customFormat="1" x14ac:dyDescent="0.25">
      <c r="A816" s="53"/>
      <c r="B816" s="58"/>
      <c r="C816" s="58"/>
      <c r="D816" s="35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52"/>
    </row>
    <row r="817" spans="1:16" s="28" customFormat="1" x14ac:dyDescent="0.25">
      <c r="A817" s="53"/>
      <c r="B817" s="58"/>
      <c r="C817" s="58"/>
      <c r="D817" s="35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52"/>
    </row>
    <row r="818" spans="1:16" s="28" customFormat="1" x14ac:dyDescent="0.25">
      <c r="A818" s="53"/>
      <c r="B818" s="58"/>
      <c r="C818" s="58"/>
      <c r="D818" s="35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52"/>
    </row>
    <row r="819" spans="1:16" s="28" customFormat="1" x14ac:dyDescent="0.25">
      <c r="A819" s="53"/>
      <c r="B819" s="58"/>
      <c r="C819" s="58"/>
      <c r="D819" s="35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52"/>
    </row>
    <row r="820" spans="1:16" s="28" customFormat="1" x14ac:dyDescent="0.25">
      <c r="A820" s="53"/>
      <c r="B820" s="58"/>
      <c r="C820" s="58"/>
      <c r="D820" s="35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52"/>
    </row>
    <row r="821" spans="1:16" s="28" customFormat="1" x14ac:dyDescent="0.25">
      <c r="A821" s="53"/>
      <c r="B821" s="58"/>
      <c r="C821" s="58"/>
      <c r="D821" s="35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52"/>
    </row>
    <row r="822" spans="1:16" s="28" customFormat="1" x14ac:dyDescent="0.25">
      <c r="A822" s="53"/>
      <c r="B822" s="58"/>
      <c r="C822" s="58"/>
      <c r="D822" s="35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52"/>
    </row>
    <row r="823" spans="1:16" s="28" customFormat="1" x14ac:dyDescent="0.25">
      <c r="A823" s="53"/>
      <c r="B823" s="58"/>
      <c r="C823" s="58"/>
      <c r="D823" s="35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52"/>
    </row>
    <row r="824" spans="1:16" s="28" customFormat="1" x14ac:dyDescent="0.25">
      <c r="A824" s="53"/>
      <c r="B824" s="58"/>
      <c r="C824" s="58"/>
      <c r="D824" s="35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52"/>
    </row>
    <row r="825" spans="1:16" s="28" customFormat="1" x14ac:dyDescent="0.25">
      <c r="A825" s="53"/>
      <c r="B825" s="58"/>
      <c r="C825" s="58"/>
      <c r="D825" s="35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52"/>
    </row>
    <row r="826" spans="1:16" s="28" customFormat="1" x14ac:dyDescent="0.25">
      <c r="A826" s="53"/>
      <c r="B826" s="58"/>
      <c r="C826" s="58"/>
      <c r="D826" s="35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52"/>
    </row>
    <row r="827" spans="1:16" s="28" customFormat="1" x14ac:dyDescent="0.25">
      <c r="A827" s="53"/>
      <c r="B827" s="58"/>
      <c r="C827" s="58"/>
      <c r="D827" s="35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52"/>
    </row>
    <row r="828" spans="1:16" s="28" customFormat="1" x14ac:dyDescent="0.25">
      <c r="A828" s="53"/>
      <c r="B828" s="58"/>
      <c r="C828" s="58"/>
      <c r="D828" s="35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52"/>
    </row>
    <row r="829" spans="1:16" s="28" customFormat="1" x14ac:dyDescent="0.25">
      <c r="A829" s="53"/>
      <c r="B829" s="58"/>
      <c r="C829" s="58"/>
      <c r="D829" s="35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52"/>
    </row>
    <row r="830" spans="1:16" s="28" customFormat="1" x14ac:dyDescent="0.25">
      <c r="A830" s="53"/>
      <c r="B830" s="58"/>
      <c r="C830" s="58"/>
      <c r="D830" s="35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52"/>
    </row>
    <row r="831" spans="1:16" s="28" customFormat="1" x14ac:dyDescent="0.25">
      <c r="A831" s="53"/>
      <c r="B831" s="58"/>
      <c r="C831" s="58"/>
      <c r="D831" s="35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52"/>
    </row>
    <row r="832" spans="1:16" s="28" customFormat="1" x14ac:dyDescent="0.25">
      <c r="A832" s="53"/>
      <c r="B832" s="58"/>
      <c r="C832" s="58"/>
      <c r="D832" s="35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52"/>
    </row>
    <row r="833" spans="1:16" s="28" customFormat="1" x14ac:dyDescent="0.25">
      <c r="A833" s="53"/>
      <c r="B833" s="58"/>
      <c r="C833" s="58"/>
      <c r="D833" s="35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52"/>
    </row>
    <row r="834" spans="1:16" s="28" customFormat="1" x14ac:dyDescent="0.25">
      <c r="A834" s="53"/>
      <c r="B834" s="58"/>
      <c r="C834" s="58"/>
      <c r="D834" s="35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52"/>
    </row>
    <row r="835" spans="1:16" s="28" customFormat="1" x14ac:dyDescent="0.25">
      <c r="A835" s="53"/>
      <c r="B835" s="58"/>
      <c r="C835" s="58"/>
      <c r="D835" s="35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52"/>
    </row>
    <row r="836" spans="1:16" s="28" customFormat="1" x14ac:dyDescent="0.25">
      <c r="A836" s="53"/>
      <c r="B836" s="58"/>
      <c r="C836" s="58"/>
      <c r="D836" s="35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52"/>
    </row>
    <row r="837" spans="1:16" s="28" customFormat="1" x14ac:dyDescent="0.25">
      <c r="A837" s="53"/>
      <c r="B837" s="58"/>
      <c r="C837" s="58"/>
      <c r="D837" s="35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52"/>
    </row>
    <row r="838" spans="1:16" s="28" customFormat="1" x14ac:dyDescent="0.25">
      <c r="A838" s="53"/>
      <c r="B838" s="58"/>
      <c r="C838" s="58"/>
      <c r="D838" s="35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52"/>
    </row>
    <row r="839" spans="1:16" s="28" customFormat="1" x14ac:dyDescent="0.25">
      <c r="A839" s="53"/>
      <c r="B839" s="58"/>
      <c r="C839" s="58"/>
      <c r="D839" s="35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52"/>
    </row>
    <row r="840" spans="1:16" s="28" customFormat="1" x14ac:dyDescent="0.25">
      <c r="A840" s="53"/>
      <c r="B840" s="58"/>
      <c r="C840" s="58"/>
      <c r="D840" s="35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52"/>
    </row>
    <row r="841" spans="1:16" s="28" customFormat="1" x14ac:dyDescent="0.25">
      <c r="A841" s="53"/>
      <c r="B841" s="58"/>
      <c r="C841" s="58"/>
      <c r="D841" s="35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52"/>
    </row>
    <row r="842" spans="1:16" s="28" customFormat="1" x14ac:dyDescent="0.25">
      <c r="A842" s="53"/>
      <c r="B842" s="58"/>
      <c r="C842" s="58"/>
      <c r="D842" s="35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52"/>
    </row>
    <row r="843" spans="1:16" s="28" customFormat="1" x14ac:dyDescent="0.25">
      <c r="A843" s="53"/>
      <c r="B843" s="58"/>
      <c r="C843" s="58"/>
      <c r="D843" s="35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52"/>
    </row>
    <row r="844" spans="1:16" s="28" customFormat="1" x14ac:dyDescent="0.25">
      <c r="A844" s="53"/>
      <c r="B844" s="58"/>
      <c r="C844" s="58"/>
      <c r="D844" s="35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52"/>
    </row>
    <row r="845" spans="1:16" s="28" customFormat="1" x14ac:dyDescent="0.25">
      <c r="A845" s="53"/>
      <c r="B845" s="58"/>
      <c r="C845" s="58"/>
      <c r="D845" s="35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52"/>
    </row>
    <row r="846" spans="1:16" s="28" customFormat="1" x14ac:dyDescent="0.25">
      <c r="A846" s="53"/>
      <c r="B846" s="58"/>
      <c r="C846" s="58"/>
      <c r="D846" s="35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52"/>
    </row>
    <row r="847" spans="1:16" s="28" customFormat="1" x14ac:dyDescent="0.25">
      <c r="A847" s="53"/>
      <c r="B847" s="58"/>
      <c r="C847" s="58"/>
      <c r="D847" s="35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52"/>
    </row>
    <row r="848" spans="1:16" s="28" customFormat="1" x14ac:dyDescent="0.25">
      <c r="A848" s="53"/>
      <c r="B848" s="58"/>
      <c r="C848" s="58"/>
      <c r="D848" s="35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52"/>
    </row>
    <row r="849" spans="1:16" s="28" customFormat="1" x14ac:dyDescent="0.25">
      <c r="A849" s="53"/>
      <c r="B849" s="58"/>
      <c r="C849" s="58"/>
      <c r="D849" s="35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52"/>
    </row>
    <row r="850" spans="1:16" s="28" customFormat="1" x14ac:dyDescent="0.25">
      <c r="A850" s="53"/>
      <c r="B850" s="58"/>
      <c r="C850" s="58"/>
      <c r="D850" s="35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52"/>
    </row>
    <row r="851" spans="1:16" s="28" customFormat="1" x14ac:dyDescent="0.25">
      <c r="A851" s="53"/>
      <c r="B851" s="58"/>
      <c r="C851" s="58"/>
      <c r="D851" s="35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52"/>
    </row>
    <row r="852" spans="1:16" s="28" customFormat="1" x14ac:dyDescent="0.25">
      <c r="A852" s="53"/>
      <c r="B852" s="58"/>
      <c r="C852" s="58"/>
      <c r="D852" s="35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52"/>
    </row>
    <row r="853" spans="1:16" s="28" customFormat="1" x14ac:dyDescent="0.25">
      <c r="A853" s="53"/>
      <c r="B853" s="58"/>
      <c r="C853" s="58"/>
      <c r="D853" s="35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52"/>
    </row>
    <row r="854" spans="1:16" s="28" customFormat="1" x14ac:dyDescent="0.25">
      <c r="A854" s="53"/>
      <c r="B854" s="58"/>
      <c r="C854" s="58"/>
      <c r="D854" s="35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52"/>
    </row>
    <row r="855" spans="1:16" s="28" customFormat="1" x14ac:dyDescent="0.25">
      <c r="A855" s="53"/>
      <c r="B855" s="58"/>
      <c r="C855" s="58"/>
      <c r="D855" s="35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52"/>
    </row>
    <row r="856" spans="1:16" s="28" customFormat="1" x14ac:dyDescent="0.25">
      <c r="A856" s="53"/>
      <c r="B856" s="58"/>
      <c r="C856" s="58"/>
      <c r="D856" s="35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52"/>
    </row>
    <row r="857" spans="1:16" s="28" customFormat="1" x14ac:dyDescent="0.25">
      <c r="A857" s="53"/>
      <c r="B857" s="58"/>
      <c r="C857" s="58"/>
      <c r="D857" s="35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52"/>
    </row>
    <row r="858" spans="1:16" s="28" customFormat="1" x14ac:dyDescent="0.25">
      <c r="A858" s="53"/>
      <c r="B858" s="58"/>
      <c r="C858" s="58"/>
      <c r="D858" s="35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52"/>
    </row>
    <row r="859" spans="1:16" s="28" customFormat="1" x14ac:dyDescent="0.25">
      <c r="A859" s="53"/>
      <c r="B859" s="58"/>
      <c r="C859" s="58"/>
      <c r="D859" s="35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52"/>
    </row>
    <row r="860" spans="1:16" s="28" customFormat="1" x14ac:dyDescent="0.25">
      <c r="A860" s="53"/>
      <c r="B860" s="58"/>
      <c r="C860" s="58"/>
      <c r="D860" s="35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52"/>
    </row>
    <row r="861" spans="1:16" s="28" customFormat="1" x14ac:dyDescent="0.25">
      <c r="A861" s="53"/>
      <c r="B861" s="58"/>
      <c r="C861" s="58"/>
      <c r="D861" s="35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52"/>
    </row>
    <row r="862" spans="1:16" s="28" customFormat="1" x14ac:dyDescent="0.25">
      <c r="A862" s="53"/>
      <c r="B862" s="58"/>
      <c r="C862" s="58"/>
      <c r="D862" s="35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52"/>
    </row>
    <row r="863" spans="1:16" s="28" customFormat="1" x14ac:dyDescent="0.25">
      <c r="A863" s="53"/>
      <c r="B863" s="58"/>
      <c r="C863" s="58"/>
      <c r="D863" s="35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52"/>
    </row>
    <row r="864" spans="1:16" s="28" customFormat="1" x14ac:dyDescent="0.25">
      <c r="A864" s="53"/>
      <c r="B864" s="58"/>
      <c r="C864" s="58"/>
      <c r="D864" s="35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52"/>
    </row>
    <row r="865" spans="1:16" s="28" customFormat="1" x14ac:dyDescent="0.25">
      <c r="A865" s="53"/>
      <c r="B865" s="58"/>
      <c r="C865" s="58"/>
      <c r="D865" s="35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52"/>
    </row>
    <row r="866" spans="1:16" s="28" customFormat="1" x14ac:dyDescent="0.25">
      <c r="A866" s="53"/>
      <c r="B866" s="58"/>
      <c r="C866" s="58"/>
      <c r="D866" s="35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52"/>
    </row>
    <row r="867" spans="1:16" s="28" customFormat="1" x14ac:dyDescent="0.25">
      <c r="A867" s="53"/>
      <c r="B867" s="58"/>
      <c r="C867" s="58"/>
      <c r="D867" s="35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52"/>
    </row>
    <row r="868" spans="1:16" s="28" customFormat="1" x14ac:dyDescent="0.25">
      <c r="A868" s="53"/>
      <c r="B868" s="58"/>
      <c r="C868" s="58"/>
      <c r="D868" s="35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52"/>
    </row>
    <row r="869" spans="1:16" s="28" customFormat="1" x14ac:dyDescent="0.25">
      <c r="A869" s="53"/>
      <c r="B869" s="58"/>
      <c r="C869" s="58"/>
      <c r="D869" s="35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52"/>
    </row>
    <row r="870" spans="1:16" s="28" customFormat="1" x14ac:dyDescent="0.25">
      <c r="A870" s="53"/>
      <c r="B870" s="58"/>
      <c r="C870" s="58"/>
      <c r="D870" s="35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52"/>
    </row>
    <row r="871" spans="1:16" s="28" customFormat="1" x14ac:dyDescent="0.25">
      <c r="A871" s="53"/>
      <c r="B871" s="58"/>
      <c r="C871" s="58"/>
      <c r="D871" s="35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52"/>
    </row>
    <row r="872" spans="1:16" s="28" customFormat="1" x14ac:dyDescent="0.25">
      <c r="A872" s="53"/>
      <c r="B872" s="58"/>
      <c r="C872" s="58"/>
      <c r="D872" s="35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52"/>
    </row>
    <row r="873" spans="1:16" s="28" customFormat="1" x14ac:dyDescent="0.25">
      <c r="A873" s="53"/>
      <c r="B873" s="58"/>
      <c r="C873" s="58"/>
      <c r="D873" s="35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52"/>
    </row>
    <row r="874" spans="1:16" s="28" customFormat="1" x14ac:dyDescent="0.25">
      <c r="A874" s="53"/>
      <c r="B874" s="58"/>
      <c r="C874" s="58"/>
      <c r="D874" s="35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52"/>
    </row>
    <row r="875" spans="1:16" s="28" customFormat="1" x14ac:dyDescent="0.25">
      <c r="A875" s="53"/>
      <c r="B875" s="58"/>
      <c r="C875" s="58"/>
      <c r="D875" s="35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52"/>
    </row>
    <row r="876" spans="1:16" s="28" customFormat="1" x14ac:dyDescent="0.25">
      <c r="A876" s="53"/>
      <c r="B876" s="58"/>
      <c r="C876" s="58"/>
      <c r="D876" s="35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52"/>
    </row>
    <row r="877" spans="1:16" s="28" customFormat="1" x14ac:dyDescent="0.25">
      <c r="A877" s="53"/>
      <c r="B877" s="58"/>
      <c r="C877" s="58"/>
      <c r="D877" s="35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52"/>
    </row>
    <row r="878" spans="1:16" s="28" customFormat="1" x14ac:dyDescent="0.25">
      <c r="A878" s="53"/>
      <c r="B878" s="58"/>
      <c r="C878" s="58"/>
      <c r="D878" s="35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52"/>
    </row>
    <row r="879" spans="1:16" s="28" customFormat="1" x14ac:dyDescent="0.25">
      <c r="A879" s="53"/>
      <c r="B879" s="58"/>
      <c r="C879" s="58"/>
      <c r="D879" s="35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52"/>
    </row>
    <row r="880" spans="1:16" s="28" customFormat="1" x14ac:dyDescent="0.25">
      <c r="A880" s="53"/>
      <c r="B880" s="58"/>
      <c r="C880" s="58"/>
      <c r="D880" s="35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52"/>
    </row>
    <row r="881" spans="1:16" s="28" customFormat="1" x14ac:dyDescent="0.25">
      <c r="A881" s="53"/>
      <c r="B881" s="58"/>
      <c r="C881" s="58"/>
      <c r="D881" s="35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52"/>
    </row>
    <row r="882" spans="1:16" s="28" customFormat="1" x14ac:dyDescent="0.25">
      <c r="A882" s="53"/>
      <c r="B882" s="58"/>
      <c r="C882" s="58"/>
      <c r="D882" s="35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52"/>
    </row>
    <row r="883" spans="1:16" s="28" customFormat="1" x14ac:dyDescent="0.25">
      <c r="A883" s="53"/>
      <c r="B883" s="58"/>
      <c r="C883" s="58"/>
      <c r="D883" s="35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52"/>
    </row>
    <row r="884" spans="1:16" s="28" customFormat="1" x14ac:dyDescent="0.25">
      <c r="A884" s="53"/>
      <c r="B884" s="58"/>
      <c r="C884" s="58"/>
      <c r="D884" s="35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52"/>
    </row>
    <row r="885" spans="1:16" s="28" customFormat="1" x14ac:dyDescent="0.25">
      <c r="A885" s="53"/>
      <c r="B885" s="58"/>
      <c r="C885" s="58"/>
      <c r="D885" s="35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52"/>
    </row>
    <row r="886" spans="1:16" s="28" customFormat="1" x14ac:dyDescent="0.25">
      <c r="A886" s="53"/>
      <c r="B886" s="58"/>
      <c r="C886" s="58"/>
      <c r="D886" s="35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52"/>
    </row>
    <row r="887" spans="1:16" s="28" customFormat="1" x14ac:dyDescent="0.25">
      <c r="A887" s="53"/>
      <c r="B887" s="58"/>
      <c r="C887" s="58"/>
      <c r="D887" s="35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52"/>
    </row>
    <row r="888" spans="1:16" s="28" customFormat="1" x14ac:dyDescent="0.25">
      <c r="A888" s="53"/>
      <c r="B888" s="58"/>
      <c r="C888" s="58"/>
      <c r="D888" s="35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52"/>
    </row>
    <row r="889" spans="1:16" s="28" customFormat="1" x14ac:dyDescent="0.25">
      <c r="A889" s="53"/>
      <c r="B889" s="58"/>
      <c r="C889" s="58"/>
      <c r="D889" s="35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52"/>
    </row>
    <row r="890" spans="1:16" s="28" customFormat="1" x14ac:dyDescent="0.25">
      <c r="A890" s="53"/>
      <c r="B890" s="58"/>
      <c r="C890" s="58"/>
      <c r="D890" s="35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52"/>
    </row>
    <row r="891" spans="1:16" s="28" customFormat="1" x14ac:dyDescent="0.25">
      <c r="A891" s="53"/>
      <c r="B891" s="58"/>
      <c r="C891" s="58"/>
      <c r="D891" s="35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52"/>
    </row>
    <row r="892" spans="1:16" s="28" customFormat="1" x14ac:dyDescent="0.25">
      <c r="A892" s="53"/>
      <c r="B892" s="58"/>
      <c r="C892" s="58"/>
      <c r="D892" s="35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52"/>
    </row>
    <row r="893" spans="1:16" s="28" customFormat="1" x14ac:dyDescent="0.25">
      <c r="A893" s="53"/>
      <c r="B893" s="58"/>
      <c r="C893" s="58"/>
      <c r="D893" s="35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52"/>
    </row>
    <row r="894" spans="1:16" s="28" customFormat="1" x14ac:dyDescent="0.25">
      <c r="A894" s="53"/>
      <c r="B894" s="58"/>
      <c r="C894" s="58"/>
      <c r="D894" s="35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52"/>
    </row>
    <row r="895" spans="1:16" s="28" customFormat="1" x14ac:dyDescent="0.25">
      <c r="A895" s="53"/>
      <c r="B895" s="58"/>
      <c r="C895" s="58"/>
      <c r="D895" s="35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52"/>
    </row>
    <row r="896" spans="1:16" s="28" customFormat="1" x14ac:dyDescent="0.25">
      <c r="A896" s="53"/>
      <c r="B896" s="58"/>
      <c r="C896" s="58"/>
      <c r="D896" s="35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52"/>
    </row>
    <row r="897" spans="1:16" s="28" customFormat="1" x14ac:dyDescent="0.25">
      <c r="A897" s="53"/>
      <c r="B897" s="58"/>
      <c r="C897" s="58"/>
      <c r="D897" s="35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52"/>
    </row>
    <row r="898" spans="1:16" s="28" customFormat="1" x14ac:dyDescent="0.25">
      <c r="A898" s="53"/>
      <c r="B898" s="58"/>
      <c r="C898" s="58"/>
      <c r="D898" s="35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52"/>
    </row>
    <row r="899" spans="1:16" s="28" customFormat="1" x14ac:dyDescent="0.25">
      <c r="A899" s="53"/>
      <c r="B899" s="58"/>
      <c r="C899" s="58"/>
      <c r="D899" s="35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52"/>
    </row>
    <row r="900" spans="1:16" s="28" customFormat="1" x14ac:dyDescent="0.25">
      <c r="A900" s="53"/>
      <c r="B900" s="58"/>
      <c r="C900" s="58"/>
      <c r="D900" s="35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52"/>
    </row>
    <row r="901" spans="1:16" s="28" customFormat="1" x14ac:dyDescent="0.25">
      <c r="A901" s="53"/>
      <c r="B901" s="58"/>
      <c r="C901" s="58"/>
      <c r="D901" s="35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52"/>
    </row>
    <row r="902" spans="1:16" s="28" customFormat="1" x14ac:dyDescent="0.25">
      <c r="A902" s="53"/>
      <c r="B902" s="58"/>
      <c r="C902" s="58"/>
      <c r="D902" s="35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52"/>
    </row>
    <row r="903" spans="1:16" s="28" customFormat="1" x14ac:dyDescent="0.25">
      <c r="A903" s="53"/>
      <c r="B903" s="58"/>
      <c r="C903" s="58"/>
      <c r="D903" s="35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52"/>
    </row>
    <row r="904" spans="1:16" s="28" customFormat="1" x14ac:dyDescent="0.25">
      <c r="A904" s="53"/>
      <c r="B904" s="58"/>
      <c r="C904" s="58"/>
      <c r="D904" s="35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52"/>
    </row>
    <row r="905" spans="1:16" s="28" customFormat="1" x14ac:dyDescent="0.25">
      <c r="A905" s="53"/>
      <c r="B905" s="58"/>
      <c r="C905" s="58"/>
      <c r="D905" s="35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52"/>
    </row>
    <row r="906" spans="1:16" s="28" customFormat="1" x14ac:dyDescent="0.25">
      <c r="A906" s="53"/>
      <c r="B906" s="58"/>
      <c r="C906" s="58"/>
      <c r="D906" s="35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52"/>
    </row>
    <row r="907" spans="1:16" s="28" customFormat="1" x14ac:dyDescent="0.25">
      <c r="A907" s="53"/>
      <c r="B907" s="58"/>
      <c r="C907" s="58"/>
      <c r="D907" s="35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52"/>
    </row>
    <row r="908" spans="1:16" s="28" customFormat="1" x14ac:dyDescent="0.25">
      <c r="A908" s="53"/>
      <c r="B908" s="58"/>
      <c r="C908" s="58"/>
      <c r="D908" s="35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52"/>
    </row>
    <row r="909" spans="1:16" s="28" customFormat="1" x14ac:dyDescent="0.25">
      <c r="A909" s="53"/>
      <c r="B909" s="58"/>
      <c r="C909" s="58"/>
      <c r="D909" s="35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52"/>
    </row>
    <row r="910" spans="1:16" s="28" customFormat="1" x14ac:dyDescent="0.25">
      <c r="A910" s="53"/>
      <c r="B910" s="58"/>
      <c r="C910" s="58"/>
      <c r="D910" s="35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52"/>
    </row>
    <row r="911" spans="1:16" s="28" customFormat="1" x14ac:dyDescent="0.25">
      <c r="A911" s="53"/>
      <c r="B911" s="58"/>
      <c r="C911" s="58"/>
      <c r="D911" s="35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52"/>
    </row>
    <row r="912" spans="1:16" s="28" customFormat="1" x14ac:dyDescent="0.25">
      <c r="A912" s="53"/>
      <c r="B912" s="58"/>
      <c r="C912" s="58"/>
      <c r="D912" s="35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52"/>
    </row>
    <row r="913" spans="1:16" s="28" customFormat="1" x14ac:dyDescent="0.25">
      <c r="A913" s="53"/>
      <c r="B913" s="58"/>
      <c r="C913" s="58"/>
      <c r="D913" s="35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52"/>
    </row>
    <row r="914" spans="1:16" s="28" customFormat="1" x14ac:dyDescent="0.25">
      <c r="A914" s="53"/>
      <c r="B914" s="58"/>
      <c r="C914" s="58"/>
      <c r="D914" s="35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52"/>
    </row>
    <row r="915" spans="1:16" s="28" customFormat="1" x14ac:dyDescent="0.25">
      <c r="A915" s="53"/>
      <c r="B915" s="58"/>
      <c r="C915" s="58"/>
      <c r="D915" s="35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52"/>
    </row>
    <row r="916" spans="1:16" s="28" customFormat="1" x14ac:dyDescent="0.25">
      <c r="A916" s="53"/>
      <c r="B916" s="58"/>
      <c r="C916" s="58"/>
      <c r="D916" s="35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52"/>
    </row>
    <row r="917" spans="1:16" s="28" customFormat="1" x14ac:dyDescent="0.25">
      <c r="A917" s="53"/>
      <c r="B917" s="58"/>
      <c r="C917" s="58"/>
      <c r="D917" s="35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52"/>
    </row>
    <row r="918" spans="1:16" s="28" customFormat="1" x14ac:dyDescent="0.25">
      <c r="A918" s="53"/>
      <c r="B918" s="58"/>
      <c r="C918" s="58"/>
      <c r="D918" s="35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52"/>
    </row>
    <row r="919" spans="1:16" s="28" customFormat="1" x14ac:dyDescent="0.25">
      <c r="A919" s="53"/>
      <c r="B919" s="58"/>
      <c r="C919" s="58"/>
      <c r="D919" s="35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52"/>
    </row>
    <row r="920" spans="1:16" s="28" customFormat="1" x14ac:dyDescent="0.25">
      <c r="A920" s="53"/>
      <c r="B920" s="58"/>
      <c r="C920" s="58"/>
      <c r="D920" s="35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52"/>
    </row>
    <row r="921" spans="1:16" s="28" customFormat="1" x14ac:dyDescent="0.25">
      <c r="A921" s="53"/>
      <c r="B921" s="58"/>
      <c r="C921" s="58"/>
      <c r="D921" s="35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52"/>
    </row>
    <row r="922" spans="1:16" s="28" customFormat="1" x14ac:dyDescent="0.25">
      <c r="A922" s="53"/>
      <c r="B922" s="58"/>
      <c r="C922" s="58"/>
      <c r="D922" s="35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52"/>
    </row>
    <row r="923" spans="1:16" s="28" customFormat="1" x14ac:dyDescent="0.25">
      <c r="A923" s="53"/>
      <c r="B923" s="58"/>
      <c r="C923" s="58"/>
      <c r="D923" s="35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52"/>
    </row>
    <row r="924" spans="1:16" s="28" customFormat="1" x14ac:dyDescent="0.25">
      <c r="A924" s="53"/>
      <c r="B924" s="58"/>
      <c r="C924" s="58"/>
      <c r="D924" s="35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52"/>
    </row>
    <row r="925" spans="1:16" s="28" customFormat="1" x14ac:dyDescent="0.25">
      <c r="A925" s="53"/>
      <c r="B925" s="58"/>
      <c r="C925" s="58"/>
      <c r="D925" s="35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52"/>
    </row>
    <row r="926" spans="1:16" s="28" customFormat="1" x14ac:dyDescent="0.25">
      <c r="A926" s="53"/>
      <c r="B926" s="58"/>
      <c r="C926" s="58"/>
      <c r="D926" s="35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52"/>
    </row>
    <row r="927" spans="1:16" s="28" customFormat="1" x14ac:dyDescent="0.25">
      <c r="A927" s="53"/>
      <c r="B927" s="58"/>
      <c r="C927" s="58"/>
      <c r="D927" s="35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52"/>
    </row>
    <row r="928" spans="1:16" s="28" customFormat="1" x14ac:dyDescent="0.25">
      <c r="A928" s="53"/>
      <c r="B928" s="58"/>
      <c r="C928" s="58"/>
      <c r="D928" s="35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52"/>
    </row>
    <row r="929" spans="1:16" s="28" customFormat="1" x14ac:dyDescent="0.25">
      <c r="A929" s="53"/>
      <c r="B929" s="58"/>
      <c r="C929" s="58"/>
      <c r="D929" s="35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52"/>
    </row>
    <row r="930" spans="1:16" s="28" customFormat="1" x14ac:dyDescent="0.25">
      <c r="A930" s="53"/>
      <c r="B930" s="58"/>
      <c r="C930" s="58"/>
      <c r="D930" s="35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52"/>
    </row>
    <row r="931" spans="1:16" s="28" customFormat="1" x14ac:dyDescent="0.25">
      <c r="A931" s="53"/>
      <c r="B931" s="58"/>
      <c r="C931" s="58"/>
      <c r="D931" s="35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52"/>
    </row>
    <row r="932" spans="1:16" s="28" customFormat="1" x14ac:dyDescent="0.25">
      <c r="A932" s="53"/>
      <c r="B932" s="58"/>
      <c r="C932" s="58"/>
      <c r="D932" s="35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52"/>
    </row>
    <row r="933" spans="1:16" s="28" customFormat="1" x14ac:dyDescent="0.25">
      <c r="A933" s="53"/>
      <c r="B933" s="58"/>
      <c r="C933" s="58"/>
      <c r="D933" s="35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52"/>
    </row>
    <row r="934" spans="1:16" s="28" customFormat="1" x14ac:dyDescent="0.25">
      <c r="A934" s="53"/>
      <c r="B934" s="58"/>
      <c r="C934" s="58"/>
      <c r="D934" s="35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52"/>
    </row>
    <row r="935" spans="1:16" s="28" customFormat="1" x14ac:dyDescent="0.25">
      <c r="A935" s="53"/>
      <c r="B935" s="58"/>
      <c r="C935" s="58"/>
      <c r="D935" s="35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52"/>
    </row>
    <row r="936" spans="1:16" s="28" customFormat="1" x14ac:dyDescent="0.25">
      <c r="A936" s="53"/>
      <c r="B936" s="58"/>
      <c r="C936" s="58"/>
      <c r="D936" s="35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52"/>
    </row>
    <row r="937" spans="1:16" s="28" customFormat="1" x14ac:dyDescent="0.25">
      <c r="A937" s="53"/>
      <c r="B937" s="58"/>
      <c r="C937" s="58"/>
      <c r="D937" s="35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52"/>
    </row>
    <row r="938" spans="1:16" s="28" customFormat="1" x14ac:dyDescent="0.25">
      <c r="A938" s="53"/>
      <c r="B938" s="58"/>
      <c r="C938" s="58"/>
      <c r="D938" s="35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52"/>
    </row>
    <row r="939" spans="1:16" s="28" customFormat="1" x14ac:dyDescent="0.25">
      <c r="A939" s="53"/>
      <c r="B939" s="58"/>
      <c r="C939" s="58"/>
      <c r="D939" s="35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52"/>
    </row>
    <row r="940" spans="1:16" s="28" customFormat="1" x14ac:dyDescent="0.25">
      <c r="A940" s="53"/>
      <c r="B940" s="58"/>
      <c r="C940" s="58"/>
      <c r="D940" s="35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52"/>
    </row>
    <row r="941" spans="1:16" s="28" customFormat="1" x14ac:dyDescent="0.25">
      <c r="A941" s="53"/>
      <c r="B941" s="58"/>
      <c r="C941" s="58"/>
      <c r="D941" s="35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52"/>
    </row>
    <row r="942" spans="1:16" s="28" customFormat="1" x14ac:dyDescent="0.25">
      <c r="A942" s="53"/>
      <c r="B942" s="58"/>
      <c r="C942" s="58"/>
      <c r="D942" s="35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52"/>
    </row>
    <row r="943" spans="1:16" s="28" customFormat="1" x14ac:dyDescent="0.25">
      <c r="A943" s="53"/>
      <c r="B943" s="58"/>
      <c r="C943" s="58"/>
      <c r="D943" s="35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52"/>
    </row>
    <row r="944" spans="1:16" s="28" customFormat="1" x14ac:dyDescent="0.25">
      <c r="A944" s="53"/>
      <c r="B944" s="58"/>
      <c r="C944" s="58"/>
      <c r="D944" s="35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52"/>
    </row>
    <row r="945" spans="1:16" s="28" customFormat="1" x14ac:dyDescent="0.25">
      <c r="A945" s="53"/>
      <c r="B945" s="58"/>
      <c r="C945" s="58"/>
      <c r="D945" s="35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52"/>
    </row>
    <row r="946" spans="1:16" s="28" customFormat="1" x14ac:dyDescent="0.25">
      <c r="A946" s="53"/>
      <c r="B946" s="58"/>
      <c r="C946" s="58"/>
      <c r="D946" s="35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52"/>
    </row>
    <row r="947" spans="1:16" s="28" customFormat="1" x14ac:dyDescent="0.25">
      <c r="A947" s="53"/>
      <c r="B947" s="58"/>
      <c r="C947" s="58"/>
      <c r="D947" s="35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52"/>
    </row>
    <row r="948" spans="1:16" s="28" customFormat="1" x14ac:dyDescent="0.25">
      <c r="A948" s="53"/>
      <c r="B948" s="58"/>
      <c r="C948" s="58"/>
      <c r="D948" s="35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52"/>
    </row>
    <row r="949" spans="1:16" s="28" customFormat="1" x14ac:dyDescent="0.25">
      <c r="A949" s="53"/>
      <c r="B949" s="58"/>
      <c r="C949" s="58"/>
      <c r="D949" s="35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52"/>
    </row>
    <row r="950" spans="1:16" s="28" customFormat="1" x14ac:dyDescent="0.25">
      <c r="A950" s="53"/>
      <c r="B950" s="58"/>
      <c r="C950" s="58"/>
      <c r="D950" s="35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52"/>
    </row>
    <row r="951" spans="1:16" s="28" customFormat="1" x14ac:dyDescent="0.25">
      <c r="A951" s="53"/>
      <c r="B951" s="58"/>
      <c r="C951" s="58"/>
      <c r="D951" s="35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52"/>
    </row>
    <row r="952" spans="1:16" s="28" customFormat="1" x14ac:dyDescent="0.25">
      <c r="A952" s="53"/>
      <c r="B952" s="58"/>
      <c r="C952" s="58"/>
      <c r="D952" s="35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52"/>
    </row>
    <row r="953" spans="1:16" s="28" customFormat="1" x14ac:dyDescent="0.25">
      <c r="A953" s="53"/>
      <c r="B953" s="58"/>
      <c r="C953" s="58"/>
      <c r="D953" s="35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52"/>
    </row>
    <row r="954" spans="1:16" s="28" customFormat="1" x14ac:dyDescent="0.25">
      <c r="A954" s="53"/>
      <c r="B954" s="58"/>
      <c r="C954" s="58"/>
      <c r="D954" s="35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52"/>
    </row>
    <row r="955" spans="1:16" s="28" customFormat="1" x14ac:dyDescent="0.25">
      <c r="A955" s="53"/>
      <c r="B955" s="58"/>
      <c r="C955" s="58"/>
      <c r="D955" s="35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52"/>
    </row>
    <row r="956" spans="1:16" s="28" customFormat="1" x14ac:dyDescent="0.25">
      <c r="A956" s="53"/>
      <c r="B956" s="58"/>
      <c r="C956" s="58"/>
      <c r="D956" s="35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52"/>
    </row>
    <row r="957" spans="1:16" s="28" customFormat="1" x14ac:dyDescent="0.25">
      <c r="A957" s="53"/>
      <c r="B957" s="58"/>
      <c r="C957" s="58"/>
      <c r="D957" s="35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52"/>
    </row>
    <row r="958" spans="1:16" s="28" customFormat="1" x14ac:dyDescent="0.25">
      <c r="A958" s="53"/>
      <c r="B958" s="58"/>
      <c r="C958" s="58"/>
      <c r="D958" s="35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52"/>
    </row>
    <row r="959" spans="1:16" s="28" customFormat="1" x14ac:dyDescent="0.25">
      <c r="A959" s="53"/>
      <c r="B959" s="58"/>
      <c r="C959" s="58"/>
      <c r="D959" s="35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52"/>
    </row>
    <row r="960" spans="1:16" s="28" customFormat="1" x14ac:dyDescent="0.25">
      <c r="A960" s="53"/>
      <c r="B960" s="58"/>
      <c r="C960" s="58"/>
      <c r="D960" s="35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52"/>
    </row>
    <row r="961" spans="1:16" s="28" customFormat="1" x14ac:dyDescent="0.25">
      <c r="A961" s="53"/>
      <c r="B961" s="58"/>
      <c r="C961" s="58"/>
      <c r="D961" s="35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52"/>
    </row>
    <row r="962" spans="1:16" s="28" customFormat="1" x14ac:dyDescent="0.25">
      <c r="A962" s="53"/>
      <c r="B962" s="58"/>
      <c r="C962" s="58"/>
      <c r="D962" s="35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52"/>
    </row>
    <row r="963" spans="1:16" s="28" customFormat="1" x14ac:dyDescent="0.25">
      <c r="A963" s="53"/>
      <c r="B963" s="58"/>
      <c r="C963" s="58"/>
      <c r="D963" s="35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52"/>
    </row>
    <row r="964" spans="1:16" s="28" customFormat="1" x14ac:dyDescent="0.25">
      <c r="A964" s="53"/>
      <c r="B964" s="58"/>
      <c r="C964" s="58"/>
      <c r="D964" s="35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52"/>
    </row>
    <row r="965" spans="1:16" s="28" customFormat="1" x14ac:dyDescent="0.25">
      <c r="A965" s="53"/>
      <c r="B965" s="58"/>
      <c r="C965" s="58"/>
      <c r="D965" s="35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52"/>
    </row>
    <row r="966" spans="1:16" s="28" customFormat="1" x14ac:dyDescent="0.25">
      <c r="A966" s="53"/>
      <c r="B966" s="58"/>
      <c r="C966" s="58"/>
      <c r="D966" s="35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52"/>
    </row>
    <row r="967" spans="1:16" s="28" customFormat="1" x14ac:dyDescent="0.25">
      <c r="A967" s="53"/>
      <c r="B967" s="58"/>
      <c r="C967" s="58"/>
      <c r="D967" s="35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52"/>
    </row>
    <row r="968" spans="1:16" s="28" customFormat="1" x14ac:dyDescent="0.25">
      <c r="A968" s="53"/>
      <c r="B968" s="58"/>
      <c r="C968" s="58"/>
      <c r="D968" s="35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52"/>
    </row>
    <row r="969" spans="1:16" s="28" customFormat="1" x14ac:dyDescent="0.25">
      <c r="A969" s="53"/>
      <c r="B969" s="58"/>
      <c r="C969" s="58"/>
      <c r="D969" s="35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52"/>
    </row>
    <row r="970" spans="1:16" s="28" customFormat="1" x14ac:dyDescent="0.25">
      <c r="A970" s="53"/>
      <c r="B970" s="58"/>
      <c r="C970" s="58"/>
      <c r="D970" s="35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52"/>
    </row>
    <row r="971" spans="1:16" s="28" customFormat="1" x14ac:dyDescent="0.25">
      <c r="A971" s="53"/>
      <c r="B971" s="58"/>
      <c r="C971" s="58"/>
      <c r="D971" s="35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52"/>
    </row>
    <row r="972" spans="1:16" s="28" customFormat="1" x14ac:dyDescent="0.25">
      <c r="A972" s="53"/>
      <c r="B972" s="58"/>
      <c r="C972" s="58"/>
      <c r="D972" s="35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52"/>
    </row>
    <row r="973" spans="1:16" s="28" customFormat="1" x14ac:dyDescent="0.25">
      <c r="A973" s="53"/>
      <c r="B973" s="58"/>
      <c r="C973" s="58"/>
      <c r="D973" s="35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52"/>
    </row>
    <row r="974" spans="1:16" s="28" customFormat="1" x14ac:dyDescent="0.25">
      <c r="A974" s="53"/>
      <c r="B974" s="58"/>
      <c r="C974" s="58"/>
      <c r="D974" s="35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52"/>
    </row>
    <row r="975" spans="1:16" s="28" customFormat="1" x14ac:dyDescent="0.25">
      <c r="A975" s="53"/>
      <c r="B975" s="58"/>
      <c r="C975" s="58"/>
      <c r="D975" s="35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52"/>
    </row>
    <row r="976" spans="1:16" s="28" customFormat="1" x14ac:dyDescent="0.25">
      <c r="A976" s="53"/>
      <c r="B976" s="58"/>
      <c r="C976" s="58"/>
      <c r="D976" s="35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52"/>
    </row>
    <row r="977" spans="1:16" s="28" customFormat="1" x14ac:dyDescent="0.25">
      <c r="A977" s="53"/>
      <c r="B977" s="58"/>
      <c r="C977" s="58"/>
      <c r="D977" s="35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52"/>
    </row>
    <row r="978" spans="1:16" s="28" customFormat="1" x14ac:dyDescent="0.25">
      <c r="A978" s="53"/>
      <c r="B978" s="58"/>
      <c r="C978" s="58"/>
      <c r="D978" s="35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52"/>
    </row>
    <row r="979" spans="1:16" s="28" customFormat="1" x14ac:dyDescent="0.25">
      <c r="A979" s="53"/>
      <c r="B979" s="58"/>
      <c r="C979" s="58"/>
      <c r="D979" s="35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52"/>
    </row>
    <row r="980" spans="1:16" s="28" customFormat="1" x14ac:dyDescent="0.25">
      <c r="A980" s="53"/>
      <c r="B980" s="58"/>
      <c r="C980" s="58"/>
      <c r="D980" s="35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52"/>
    </row>
    <row r="981" spans="1:16" s="28" customFormat="1" x14ac:dyDescent="0.25">
      <c r="A981" s="53"/>
      <c r="B981" s="58"/>
      <c r="C981" s="58"/>
      <c r="D981" s="35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52"/>
    </row>
    <row r="982" spans="1:16" s="28" customFormat="1" x14ac:dyDescent="0.25">
      <c r="A982" s="53"/>
      <c r="B982" s="58"/>
      <c r="C982" s="58"/>
      <c r="D982" s="35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52"/>
    </row>
    <row r="983" spans="1:16" s="28" customFormat="1" x14ac:dyDescent="0.25">
      <c r="A983" s="53"/>
      <c r="B983" s="58"/>
      <c r="C983" s="58"/>
      <c r="D983" s="35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52"/>
    </row>
    <row r="984" spans="1:16" s="28" customFormat="1" x14ac:dyDescent="0.25">
      <c r="A984" s="53"/>
      <c r="B984" s="58"/>
      <c r="C984" s="58"/>
      <c r="D984" s="35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52"/>
    </row>
    <row r="985" spans="1:16" s="28" customFormat="1" x14ac:dyDescent="0.25">
      <c r="A985" s="53"/>
      <c r="B985" s="58"/>
      <c r="C985" s="58"/>
      <c r="D985" s="35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52"/>
    </row>
    <row r="986" spans="1:16" s="28" customFormat="1" x14ac:dyDescent="0.25">
      <c r="A986" s="53"/>
      <c r="B986" s="58"/>
      <c r="C986" s="58"/>
      <c r="D986" s="35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52"/>
    </row>
    <row r="987" spans="1:16" s="28" customFormat="1" x14ac:dyDescent="0.25">
      <c r="A987" s="53"/>
      <c r="B987" s="58"/>
      <c r="C987" s="58"/>
      <c r="D987" s="35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52"/>
    </row>
    <row r="988" spans="1:16" s="28" customFormat="1" x14ac:dyDescent="0.25">
      <c r="A988" s="53"/>
      <c r="B988" s="58"/>
      <c r="C988" s="58"/>
      <c r="D988" s="35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52"/>
    </row>
    <row r="989" spans="1:16" s="28" customFormat="1" x14ac:dyDescent="0.25">
      <c r="A989" s="53"/>
      <c r="B989" s="58"/>
      <c r="C989" s="58"/>
      <c r="D989" s="35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52"/>
    </row>
    <row r="990" spans="1:16" s="28" customFormat="1" x14ac:dyDescent="0.25">
      <c r="A990" s="53"/>
      <c r="B990" s="58"/>
      <c r="C990" s="58"/>
      <c r="D990" s="35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52"/>
    </row>
    <row r="991" spans="1:16" s="28" customFormat="1" x14ac:dyDescent="0.25">
      <c r="A991" s="53"/>
      <c r="B991" s="58"/>
      <c r="C991" s="58"/>
      <c r="D991" s="35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52"/>
    </row>
    <row r="992" spans="1:16" s="28" customFormat="1" x14ac:dyDescent="0.25">
      <c r="A992" s="53"/>
      <c r="B992" s="58"/>
      <c r="C992" s="58"/>
      <c r="D992" s="35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52"/>
    </row>
    <row r="993" spans="1:16" s="28" customFormat="1" x14ac:dyDescent="0.25">
      <c r="A993" s="53"/>
      <c r="B993" s="58"/>
      <c r="C993" s="58"/>
      <c r="D993" s="35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52"/>
    </row>
    <row r="994" spans="1:16" s="28" customFormat="1" x14ac:dyDescent="0.25">
      <c r="A994" s="53"/>
      <c r="B994" s="58"/>
      <c r="C994" s="58"/>
      <c r="D994" s="35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52"/>
    </row>
    <row r="995" spans="1:16" s="28" customFormat="1" x14ac:dyDescent="0.25">
      <c r="A995" s="53"/>
      <c r="B995" s="58"/>
      <c r="C995" s="58"/>
      <c r="D995" s="35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52"/>
    </row>
    <row r="996" spans="1:16" s="28" customFormat="1" x14ac:dyDescent="0.25">
      <c r="A996" s="53"/>
      <c r="B996" s="58"/>
      <c r="C996" s="58"/>
      <c r="D996" s="35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52"/>
    </row>
    <row r="997" spans="1:16" s="28" customFormat="1" x14ac:dyDescent="0.25">
      <c r="A997" s="53"/>
      <c r="B997" s="58"/>
      <c r="C997" s="58"/>
      <c r="D997" s="35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52"/>
    </row>
    <row r="998" spans="1:16" s="28" customFormat="1" x14ac:dyDescent="0.25">
      <c r="A998" s="53"/>
      <c r="B998" s="58"/>
      <c r="C998" s="58"/>
      <c r="D998" s="35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52"/>
    </row>
    <row r="999" spans="1:16" s="28" customFormat="1" x14ac:dyDescent="0.25">
      <c r="A999" s="53"/>
      <c r="B999" s="58"/>
      <c r="C999" s="58"/>
      <c r="D999" s="35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52"/>
    </row>
    <row r="1000" spans="1:16" s="28" customFormat="1" x14ac:dyDescent="0.25">
      <c r="A1000" s="53"/>
      <c r="B1000" s="58"/>
      <c r="C1000" s="58"/>
      <c r="D1000" s="35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52"/>
    </row>
    <row r="1001" spans="1:16" s="28" customFormat="1" x14ac:dyDescent="0.25">
      <c r="A1001" s="53"/>
      <c r="B1001" s="58"/>
      <c r="C1001" s="58"/>
      <c r="D1001" s="35"/>
      <c r="E1001" s="131"/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52"/>
    </row>
    <row r="1002" spans="1:16" s="28" customFormat="1" x14ac:dyDescent="0.25">
      <c r="A1002" s="53"/>
      <c r="B1002" s="58"/>
      <c r="C1002" s="58"/>
      <c r="D1002" s="35"/>
      <c r="E1002" s="131"/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31"/>
      <c r="P1002" s="152"/>
    </row>
    <row r="1003" spans="1:16" s="28" customFormat="1" x14ac:dyDescent="0.25">
      <c r="A1003" s="53"/>
      <c r="B1003" s="58"/>
      <c r="C1003" s="58"/>
      <c r="D1003" s="35"/>
      <c r="E1003" s="131"/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31"/>
      <c r="P1003" s="152"/>
    </row>
    <row r="1004" spans="1:16" s="28" customFormat="1" x14ac:dyDescent="0.25">
      <c r="A1004" s="53"/>
      <c r="B1004" s="58"/>
      <c r="C1004" s="58"/>
      <c r="D1004" s="35"/>
      <c r="E1004" s="131"/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31"/>
      <c r="P1004" s="152"/>
    </row>
    <row r="1005" spans="1:16" s="28" customFormat="1" x14ac:dyDescent="0.25">
      <c r="A1005" s="53"/>
      <c r="B1005" s="58"/>
      <c r="C1005" s="58"/>
      <c r="D1005" s="35"/>
      <c r="E1005" s="131"/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52"/>
    </row>
    <row r="1006" spans="1:16" s="28" customFormat="1" x14ac:dyDescent="0.25">
      <c r="A1006" s="53"/>
      <c r="B1006" s="58"/>
      <c r="C1006" s="58"/>
      <c r="D1006" s="35"/>
      <c r="E1006" s="131"/>
      <c r="F1006" s="131"/>
      <c r="G1006" s="131"/>
      <c r="H1006" s="131"/>
      <c r="I1006" s="131"/>
      <c r="J1006" s="131"/>
      <c r="K1006" s="131"/>
      <c r="L1006" s="131"/>
      <c r="M1006" s="131"/>
      <c r="N1006" s="131"/>
      <c r="O1006" s="131"/>
      <c r="P1006" s="152"/>
    </row>
    <row r="1007" spans="1:16" s="28" customFormat="1" x14ac:dyDescent="0.25">
      <c r="A1007" s="53"/>
      <c r="B1007" s="58"/>
      <c r="C1007" s="58"/>
      <c r="D1007" s="35"/>
      <c r="E1007" s="131"/>
      <c r="F1007" s="131"/>
      <c r="G1007" s="131"/>
      <c r="H1007" s="131"/>
      <c r="I1007" s="131"/>
      <c r="J1007" s="131"/>
      <c r="K1007" s="131"/>
      <c r="L1007" s="131"/>
      <c r="M1007" s="131"/>
      <c r="N1007" s="131"/>
      <c r="O1007" s="131"/>
      <c r="P1007" s="152"/>
    </row>
    <row r="1008" spans="1:16" s="28" customFormat="1" x14ac:dyDescent="0.25">
      <c r="A1008" s="53"/>
      <c r="B1008" s="58"/>
      <c r="C1008" s="58"/>
      <c r="D1008" s="35"/>
      <c r="E1008" s="131"/>
      <c r="F1008" s="131"/>
      <c r="G1008" s="131"/>
      <c r="H1008" s="131"/>
      <c r="I1008" s="131"/>
      <c r="J1008" s="131"/>
      <c r="K1008" s="131"/>
      <c r="L1008" s="131"/>
      <c r="M1008" s="131"/>
      <c r="N1008" s="131"/>
      <c r="O1008" s="131"/>
      <c r="P1008" s="152"/>
    </row>
    <row r="1009" spans="1:16" s="28" customFormat="1" x14ac:dyDescent="0.25">
      <c r="A1009" s="53"/>
      <c r="B1009" s="58"/>
      <c r="C1009" s="58"/>
      <c r="D1009" s="35"/>
      <c r="E1009" s="131"/>
      <c r="F1009" s="131"/>
      <c r="G1009" s="131"/>
      <c r="H1009" s="131"/>
      <c r="I1009" s="131"/>
      <c r="J1009" s="131"/>
      <c r="K1009" s="131"/>
      <c r="L1009" s="131"/>
      <c r="M1009" s="131"/>
      <c r="N1009" s="131"/>
      <c r="O1009" s="131"/>
      <c r="P1009" s="152"/>
    </row>
    <row r="1010" spans="1:16" s="28" customFormat="1" x14ac:dyDescent="0.25">
      <c r="A1010" s="53"/>
      <c r="B1010" s="58"/>
      <c r="C1010" s="58"/>
      <c r="D1010" s="35"/>
      <c r="E1010" s="131"/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52"/>
    </row>
    <row r="1011" spans="1:16" s="28" customFormat="1" x14ac:dyDescent="0.25">
      <c r="A1011" s="53"/>
      <c r="B1011" s="58"/>
      <c r="C1011" s="58"/>
      <c r="D1011" s="35"/>
      <c r="E1011" s="131"/>
      <c r="F1011" s="131"/>
      <c r="G1011" s="131"/>
      <c r="H1011" s="131"/>
      <c r="I1011" s="131"/>
      <c r="J1011" s="131"/>
      <c r="K1011" s="131"/>
      <c r="L1011" s="131"/>
      <c r="M1011" s="131"/>
      <c r="N1011" s="131"/>
      <c r="O1011" s="131"/>
      <c r="P1011" s="152"/>
    </row>
    <row r="1012" spans="1:16" s="28" customFormat="1" x14ac:dyDescent="0.25">
      <c r="A1012" s="53"/>
      <c r="B1012" s="58"/>
      <c r="C1012" s="58"/>
      <c r="D1012" s="35"/>
      <c r="E1012" s="131"/>
      <c r="F1012" s="131"/>
      <c r="G1012" s="131"/>
      <c r="H1012" s="131"/>
      <c r="I1012" s="131"/>
      <c r="J1012" s="131"/>
      <c r="K1012" s="131"/>
      <c r="L1012" s="131"/>
      <c r="M1012" s="131"/>
      <c r="N1012" s="131"/>
      <c r="O1012" s="131"/>
      <c r="P1012" s="152"/>
    </row>
    <row r="1013" spans="1:16" s="28" customFormat="1" x14ac:dyDescent="0.25">
      <c r="A1013" s="53"/>
      <c r="B1013" s="58"/>
      <c r="C1013" s="58"/>
      <c r="D1013" s="35"/>
      <c r="E1013" s="131"/>
      <c r="F1013" s="131"/>
      <c r="G1013" s="131"/>
      <c r="H1013" s="131"/>
      <c r="I1013" s="131"/>
      <c r="J1013" s="131"/>
      <c r="K1013" s="131"/>
      <c r="L1013" s="131"/>
      <c r="M1013" s="131"/>
      <c r="N1013" s="131"/>
      <c r="O1013" s="131"/>
      <c r="P1013" s="152"/>
    </row>
    <row r="1014" spans="1:16" s="28" customFormat="1" x14ac:dyDescent="0.25">
      <c r="A1014" s="53"/>
      <c r="B1014" s="58"/>
      <c r="C1014" s="58"/>
      <c r="D1014" s="35"/>
      <c r="E1014" s="131"/>
      <c r="F1014" s="131"/>
      <c r="G1014" s="131"/>
      <c r="H1014" s="131"/>
      <c r="I1014" s="131"/>
      <c r="J1014" s="131"/>
      <c r="K1014" s="131"/>
      <c r="L1014" s="131"/>
      <c r="M1014" s="131"/>
      <c r="N1014" s="131"/>
      <c r="O1014" s="131"/>
      <c r="P1014" s="152"/>
    </row>
    <row r="1015" spans="1:16" s="28" customFormat="1" x14ac:dyDescent="0.25">
      <c r="A1015" s="53"/>
      <c r="B1015" s="58"/>
      <c r="C1015" s="58"/>
      <c r="D1015" s="35"/>
      <c r="E1015" s="131"/>
      <c r="F1015" s="131"/>
      <c r="G1015" s="131"/>
      <c r="H1015" s="131"/>
      <c r="I1015" s="131"/>
      <c r="J1015" s="131"/>
      <c r="K1015" s="131"/>
      <c r="L1015" s="131"/>
      <c r="M1015" s="131"/>
      <c r="N1015" s="131"/>
      <c r="O1015" s="131"/>
      <c r="P1015" s="152"/>
    </row>
    <row r="1016" spans="1:16" s="28" customFormat="1" x14ac:dyDescent="0.25">
      <c r="A1016" s="53"/>
      <c r="B1016" s="58"/>
      <c r="C1016" s="58"/>
      <c r="D1016" s="35"/>
      <c r="E1016" s="131"/>
      <c r="F1016" s="131"/>
      <c r="G1016" s="131"/>
      <c r="H1016" s="131"/>
      <c r="I1016" s="131"/>
      <c r="J1016" s="131"/>
      <c r="K1016" s="131"/>
      <c r="L1016" s="131"/>
      <c r="M1016" s="131"/>
      <c r="N1016" s="131"/>
      <c r="O1016" s="131"/>
      <c r="P1016" s="152"/>
    </row>
    <row r="1017" spans="1:16" s="28" customFormat="1" x14ac:dyDescent="0.25">
      <c r="A1017" s="53"/>
      <c r="B1017" s="58"/>
      <c r="C1017" s="58"/>
      <c r="D1017" s="35"/>
      <c r="E1017" s="131"/>
      <c r="F1017" s="131"/>
      <c r="G1017" s="131"/>
      <c r="H1017" s="131"/>
      <c r="I1017" s="131"/>
      <c r="J1017" s="131"/>
      <c r="K1017" s="131"/>
      <c r="L1017" s="131"/>
      <c r="M1017" s="131"/>
      <c r="N1017" s="131"/>
      <c r="O1017" s="131"/>
      <c r="P1017" s="152"/>
    </row>
    <row r="1018" spans="1:16" s="28" customFormat="1" x14ac:dyDescent="0.25">
      <c r="A1018" s="53"/>
      <c r="B1018" s="58"/>
      <c r="C1018" s="58"/>
      <c r="D1018" s="35"/>
      <c r="E1018" s="131"/>
      <c r="F1018" s="131"/>
      <c r="G1018" s="131"/>
      <c r="H1018" s="131"/>
      <c r="I1018" s="131"/>
      <c r="J1018" s="131"/>
      <c r="K1018" s="131"/>
      <c r="L1018" s="131"/>
      <c r="M1018" s="131"/>
      <c r="N1018" s="131"/>
      <c r="O1018" s="131"/>
      <c r="P1018" s="152"/>
    </row>
    <row r="1019" spans="1:16" s="28" customFormat="1" x14ac:dyDescent="0.25">
      <c r="A1019" s="53"/>
      <c r="B1019" s="58"/>
      <c r="C1019" s="58"/>
      <c r="D1019" s="35"/>
      <c r="E1019" s="131"/>
      <c r="F1019" s="131"/>
      <c r="G1019" s="131"/>
      <c r="H1019" s="131"/>
      <c r="I1019" s="131"/>
      <c r="J1019" s="131"/>
      <c r="K1019" s="131"/>
      <c r="L1019" s="131"/>
      <c r="M1019" s="131"/>
      <c r="N1019" s="131"/>
      <c r="O1019" s="131"/>
      <c r="P1019" s="152"/>
    </row>
    <row r="1020" spans="1:16" s="28" customFormat="1" x14ac:dyDescent="0.25">
      <c r="A1020" s="53"/>
      <c r="B1020" s="58"/>
      <c r="C1020" s="58"/>
      <c r="D1020" s="35"/>
      <c r="E1020" s="131"/>
      <c r="F1020" s="131"/>
      <c r="G1020" s="131"/>
      <c r="H1020" s="131"/>
      <c r="I1020" s="131"/>
      <c r="J1020" s="131"/>
      <c r="K1020" s="131"/>
      <c r="L1020" s="131"/>
      <c r="M1020" s="131"/>
      <c r="N1020" s="131"/>
      <c r="O1020" s="131"/>
      <c r="P1020" s="152"/>
    </row>
    <row r="1021" spans="1:16" s="28" customFormat="1" x14ac:dyDescent="0.25">
      <c r="A1021" s="53"/>
      <c r="B1021" s="58"/>
      <c r="C1021" s="58"/>
      <c r="D1021" s="35"/>
      <c r="E1021" s="131"/>
      <c r="F1021" s="131"/>
      <c r="G1021" s="131"/>
      <c r="H1021" s="131"/>
      <c r="I1021" s="131"/>
      <c r="J1021" s="131"/>
      <c r="K1021" s="131"/>
      <c r="L1021" s="131"/>
      <c r="M1021" s="131"/>
      <c r="N1021" s="131"/>
      <c r="O1021" s="131"/>
      <c r="P1021" s="152"/>
    </row>
    <row r="1022" spans="1:16" s="28" customFormat="1" x14ac:dyDescent="0.25">
      <c r="A1022" s="53"/>
      <c r="B1022" s="58"/>
      <c r="C1022" s="58"/>
      <c r="D1022" s="35"/>
      <c r="E1022" s="131"/>
      <c r="F1022" s="131"/>
      <c r="G1022" s="131"/>
      <c r="H1022" s="131"/>
      <c r="I1022" s="131"/>
      <c r="J1022" s="131"/>
      <c r="K1022" s="131"/>
      <c r="L1022" s="131"/>
      <c r="M1022" s="131"/>
      <c r="N1022" s="131"/>
      <c r="O1022" s="131"/>
      <c r="P1022" s="152"/>
    </row>
    <row r="1023" spans="1:16" s="28" customFormat="1" x14ac:dyDescent="0.25">
      <c r="A1023" s="53"/>
      <c r="B1023" s="58"/>
      <c r="C1023" s="58"/>
      <c r="D1023" s="35"/>
      <c r="E1023" s="131"/>
      <c r="F1023" s="131"/>
      <c r="G1023" s="131"/>
      <c r="H1023" s="131"/>
      <c r="I1023" s="131"/>
      <c r="J1023" s="131"/>
      <c r="K1023" s="131"/>
      <c r="L1023" s="131"/>
      <c r="M1023" s="131"/>
      <c r="N1023" s="131"/>
      <c r="O1023" s="131"/>
      <c r="P1023" s="152"/>
    </row>
    <row r="1024" spans="1:16" s="28" customFormat="1" x14ac:dyDescent="0.25">
      <c r="A1024" s="53"/>
      <c r="B1024" s="58"/>
      <c r="C1024" s="58"/>
      <c r="D1024" s="35"/>
      <c r="E1024" s="131"/>
      <c r="F1024" s="131"/>
      <c r="G1024" s="131"/>
      <c r="H1024" s="131"/>
      <c r="I1024" s="131"/>
      <c r="J1024" s="131"/>
      <c r="K1024" s="131"/>
      <c r="L1024" s="131"/>
      <c r="M1024" s="131"/>
      <c r="N1024" s="131"/>
      <c r="O1024" s="131"/>
      <c r="P1024" s="152"/>
    </row>
    <row r="1025" spans="1:16" s="28" customFormat="1" x14ac:dyDescent="0.25">
      <c r="A1025" s="53"/>
      <c r="B1025" s="58"/>
      <c r="C1025" s="58"/>
      <c r="D1025" s="35"/>
      <c r="E1025" s="131"/>
      <c r="F1025" s="131"/>
      <c r="G1025" s="131"/>
      <c r="H1025" s="131"/>
      <c r="I1025" s="131"/>
      <c r="J1025" s="131"/>
      <c r="K1025" s="131"/>
      <c r="L1025" s="131"/>
      <c r="M1025" s="131"/>
      <c r="N1025" s="131"/>
      <c r="O1025" s="131"/>
      <c r="P1025" s="152"/>
    </row>
    <row r="1026" spans="1:16" s="28" customFormat="1" x14ac:dyDescent="0.25">
      <c r="A1026" s="53"/>
      <c r="B1026" s="58"/>
      <c r="C1026" s="58"/>
      <c r="D1026" s="35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52"/>
    </row>
    <row r="1027" spans="1:16" s="28" customFormat="1" x14ac:dyDescent="0.25">
      <c r="A1027" s="53"/>
      <c r="B1027" s="58"/>
      <c r="C1027" s="58"/>
      <c r="D1027" s="35"/>
      <c r="E1027" s="131"/>
      <c r="F1027" s="131"/>
      <c r="G1027" s="131"/>
      <c r="H1027" s="131"/>
      <c r="I1027" s="131"/>
      <c r="J1027" s="131"/>
      <c r="K1027" s="131"/>
      <c r="L1027" s="131"/>
      <c r="M1027" s="131"/>
      <c r="N1027" s="131"/>
      <c r="O1027" s="131"/>
      <c r="P1027" s="152"/>
    </row>
    <row r="1028" spans="1:16" s="28" customFormat="1" x14ac:dyDescent="0.25">
      <c r="A1028" s="53"/>
      <c r="B1028" s="58"/>
      <c r="C1028" s="58"/>
      <c r="D1028" s="35"/>
      <c r="E1028" s="131"/>
      <c r="F1028" s="131"/>
      <c r="G1028" s="131"/>
      <c r="H1028" s="131"/>
      <c r="I1028" s="131"/>
      <c r="J1028" s="131"/>
      <c r="K1028" s="131"/>
      <c r="L1028" s="131"/>
      <c r="M1028" s="131"/>
      <c r="N1028" s="131"/>
      <c r="O1028" s="131"/>
      <c r="P1028" s="152"/>
    </row>
    <row r="1029" spans="1:16" s="28" customFormat="1" x14ac:dyDescent="0.25">
      <c r="A1029" s="53"/>
      <c r="B1029" s="58"/>
      <c r="C1029" s="58"/>
      <c r="D1029" s="35"/>
      <c r="E1029" s="131"/>
      <c r="F1029" s="131"/>
      <c r="G1029" s="131"/>
      <c r="H1029" s="131"/>
      <c r="I1029" s="131"/>
      <c r="J1029" s="131"/>
      <c r="K1029" s="131"/>
      <c r="L1029" s="131"/>
      <c r="M1029" s="131"/>
      <c r="N1029" s="131"/>
      <c r="O1029" s="131"/>
      <c r="P1029" s="152"/>
    </row>
    <row r="1030" spans="1:16" s="28" customFormat="1" x14ac:dyDescent="0.25">
      <c r="A1030" s="53"/>
      <c r="B1030" s="58"/>
      <c r="C1030" s="58"/>
      <c r="D1030" s="35"/>
      <c r="E1030" s="131"/>
      <c r="F1030" s="131"/>
      <c r="G1030" s="131"/>
      <c r="H1030" s="131"/>
      <c r="I1030" s="131"/>
      <c r="J1030" s="131"/>
      <c r="K1030" s="131"/>
      <c r="L1030" s="131"/>
      <c r="M1030" s="131"/>
      <c r="N1030" s="131"/>
      <c r="O1030" s="131"/>
      <c r="P1030" s="152"/>
    </row>
    <row r="1031" spans="1:16" s="28" customFormat="1" x14ac:dyDescent="0.25">
      <c r="A1031" s="53"/>
      <c r="B1031" s="58"/>
      <c r="C1031" s="58"/>
      <c r="D1031" s="35"/>
      <c r="E1031" s="131"/>
      <c r="F1031" s="131"/>
      <c r="G1031" s="131"/>
      <c r="H1031" s="131"/>
      <c r="I1031" s="131"/>
      <c r="J1031" s="131"/>
      <c r="K1031" s="131"/>
      <c r="L1031" s="131"/>
      <c r="M1031" s="131"/>
      <c r="N1031" s="131"/>
      <c r="O1031" s="131"/>
      <c r="P1031" s="152"/>
    </row>
    <row r="1032" spans="1:16" s="28" customFormat="1" x14ac:dyDescent="0.25">
      <c r="A1032" s="53"/>
      <c r="B1032" s="58"/>
      <c r="C1032" s="58"/>
      <c r="D1032" s="35"/>
      <c r="E1032" s="131"/>
      <c r="F1032" s="131"/>
      <c r="G1032" s="131"/>
      <c r="H1032" s="131"/>
      <c r="I1032" s="131"/>
      <c r="J1032" s="131"/>
      <c r="K1032" s="131"/>
      <c r="L1032" s="131"/>
      <c r="M1032" s="131"/>
      <c r="N1032" s="131"/>
      <c r="O1032" s="131"/>
      <c r="P1032" s="152"/>
    </row>
    <row r="1033" spans="1:16" s="28" customFormat="1" x14ac:dyDescent="0.25">
      <c r="A1033" s="53"/>
      <c r="B1033" s="58"/>
      <c r="C1033" s="58"/>
      <c r="D1033" s="35"/>
      <c r="E1033" s="131"/>
      <c r="F1033" s="131"/>
      <c r="G1033" s="131"/>
      <c r="H1033" s="131"/>
      <c r="I1033" s="131"/>
      <c r="J1033" s="131"/>
      <c r="K1033" s="131"/>
      <c r="L1033" s="131"/>
      <c r="M1033" s="131"/>
      <c r="N1033" s="131"/>
      <c r="O1033" s="131"/>
      <c r="P1033" s="152"/>
    </row>
    <row r="1034" spans="1:16" s="28" customFormat="1" x14ac:dyDescent="0.25">
      <c r="A1034" s="53"/>
      <c r="B1034" s="58"/>
      <c r="C1034" s="58"/>
      <c r="D1034" s="35"/>
      <c r="E1034" s="131"/>
      <c r="F1034" s="131"/>
      <c r="G1034" s="131"/>
      <c r="H1034" s="131"/>
      <c r="I1034" s="131"/>
      <c r="J1034" s="131"/>
      <c r="K1034" s="131"/>
      <c r="L1034" s="131"/>
      <c r="M1034" s="131"/>
      <c r="N1034" s="131"/>
      <c r="O1034" s="131"/>
      <c r="P1034" s="152"/>
    </row>
    <row r="1035" spans="1:16" s="28" customFormat="1" x14ac:dyDescent="0.25">
      <c r="A1035" s="53"/>
      <c r="B1035" s="58"/>
      <c r="C1035" s="58"/>
      <c r="D1035" s="35"/>
      <c r="E1035" s="131"/>
      <c r="F1035" s="131"/>
      <c r="G1035" s="131"/>
      <c r="H1035" s="131"/>
      <c r="I1035" s="131"/>
      <c r="J1035" s="131"/>
      <c r="K1035" s="131"/>
      <c r="L1035" s="131"/>
      <c r="M1035" s="131"/>
      <c r="N1035" s="131"/>
      <c r="O1035" s="131"/>
      <c r="P1035" s="152"/>
    </row>
    <row r="1036" spans="1:16" s="28" customFormat="1" x14ac:dyDescent="0.25">
      <c r="A1036" s="53"/>
      <c r="B1036" s="58"/>
      <c r="C1036" s="58"/>
      <c r="D1036" s="35"/>
      <c r="E1036" s="131"/>
      <c r="F1036" s="131"/>
      <c r="G1036" s="131"/>
      <c r="H1036" s="131"/>
      <c r="I1036" s="131"/>
      <c r="J1036" s="131"/>
      <c r="K1036" s="131"/>
      <c r="L1036" s="131"/>
      <c r="M1036" s="131"/>
      <c r="N1036" s="131"/>
      <c r="O1036" s="131"/>
      <c r="P1036" s="152"/>
    </row>
    <row r="1037" spans="1:16" s="28" customFormat="1" x14ac:dyDescent="0.25">
      <c r="A1037" s="53"/>
      <c r="B1037" s="58"/>
      <c r="C1037" s="58"/>
      <c r="D1037" s="35"/>
      <c r="E1037" s="131"/>
      <c r="F1037" s="131"/>
      <c r="G1037" s="131"/>
      <c r="H1037" s="131"/>
      <c r="I1037" s="131"/>
      <c r="J1037" s="131"/>
      <c r="K1037" s="131"/>
      <c r="L1037" s="131"/>
      <c r="M1037" s="131"/>
      <c r="N1037" s="131"/>
      <c r="O1037" s="131"/>
      <c r="P1037" s="152"/>
    </row>
    <row r="1038" spans="1:16" s="28" customFormat="1" x14ac:dyDescent="0.25">
      <c r="A1038" s="53"/>
      <c r="B1038" s="58"/>
      <c r="C1038" s="58"/>
      <c r="D1038" s="35"/>
      <c r="E1038" s="131"/>
      <c r="F1038" s="131"/>
      <c r="G1038" s="131"/>
      <c r="H1038" s="131"/>
      <c r="I1038" s="131"/>
      <c r="J1038" s="131"/>
      <c r="K1038" s="131"/>
      <c r="L1038" s="131"/>
      <c r="M1038" s="131"/>
      <c r="N1038" s="131"/>
      <c r="O1038" s="131"/>
      <c r="P1038" s="152"/>
    </row>
    <row r="1039" spans="1:16" s="28" customFormat="1" x14ac:dyDescent="0.25">
      <c r="A1039" s="53"/>
      <c r="B1039" s="58"/>
      <c r="C1039" s="58"/>
      <c r="D1039" s="35"/>
      <c r="E1039" s="131"/>
      <c r="F1039" s="131"/>
      <c r="G1039" s="131"/>
      <c r="H1039" s="131"/>
      <c r="I1039" s="131"/>
      <c r="J1039" s="131"/>
      <c r="K1039" s="131"/>
      <c r="L1039" s="131"/>
      <c r="M1039" s="131"/>
      <c r="N1039" s="131"/>
      <c r="O1039" s="131"/>
      <c r="P1039" s="152"/>
    </row>
    <row r="1040" spans="1:16" s="28" customFormat="1" x14ac:dyDescent="0.25">
      <c r="A1040" s="53"/>
      <c r="B1040" s="58"/>
      <c r="C1040" s="58"/>
      <c r="D1040" s="35"/>
      <c r="E1040" s="131"/>
      <c r="F1040" s="131"/>
      <c r="G1040" s="131"/>
      <c r="H1040" s="131"/>
      <c r="I1040" s="131"/>
      <c r="J1040" s="131"/>
      <c r="K1040" s="131"/>
      <c r="L1040" s="131"/>
      <c r="M1040" s="131"/>
      <c r="N1040" s="131"/>
      <c r="O1040" s="131"/>
      <c r="P1040" s="152"/>
    </row>
    <row r="1041" spans="1:16" s="28" customFormat="1" x14ac:dyDescent="0.25">
      <c r="A1041" s="53"/>
      <c r="B1041" s="58"/>
      <c r="C1041" s="58"/>
      <c r="D1041" s="35"/>
      <c r="E1041" s="131"/>
      <c r="F1041" s="131"/>
      <c r="G1041" s="131"/>
      <c r="H1041" s="131"/>
      <c r="I1041" s="131"/>
      <c r="J1041" s="131"/>
      <c r="K1041" s="131"/>
      <c r="L1041" s="131"/>
      <c r="M1041" s="131"/>
      <c r="N1041" s="131"/>
      <c r="O1041" s="131"/>
      <c r="P1041" s="152"/>
    </row>
    <row r="1042" spans="1:16" s="28" customFormat="1" x14ac:dyDescent="0.25">
      <c r="A1042" s="53"/>
      <c r="B1042" s="58"/>
      <c r="C1042" s="58"/>
      <c r="D1042" s="35"/>
      <c r="E1042" s="131"/>
      <c r="F1042" s="131"/>
      <c r="G1042" s="131"/>
      <c r="H1042" s="131"/>
      <c r="I1042" s="131"/>
      <c r="J1042" s="131"/>
      <c r="K1042" s="131"/>
      <c r="L1042" s="131"/>
      <c r="M1042" s="131"/>
      <c r="N1042" s="131"/>
      <c r="O1042" s="131"/>
      <c r="P1042" s="152"/>
    </row>
    <row r="1043" spans="1:16" s="28" customFormat="1" x14ac:dyDescent="0.25">
      <c r="A1043" s="53"/>
      <c r="B1043" s="58"/>
      <c r="C1043" s="58"/>
      <c r="D1043" s="35"/>
      <c r="E1043" s="131"/>
      <c r="F1043" s="131"/>
      <c r="G1043" s="131"/>
      <c r="H1043" s="131"/>
      <c r="I1043" s="131"/>
      <c r="J1043" s="131"/>
      <c r="K1043" s="131"/>
      <c r="L1043" s="131"/>
      <c r="M1043" s="131"/>
      <c r="N1043" s="131"/>
      <c r="O1043" s="131"/>
      <c r="P1043" s="152"/>
    </row>
    <row r="1044" spans="1:16" s="28" customFormat="1" x14ac:dyDescent="0.25">
      <c r="A1044" s="53"/>
      <c r="B1044" s="58"/>
      <c r="C1044" s="58"/>
      <c r="D1044" s="35"/>
      <c r="E1044" s="131"/>
      <c r="F1044" s="131"/>
      <c r="G1044" s="131"/>
      <c r="H1044" s="131"/>
      <c r="I1044" s="131"/>
      <c r="J1044" s="131"/>
      <c r="K1044" s="131"/>
      <c r="L1044" s="131"/>
      <c r="M1044" s="131"/>
      <c r="N1044" s="131"/>
      <c r="O1044" s="131"/>
      <c r="P1044" s="152"/>
    </row>
    <row r="1045" spans="1:16" s="28" customFormat="1" x14ac:dyDescent="0.25">
      <c r="A1045" s="53"/>
      <c r="B1045" s="58"/>
      <c r="C1045" s="58"/>
      <c r="D1045" s="35"/>
      <c r="E1045" s="131"/>
      <c r="F1045" s="131"/>
      <c r="G1045" s="131"/>
      <c r="H1045" s="131"/>
      <c r="I1045" s="131"/>
      <c r="J1045" s="131"/>
      <c r="K1045" s="131"/>
      <c r="L1045" s="131"/>
      <c r="M1045" s="131"/>
      <c r="N1045" s="131"/>
      <c r="O1045" s="131"/>
      <c r="P1045" s="152"/>
    </row>
    <row r="1046" spans="1:16" s="28" customFormat="1" x14ac:dyDescent="0.25">
      <c r="A1046" s="53"/>
      <c r="B1046" s="58"/>
      <c r="C1046" s="58"/>
      <c r="D1046" s="35"/>
      <c r="E1046" s="131"/>
      <c r="F1046" s="131"/>
      <c r="G1046" s="131"/>
      <c r="H1046" s="131"/>
      <c r="I1046" s="131"/>
      <c r="J1046" s="131"/>
      <c r="K1046" s="131"/>
      <c r="L1046" s="131"/>
      <c r="M1046" s="131"/>
      <c r="N1046" s="131"/>
      <c r="O1046" s="131"/>
      <c r="P1046" s="152"/>
    </row>
    <row r="1047" spans="1:16" s="28" customFormat="1" x14ac:dyDescent="0.25">
      <c r="A1047" s="53"/>
      <c r="B1047" s="58"/>
      <c r="C1047" s="58"/>
      <c r="D1047" s="35"/>
      <c r="E1047" s="131"/>
      <c r="F1047" s="131"/>
      <c r="G1047" s="131"/>
      <c r="H1047" s="131"/>
      <c r="I1047" s="131"/>
      <c r="J1047" s="131"/>
      <c r="K1047" s="131"/>
      <c r="L1047" s="131"/>
      <c r="M1047" s="131"/>
      <c r="N1047" s="131"/>
      <c r="O1047" s="131"/>
      <c r="P1047" s="152"/>
    </row>
    <row r="1048" spans="1:16" s="28" customFormat="1" x14ac:dyDescent="0.25">
      <c r="A1048" s="53"/>
      <c r="B1048" s="58"/>
      <c r="C1048" s="58"/>
      <c r="D1048" s="35"/>
      <c r="E1048" s="131"/>
      <c r="F1048" s="131"/>
      <c r="G1048" s="131"/>
      <c r="H1048" s="131"/>
      <c r="I1048" s="131"/>
      <c r="J1048" s="131"/>
      <c r="K1048" s="131"/>
      <c r="L1048" s="131"/>
      <c r="M1048" s="131"/>
      <c r="N1048" s="131"/>
      <c r="O1048" s="131"/>
      <c r="P1048" s="152"/>
    </row>
    <row r="1049" spans="1:16" s="28" customFormat="1" x14ac:dyDescent="0.25">
      <c r="A1049" s="53"/>
      <c r="B1049" s="58"/>
      <c r="C1049" s="58"/>
      <c r="D1049" s="35"/>
      <c r="E1049" s="131"/>
      <c r="F1049" s="131"/>
      <c r="G1049" s="131"/>
      <c r="H1049" s="131"/>
      <c r="I1049" s="131"/>
      <c r="J1049" s="131"/>
      <c r="K1049" s="131"/>
      <c r="L1049" s="131"/>
      <c r="M1049" s="131"/>
      <c r="N1049" s="131"/>
      <c r="O1049" s="131"/>
      <c r="P1049" s="152"/>
    </row>
    <row r="1050" spans="1:16" s="28" customFormat="1" x14ac:dyDescent="0.25">
      <c r="A1050" s="53"/>
      <c r="B1050" s="58"/>
      <c r="C1050" s="58"/>
      <c r="D1050" s="35"/>
      <c r="E1050" s="131"/>
      <c r="F1050" s="131"/>
      <c r="G1050" s="131"/>
      <c r="H1050" s="131"/>
      <c r="I1050" s="131"/>
      <c r="J1050" s="131"/>
      <c r="K1050" s="131"/>
      <c r="L1050" s="131"/>
      <c r="M1050" s="131"/>
      <c r="N1050" s="131"/>
      <c r="O1050" s="131"/>
      <c r="P1050" s="152"/>
    </row>
    <row r="1051" spans="1:16" s="28" customFormat="1" x14ac:dyDescent="0.25">
      <c r="A1051" s="53"/>
      <c r="B1051" s="58"/>
      <c r="C1051" s="58"/>
      <c r="D1051" s="35"/>
      <c r="E1051" s="131"/>
      <c r="F1051" s="131"/>
      <c r="G1051" s="131"/>
      <c r="H1051" s="131"/>
      <c r="I1051" s="131"/>
      <c r="J1051" s="131"/>
      <c r="K1051" s="131"/>
      <c r="L1051" s="131"/>
      <c r="M1051" s="131"/>
      <c r="N1051" s="131"/>
      <c r="O1051" s="131"/>
      <c r="P1051" s="152"/>
    </row>
    <row r="1052" spans="1:16" s="28" customFormat="1" x14ac:dyDescent="0.25">
      <c r="A1052" s="53"/>
      <c r="B1052" s="58"/>
      <c r="C1052" s="58"/>
      <c r="D1052" s="35"/>
      <c r="E1052" s="131"/>
      <c r="F1052" s="131"/>
      <c r="G1052" s="131"/>
      <c r="H1052" s="131"/>
      <c r="I1052" s="131"/>
      <c r="J1052" s="131"/>
      <c r="K1052" s="131"/>
      <c r="L1052" s="131"/>
      <c r="M1052" s="131"/>
      <c r="N1052" s="131"/>
      <c r="O1052" s="131"/>
      <c r="P1052" s="152"/>
    </row>
    <row r="1053" spans="1:16" s="28" customFormat="1" x14ac:dyDescent="0.25">
      <c r="A1053" s="53"/>
      <c r="B1053" s="58"/>
      <c r="C1053" s="58"/>
      <c r="D1053" s="35"/>
      <c r="E1053" s="131"/>
      <c r="F1053" s="131"/>
      <c r="G1053" s="131"/>
      <c r="H1053" s="131"/>
      <c r="I1053" s="131"/>
      <c r="J1053" s="131"/>
      <c r="K1053" s="131"/>
      <c r="L1053" s="131"/>
      <c r="M1053" s="131"/>
      <c r="N1053" s="131"/>
      <c r="O1053" s="131"/>
      <c r="P1053" s="152"/>
    </row>
    <row r="1054" spans="1:16" s="28" customFormat="1" x14ac:dyDescent="0.25">
      <c r="A1054" s="53"/>
      <c r="B1054" s="58"/>
      <c r="C1054" s="58"/>
      <c r="D1054" s="35"/>
      <c r="E1054" s="131"/>
      <c r="F1054" s="131"/>
      <c r="G1054" s="131"/>
      <c r="H1054" s="131"/>
      <c r="I1054" s="131"/>
      <c r="J1054" s="131"/>
      <c r="K1054" s="131"/>
      <c r="L1054" s="131"/>
      <c r="M1054" s="131"/>
      <c r="N1054" s="131"/>
      <c r="O1054" s="131"/>
      <c r="P1054" s="152"/>
    </row>
    <row r="1055" spans="1:16" s="28" customFormat="1" x14ac:dyDescent="0.25">
      <c r="A1055" s="53"/>
      <c r="B1055" s="58"/>
      <c r="C1055" s="58"/>
      <c r="D1055" s="35"/>
      <c r="E1055" s="131"/>
      <c r="F1055" s="131"/>
      <c r="G1055" s="131"/>
      <c r="H1055" s="131"/>
      <c r="I1055" s="131"/>
      <c r="J1055" s="131"/>
      <c r="K1055" s="131"/>
      <c r="L1055" s="131"/>
      <c r="M1055" s="131"/>
      <c r="N1055" s="131"/>
      <c r="O1055" s="131"/>
      <c r="P1055" s="152"/>
    </row>
    <row r="1056" spans="1:16" s="28" customFormat="1" x14ac:dyDescent="0.25">
      <c r="A1056" s="53"/>
      <c r="B1056" s="58"/>
      <c r="C1056" s="58"/>
      <c r="D1056" s="35"/>
      <c r="E1056" s="131"/>
      <c r="F1056" s="131"/>
      <c r="G1056" s="131"/>
      <c r="H1056" s="131"/>
      <c r="I1056" s="131"/>
      <c r="J1056" s="131"/>
      <c r="K1056" s="131"/>
      <c r="L1056" s="131"/>
      <c r="M1056" s="131"/>
      <c r="N1056" s="131"/>
      <c r="O1056" s="131"/>
      <c r="P1056" s="152"/>
    </row>
    <row r="1057" spans="1:16" s="28" customFormat="1" x14ac:dyDescent="0.25">
      <c r="A1057" s="53"/>
      <c r="B1057" s="58"/>
      <c r="C1057" s="58"/>
      <c r="D1057" s="35"/>
      <c r="E1057" s="131"/>
      <c r="F1057" s="131"/>
      <c r="G1057" s="131"/>
      <c r="H1057" s="131"/>
      <c r="I1057" s="131"/>
      <c r="J1057" s="131"/>
      <c r="K1057" s="131"/>
      <c r="L1057" s="131"/>
      <c r="M1057" s="131"/>
      <c r="N1057" s="131"/>
      <c r="O1057" s="131"/>
      <c r="P1057" s="152"/>
    </row>
    <row r="1058" spans="1:16" s="28" customFormat="1" x14ac:dyDescent="0.25">
      <c r="A1058" s="53"/>
      <c r="B1058" s="58"/>
      <c r="C1058" s="58"/>
      <c r="D1058" s="35"/>
      <c r="E1058" s="131"/>
      <c r="F1058" s="131"/>
      <c r="G1058" s="131"/>
      <c r="H1058" s="131"/>
      <c r="I1058" s="131"/>
      <c r="J1058" s="131"/>
      <c r="K1058" s="131"/>
      <c r="L1058" s="131"/>
      <c r="M1058" s="131"/>
      <c r="N1058" s="131"/>
      <c r="O1058" s="131"/>
      <c r="P1058" s="152"/>
    </row>
    <row r="1059" spans="1:16" s="28" customFormat="1" x14ac:dyDescent="0.25">
      <c r="A1059" s="53"/>
      <c r="B1059" s="58"/>
      <c r="C1059" s="58"/>
      <c r="D1059" s="35"/>
      <c r="E1059" s="131"/>
      <c r="F1059" s="131"/>
      <c r="G1059" s="131"/>
      <c r="H1059" s="131"/>
      <c r="I1059" s="131"/>
      <c r="J1059" s="131"/>
      <c r="K1059" s="131"/>
      <c r="L1059" s="131"/>
      <c r="M1059" s="131"/>
      <c r="N1059" s="131"/>
      <c r="O1059" s="131"/>
      <c r="P1059" s="152"/>
    </row>
    <row r="1060" spans="1:16" s="28" customFormat="1" x14ac:dyDescent="0.25">
      <c r="A1060" s="53"/>
      <c r="B1060" s="58"/>
      <c r="C1060" s="58"/>
      <c r="D1060" s="35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52"/>
    </row>
    <row r="1061" spans="1:16" s="28" customFormat="1" x14ac:dyDescent="0.25">
      <c r="A1061" s="53"/>
      <c r="B1061" s="58"/>
      <c r="C1061" s="58"/>
      <c r="D1061" s="35"/>
      <c r="E1061" s="131"/>
      <c r="F1061" s="131"/>
      <c r="G1061" s="131"/>
      <c r="H1061" s="131"/>
      <c r="I1061" s="131"/>
      <c r="J1061" s="131"/>
      <c r="K1061" s="131"/>
      <c r="L1061" s="131"/>
      <c r="M1061" s="131"/>
      <c r="N1061" s="131"/>
      <c r="O1061" s="131"/>
      <c r="P1061" s="152"/>
    </row>
    <row r="1062" spans="1:16" s="28" customFormat="1" x14ac:dyDescent="0.25">
      <c r="A1062" s="53"/>
      <c r="B1062" s="58"/>
      <c r="C1062" s="58"/>
      <c r="D1062" s="35"/>
      <c r="E1062" s="131"/>
      <c r="F1062" s="131"/>
      <c r="G1062" s="131"/>
      <c r="H1062" s="131"/>
      <c r="I1062" s="131"/>
      <c r="J1062" s="131"/>
      <c r="K1062" s="131"/>
      <c r="L1062" s="131"/>
      <c r="M1062" s="131"/>
      <c r="N1062" s="131"/>
      <c r="O1062" s="131"/>
      <c r="P1062" s="152"/>
    </row>
    <row r="1063" spans="1:16" s="28" customFormat="1" x14ac:dyDescent="0.25">
      <c r="A1063" s="53"/>
      <c r="B1063" s="58"/>
      <c r="C1063" s="58"/>
      <c r="D1063" s="35"/>
      <c r="E1063" s="131"/>
      <c r="F1063" s="131"/>
      <c r="G1063" s="131"/>
      <c r="H1063" s="131"/>
      <c r="I1063" s="131"/>
      <c r="J1063" s="131"/>
      <c r="K1063" s="131"/>
      <c r="L1063" s="131"/>
      <c r="M1063" s="131"/>
      <c r="N1063" s="131"/>
      <c r="O1063" s="131"/>
      <c r="P1063" s="152"/>
    </row>
    <row r="1064" spans="1:16" s="28" customFormat="1" x14ac:dyDescent="0.25">
      <c r="A1064" s="53"/>
      <c r="B1064" s="58"/>
      <c r="C1064" s="58"/>
      <c r="D1064" s="35"/>
      <c r="E1064" s="131"/>
      <c r="F1064" s="131"/>
      <c r="G1064" s="131"/>
      <c r="H1064" s="131"/>
      <c r="I1064" s="131"/>
      <c r="J1064" s="131"/>
      <c r="K1064" s="131"/>
      <c r="L1064" s="131"/>
      <c r="M1064" s="131"/>
      <c r="N1064" s="131"/>
      <c r="O1064" s="131"/>
      <c r="P1064" s="152"/>
    </row>
    <row r="1065" spans="1:16" s="28" customFormat="1" x14ac:dyDescent="0.25">
      <c r="A1065" s="53"/>
      <c r="B1065" s="58"/>
      <c r="C1065" s="58"/>
      <c r="D1065" s="35"/>
      <c r="E1065" s="131"/>
      <c r="F1065" s="131"/>
      <c r="G1065" s="131"/>
      <c r="H1065" s="131"/>
      <c r="I1065" s="131"/>
      <c r="J1065" s="131"/>
      <c r="K1065" s="131"/>
      <c r="L1065" s="131"/>
      <c r="M1065" s="131"/>
      <c r="N1065" s="131"/>
      <c r="O1065" s="131"/>
      <c r="P1065" s="152"/>
    </row>
    <row r="1066" spans="1:16" s="28" customFormat="1" x14ac:dyDescent="0.25">
      <c r="A1066" s="53"/>
      <c r="B1066" s="58"/>
      <c r="C1066" s="58"/>
      <c r="D1066" s="35"/>
      <c r="E1066" s="131"/>
      <c r="F1066" s="131"/>
      <c r="G1066" s="131"/>
      <c r="H1066" s="131"/>
      <c r="I1066" s="131"/>
      <c r="J1066" s="131"/>
      <c r="K1066" s="131"/>
      <c r="L1066" s="131"/>
      <c r="M1066" s="131"/>
      <c r="N1066" s="131"/>
      <c r="O1066" s="131"/>
      <c r="P1066" s="152"/>
    </row>
    <row r="1067" spans="1:16" s="28" customFormat="1" x14ac:dyDescent="0.25">
      <c r="A1067" s="53"/>
      <c r="B1067" s="58"/>
      <c r="C1067" s="58"/>
      <c r="D1067" s="35"/>
      <c r="E1067" s="131"/>
      <c r="F1067" s="131"/>
      <c r="G1067" s="131"/>
      <c r="H1067" s="131"/>
      <c r="I1067" s="131"/>
      <c r="J1067" s="131"/>
      <c r="K1067" s="131"/>
      <c r="L1067" s="131"/>
      <c r="M1067" s="131"/>
      <c r="N1067" s="131"/>
      <c r="O1067" s="131"/>
      <c r="P1067" s="152"/>
    </row>
    <row r="1068" spans="1:16" s="28" customFormat="1" x14ac:dyDescent="0.25">
      <c r="A1068" s="53"/>
      <c r="B1068" s="58"/>
      <c r="C1068" s="58"/>
      <c r="D1068" s="35"/>
      <c r="E1068" s="131"/>
      <c r="F1068" s="131"/>
      <c r="G1068" s="131"/>
      <c r="H1068" s="131"/>
      <c r="I1068" s="131"/>
      <c r="J1068" s="131"/>
      <c r="K1068" s="131"/>
      <c r="L1068" s="131"/>
      <c r="M1068" s="131"/>
      <c r="N1068" s="131"/>
      <c r="O1068" s="131"/>
      <c r="P1068" s="152"/>
    </row>
    <row r="1069" spans="1:16" s="28" customFormat="1" x14ac:dyDescent="0.25">
      <c r="A1069" s="53"/>
      <c r="B1069" s="58"/>
      <c r="C1069" s="58"/>
      <c r="D1069" s="35"/>
      <c r="E1069" s="131"/>
      <c r="F1069" s="131"/>
      <c r="G1069" s="131"/>
      <c r="H1069" s="131"/>
      <c r="I1069" s="131"/>
      <c r="J1069" s="131"/>
      <c r="K1069" s="131"/>
      <c r="L1069" s="131"/>
      <c r="M1069" s="131"/>
      <c r="N1069" s="131"/>
      <c r="O1069" s="131"/>
      <c r="P1069" s="152"/>
    </row>
    <row r="1070" spans="1:16" s="28" customFormat="1" x14ac:dyDescent="0.25">
      <c r="A1070" s="53"/>
      <c r="B1070" s="58"/>
      <c r="C1070" s="58"/>
      <c r="D1070" s="35"/>
      <c r="E1070" s="131"/>
      <c r="F1070" s="131"/>
      <c r="G1070" s="131"/>
      <c r="H1070" s="131"/>
      <c r="I1070" s="131"/>
      <c r="J1070" s="131"/>
      <c r="K1070" s="131"/>
      <c r="L1070" s="131"/>
      <c r="M1070" s="131"/>
      <c r="N1070" s="131"/>
      <c r="O1070" s="131"/>
      <c r="P1070" s="152"/>
    </row>
    <row r="1071" spans="1:16" s="28" customFormat="1" x14ac:dyDescent="0.25">
      <c r="A1071" s="53"/>
      <c r="B1071" s="58"/>
      <c r="C1071" s="58"/>
      <c r="D1071" s="35"/>
      <c r="E1071" s="131"/>
      <c r="F1071" s="131"/>
      <c r="G1071" s="131"/>
      <c r="H1071" s="131"/>
      <c r="I1071" s="131"/>
      <c r="J1071" s="131"/>
      <c r="K1071" s="131"/>
      <c r="L1071" s="131"/>
      <c r="M1071" s="131"/>
      <c r="N1071" s="131"/>
      <c r="O1071" s="131"/>
      <c r="P1071" s="152"/>
    </row>
    <row r="1072" spans="1:16" s="28" customFormat="1" x14ac:dyDescent="0.25">
      <c r="A1072" s="53"/>
      <c r="B1072" s="58"/>
      <c r="C1072" s="58"/>
      <c r="D1072" s="35"/>
      <c r="E1072" s="131"/>
      <c r="F1072" s="131"/>
      <c r="G1072" s="131"/>
      <c r="H1072" s="131"/>
      <c r="I1072" s="131"/>
      <c r="J1072" s="131"/>
      <c r="K1072" s="131"/>
      <c r="L1072" s="131"/>
      <c r="M1072" s="131"/>
      <c r="N1072" s="131"/>
      <c r="O1072" s="131"/>
      <c r="P1072" s="152"/>
    </row>
    <row r="1073" spans="1:16" s="28" customFormat="1" x14ac:dyDescent="0.25">
      <c r="A1073" s="53"/>
      <c r="B1073" s="58"/>
      <c r="C1073" s="58"/>
      <c r="D1073" s="35"/>
      <c r="E1073" s="131"/>
      <c r="F1073" s="131"/>
      <c r="G1073" s="131"/>
      <c r="H1073" s="131"/>
      <c r="I1073" s="131"/>
      <c r="J1073" s="131"/>
      <c r="K1073" s="131"/>
      <c r="L1073" s="131"/>
      <c r="M1073" s="131"/>
      <c r="N1073" s="131"/>
      <c r="O1073" s="131"/>
      <c r="P1073" s="152"/>
    </row>
    <row r="1074" spans="1:16" s="28" customFormat="1" x14ac:dyDescent="0.25">
      <c r="A1074" s="53"/>
      <c r="B1074" s="58"/>
      <c r="C1074" s="58"/>
      <c r="D1074" s="35"/>
      <c r="E1074" s="131"/>
      <c r="F1074" s="131"/>
      <c r="G1074" s="131"/>
      <c r="H1074" s="131"/>
      <c r="I1074" s="131"/>
      <c r="J1074" s="131"/>
      <c r="K1074" s="131"/>
      <c r="L1074" s="131"/>
      <c r="M1074" s="131"/>
      <c r="N1074" s="131"/>
      <c r="O1074" s="131"/>
      <c r="P1074" s="152"/>
    </row>
    <row r="1075" spans="1:16" s="28" customFormat="1" x14ac:dyDescent="0.25">
      <c r="A1075" s="53"/>
      <c r="B1075" s="58"/>
      <c r="C1075" s="58"/>
      <c r="D1075" s="35"/>
      <c r="E1075" s="131"/>
      <c r="F1075" s="131"/>
      <c r="G1075" s="131"/>
      <c r="H1075" s="131"/>
      <c r="I1075" s="131"/>
      <c r="J1075" s="131"/>
      <c r="K1075" s="131"/>
      <c r="L1075" s="131"/>
      <c r="M1075" s="131"/>
      <c r="N1075" s="131"/>
      <c r="O1075" s="131"/>
      <c r="P1075" s="152"/>
    </row>
    <row r="1076" spans="1:16" s="28" customFormat="1" x14ac:dyDescent="0.25">
      <c r="A1076" s="53"/>
      <c r="B1076" s="58"/>
      <c r="C1076" s="58"/>
      <c r="D1076" s="35"/>
      <c r="E1076" s="131"/>
      <c r="F1076" s="131"/>
      <c r="G1076" s="131"/>
      <c r="H1076" s="131"/>
      <c r="I1076" s="131"/>
      <c r="J1076" s="131"/>
      <c r="K1076" s="131"/>
      <c r="L1076" s="131"/>
      <c r="M1076" s="131"/>
      <c r="N1076" s="131"/>
      <c r="O1076" s="131"/>
      <c r="P1076" s="152"/>
    </row>
    <row r="1077" spans="1:16" s="28" customFormat="1" x14ac:dyDescent="0.25">
      <c r="A1077" s="53"/>
      <c r="B1077" s="58"/>
      <c r="C1077" s="58"/>
      <c r="D1077" s="35"/>
      <c r="E1077" s="131"/>
      <c r="F1077" s="131"/>
      <c r="G1077" s="131"/>
      <c r="H1077" s="131"/>
      <c r="I1077" s="131"/>
      <c r="J1077" s="131"/>
      <c r="K1077" s="131"/>
      <c r="L1077" s="131"/>
      <c r="M1077" s="131"/>
      <c r="N1077" s="131"/>
      <c r="O1077" s="131"/>
      <c r="P1077" s="152"/>
    </row>
    <row r="1078" spans="1:16" s="28" customFormat="1" x14ac:dyDescent="0.25">
      <c r="A1078" s="53"/>
      <c r="B1078" s="58"/>
      <c r="C1078" s="58"/>
      <c r="D1078" s="35"/>
      <c r="E1078" s="131"/>
      <c r="F1078" s="131"/>
      <c r="G1078" s="131"/>
      <c r="H1078" s="131"/>
      <c r="I1078" s="131"/>
      <c r="J1078" s="131"/>
      <c r="K1078" s="131"/>
      <c r="L1078" s="131"/>
      <c r="M1078" s="131"/>
      <c r="N1078" s="131"/>
      <c r="O1078" s="131"/>
      <c r="P1078" s="152"/>
    </row>
    <row r="1079" spans="1:16" s="28" customFormat="1" x14ac:dyDescent="0.25">
      <c r="A1079" s="53"/>
      <c r="B1079" s="58"/>
      <c r="C1079" s="58"/>
      <c r="D1079" s="35"/>
      <c r="E1079" s="131"/>
      <c r="F1079" s="131"/>
      <c r="G1079" s="131"/>
      <c r="H1079" s="131"/>
      <c r="I1079" s="131"/>
      <c r="J1079" s="131"/>
      <c r="K1079" s="131"/>
      <c r="L1079" s="131"/>
      <c r="M1079" s="131"/>
      <c r="N1079" s="131"/>
      <c r="O1079" s="131"/>
      <c r="P1079" s="152"/>
    </row>
    <row r="1080" spans="1:16" s="28" customFormat="1" x14ac:dyDescent="0.25">
      <c r="A1080" s="53"/>
      <c r="B1080" s="58"/>
      <c r="C1080" s="58"/>
      <c r="D1080" s="35"/>
      <c r="E1080" s="131"/>
      <c r="F1080" s="131"/>
      <c r="G1080" s="131"/>
      <c r="H1080" s="131"/>
      <c r="I1080" s="131"/>
      <c r="J1080" s="131"/>
      <c r="K1080" s="131"/>
      <c r="L1080" s="131"/>
      <c r="M1080" s="131"/>
      <c r="N1080" s="131"/>
      <c r="O1080" s="131"/>
      <c r="P1080" s="152"/>
    </row>
    <row r="1081" spans="1:16" s="28" customFormat="1" x14ac:dyDescent="0.25">
      <c r="A1081" s="53"/>
      <c r="B1081" s="58"/>
      <c r="C1081" s="58"/>
      <c r="D1081" s="35"/>
      <c r="E1081" s="131"/>
      <c r="F1081" s="131"/>
      <c r="G1081" s="131"/>
      <c r="H1081" s="131"/>
      <c r="I1081" s="131"/>
      <c r="J1081" s="131"/>
      <c r="K1081" s="131"/>
      <c r="L1081" s="131"/>
      <c r="M1081" s="131"/>
      <c r="N1081" s="131"/>
      <c r="O1081" s="131"/>
      <c r="P1081" s="152"/>
    </row>
    <row r="1082" spans="1:16" s="28" customFormat="1" x14ac:dyDescent="0.25">
      <c r="A1082" s="53"/>
      <c r="B1082" s="58"/>
      <c r="C1082" s="58"/>
      <c r="D1082" s="35"/>
      <c r="E1082" s="131"/>
      <c r="F1082" s="131"/>
      <c r="G1082" s="131"/>
      <c r="H1082" s="131"/>
      <c r="I1082" s="131"/>
      <c r="J1082" s="131"/>
      <c r="K1082" s="131"/>
      <c r="L1082" s="131"/>
      <c r="M1082" s="131"/>
      <c r="N1082" s="131"/>
      <c r="O1082" s="131"/>
      <c r="P1082" s="152"/>
    </row>
    <row r="1083" spans="1:16" s="28" customFormat="1" x14ac:dyDescent="0.25">
      <c r="A1083" s="53"/>
      <c r="B1083" s="58"/>
      <c r="C1083" s="58"/>
      <c r="D1083" s="35"/>
      <c r="E1083" s="131"/>
      <c r="F1083" s="131"/>
      <c r="G1083" s="131"/>
      <c r="H1083" s="131"/>
      <c r="I1083" s="131"/>
      <c r="J1083" s="131"/>
      <c r="K1083" s="131"/>
      <c r="L1083" s="131"/>
      <c r="M1083" s="131"/>
      <c r="N1083" s="131"/>
      <c r="O1083" s="131"/>
      <c r="P1083" s="152"/>
    </row>
    <row r="1084" spans="1:16" s="28" customFormat="1" x14ac:dyDescent="0.25">
      <c r="A1084" s="53"/>
      <c r="B1084" s="58"/>
      <c r="C1084" s="58"/>
      <c r="D1084" s="35"/>
      <c r="E1084" s="131"/>
      <c r="F1084" s="131"/>
      <c r="G1084" s="131"/>
      <c r="H1084" s="131"/>
      <c r="I1084" s="131"/>
      <c r="J1084" s="131"/>
      <c r="K1084" s="131"/>
      <c r="L1084" s="131"/>
      <c r="M1084" s="131"/>
      <c r="N1084" s="131"/>
      <c r="O1084" s="131"/>
      <c r="P1084" s="152"/>
    </row>
    <row r="1085" spans="1:16" s="28" customFormat="1" x14ac:dyDescent="0.25">
      <c r="A1085" s="53"/>
      <c r="B1085" s="58"/>
      <c r="C1085" s="58"/>
      <c r="D1085" s="35"/>
      <c r="E1085" s="131"/>
      <c r="F1085" s="131"/>
      <c r="G1085" s="131"/>
      <c r="H1085" s="131"/>
      <c r="I1085" s="131"/>
      <c r="J1085" s="131"/>
      <c r="K1085" s="131"/>
      <c r="L1085" s="131"/>
      <c r="M1085" s="131"/>
      <c r="N1085" s="131"/>
      <c r="O1085" s="131"/>
      <c r="P1085" s="152"/>
    </row>
    <row r="1086" spans="1:16" s="28" customFormat="1" x14ac:dyDescent="0.25">
      <c r="A1086" s="53"/>
      <c r="B1086" s="58"/>
      <c r="C1086" s="58"/>
      <c r="D1086" s="35"/>
      <c r="E1086" s="131"/>
      <c r="F1086" s="131"/>
      <c r="G1086" s="131"/>
      <c r="H1086" s="131"/>
      <c r="I1086" s="131"/>
      <c r="J1086" s="131"/>
      <c r="K1086" s="131"/>
      <c r="L1086" s="131"/>
      <c r="M1086" s="131"/>
      <c r="N1086" s="131"/>
      <c r="O1086" s="131"/>
      <c r="P1086" s="152"/>
    </row>
    <row r="1087" spans="1:16" s="28" customFormat="1" x14ac:dyDescent="0.25">
      <c r="A1087" s="53"/>
      <c r="B1087" s="58"/>
      <c r="C1087" s="58"/>
      <c r="D1087" s="35"/>
      <c r="E1087" s="131"/>
      <c r="F1087" s="131"/>
      <c r="G1087" s="131"/>
      <c r="H1087" s="131"/>
      <c r="I1087" s="131"/>
      <c r="J1087" s="131"/>
      <c r="K1087" s="131"/>
      <c r="L1087" s="131"/>
      <c r="M1087" s="131"/>
      <c r="N1087" s="131"/>
      <c r="O1087" s="131"/>
      <c r="P1087" s="152"/>
    </row>
    <row r="1088" spans="1:16" s="28" customFormat="1" x14ac:dyDescent="0.25">
      <c r="A1088" s="53"/>
      <c r="B1088" s="58"/>
      <c r="C1088" s="58"/>
      <c r="D1088" s="35"/>
      <c r="E1088" s="131"/>
      <c r="F1088" s="131"/>
      <c r="G1088" s="131"/>
      <c r="H1088" s="131"/>
      <c r="I1088" s="131"/>
      <c r="J1088" s="131"/>
      <c r="K1088" s="131"/>
      <c r="L1088" s="131"/>
      <c r="M1088" s="131"/>
      <c r="N1088" s="131"/>
      <c r="O1088" s="131"/>
      <c r="P1088" s="152"/>
    </row>
    <row r="1089" spans="1:16" s="28" customFormat="1" x14ac:dyDescent="0.25">
      <c r="A1089" s="53"/>
      <c r="B1089" s="58"/>
      <c r="C1089" s="58"/>
      <c r="D1089" s="35"/>
      <c r="E1089" s="131"/>
      <c r="F1089" s="131"/>
      <c r="G1089" s="131"/>
      <c r="H1089" s="131"/>
      <c r="I1089" s="131"/>
      <c r="J1089" s="131"/>
      <c r="K1089" s="131"/>
      <c r="L1089" s="131"/>
      <c r="M1089" s="131"/>
      <c r="N1089" s="131"/>
      <c r="O1089" s="131"/>
      <c r="P1089" s="152"/>
    </row>
    <row r="1090" spans="1:16" s="28" customFormat="1" x14ac:dyDescent="0.25">
      <c r="A1090" s="53"/>
      <c r="B1090" s="58"/>
      <c r="C1090" s="58"/>
      <c r="D1090" s="35"/>
      <c r="E1090" s="131"/>
      <c r="F1090" s="131"/>
      <c r="G1090" s="131"/>
      <c r="H1090" s="131"/>
      <c r="I1090" s="131"/>
      <c r="J1090" s="131"/>
      <c r="K1090" s="131"/>
      <c r="L1090" s="131"/>
      <c r="M1090" s="131"/>
      <c r="N1090" s="131"/>
      <c r="O1090" s="131"/>
      <c r="P1090" s="152"/>
    </row>
    <row r="1091" spans="1:16" s="28" customFormat="1" x14ac:dyDescent="0.25">
      <c r="A1091" s="53"/>
      <c r="B1091" s="58"/>
      <c r="C1091" s="58"/>
      <c r="D1091" s="35"/>
      <c r="E1091" s="131"/>
      <c r="F1091" s="131"/>
      <c r="G1091" s="131"/>
      <c r="H1091" s="131"/>
      <c r="I1091" s="131"/>
      <c r="J1091" s="131"/>
      <c r="K1091" s="131"/>
      <c r="L1091" s="131"/>
      <c r="M1091" s="131"/>
      <c r="N1091" s="131"/>
      <c r="O1091" s="131"/>
      <c r="P1091" s="152"/>
    </row>
    <row r="1092" spans="1:16" s="28" customFormat="1" x14ac:dyDescent="0.25">
      <c r="A1092" s="53"/>
      <c r="B1092" s="58"/>
      <c r="C1092" s="58"/>
      <c r="D1092" s="35"/>
      <c r="E1092" s="131"/>
      <c r="F1092" s="131"/>
      <c r="G1092" s="131"/>
      <c r="H1092" s="131"/>
      <c r="I1092" s="131"/>
      <c r="J1092" s="131"/>
      <c r="K1092" s="131"/>
      <c r="L1092" s="131"/>
      <c r="M1092" s="131"/>
      <c r="N1092" s="131"/>
      <c r="O1092" s="131"/>
      <c r="P1092" s="152"/>
    </row>
    <row r="1093" spans="1:16" s="28" customFormat="1" x14ac:dyDescent="0.25">
      <c r="A1093" s="53"/>
      <c r="B1093" s="58"/>
      <c r="C1093" s="58"/>
      <c r="D1093" s="35"/>
      <c r="E1093" s="131"/>
      <c r="F1093" s="131"/>
      <c r="G1093" s="131"/>
      <c r="H1093" s="131"/>
      <c r="I1093" s="131"/>
      <c r="J1093" s="131"/>
      <c r="K1093" s="131"/>
      <c r="L1093" s="131"/>
      <c r="M1093" s="131"/>
      <c r="N1093" s="131"/>
      <c r="O1093" s="131"/>
      <c r="P1093" s="152"/>
    </row>
    <row r="1094" spans="1:16" s="28" customFormat="1" x14ac:dyDescent="0.25">
      <c r="A1094" s="53"/>
      <c r="B1094" s="58"/>
      <c r="C1094" s="58"/>
      <c r="D1094" s="35"/>
      <c r="E1094" s="131"/>
      <c r="F1094" s="131"/>
      <c r="G1094" s="131"/>
      <c r="H1094" s="131"/>
      <c r="I1094" s="131"/>
      <c r="J1094" s="131"/>
      <c r="K1094" s="131"/>
      <c r="L1094" s="131"/>
      <c r="M1094" s="131"/>
      <c r="N1094" s="131"/>
      <c r="O1094" s="131"/>
      <c r="P1094" s="152"/>
    </row>
    <row r="1095" spans="1:16" s="28" customFormat="1" x14ac:dyDescent="0.25">
      <c r="A1095" s="53"/>
      <c r="B1095" s="58"/>
      <c r="C1095" s="58"/>
      <c r="D1095" s="35"/>
      <c r="E1095" s="131"/>
      <c r="F1095" s="131"/>
      <c r="G1095" s="131"/>
      <c r="H1095" s="131"/>
      <c r="I1095" s="131"/>
      <c r="J1095" s="131"/>
      <c r="K1095" s="131"/>
      <c r="L1095" s="131"/>
      <c r="M1095" s="131"/>
      <c r="N1095" s="131"/>
      <c r="O1095" s="131"/>
      <c r="P1095" s="152"/>
    </row>
    <row r="1096" spans="1:16" s="28" customFormat="1" x14ac:dyDescent="0.25">
      <c r="A1096" s="53"/>
      <c r="B1096" s="58"/>
      <c r="C1096" s="58"/>
      <c r="D1096" s="35"/>
      <c r="E1096" s="131"/>
      <c r="F1096" s="131"/>
      <c r="G1096" s="131"/>
      <c r="H1096" s="131"/>
      <c r="I1096" s="131"/>
      <c r="J1096" s="131"/>
      <c r="K1096" s="131"/>
      <c r="L1096" s="131"/>
      <c r="M1096" s="131"/>
      <c r="N1096" s="131"/>
      <c r="O1096" s="131"/>
      <c r="P1096" s="152"/>
    </row>
    <row r="1097" spans="1:16" s="28" customFormat="1" x14ac:dyDescent="0.25">
      <c r="A1097" s="53"/>
      <c r="B1097" s="58"/>
      <c r="C1097" s="58"/>
      <c r="D1097" s="35"/>
      <c r="E1097" s="131"/>
      <c r="F1097" s="131"/>
      <c r="G1097" s="131"/>
      <c r="H1097" s="131"/>
      <c r="I1097" s="131"/>
      <c r="J1097" s="131"/>
      <c r="K1097" s="131"/>
      <c r="L1097" s="131"/>
      <c r="M1097" s="131"/>
      <c r="N1097" s="131"/>
      <c r="O1097" s="131"/>
      <c r="P1097" s="152"/>
    </row>
    <row r="1098" spans="1:16" s="28" customFormat="1" x14ac:dyDescent="0.25">
      <c r="A1098" s="53"/>
      <c r="B1098" s="58"/>
      <c r="C1098" s="58"/>
      <c r="D1098" s="35"/>
      <c r="E1098" s="131"/>
      <c r="F1098" s="131"/>
      <c r="G1098" s="131"/>
      <c r="H1098" s="131"/>
      <c r="I1098" s="131"/>
      <c r="J1098" s="131"/>
      <c r="K1098" s="131"/>
      <c r="L1098" s="131"/>
      <c r="M1098" s="131"/>
      <c r="N1098" s="131"/>
      <c r="O1098" s="131"/>
      <c r="P1098" s="152"/>
    </row>
    <row r="1099" spans="1:16" s="28" customFormat="1" x14ac:dyDescent="0.25">
      <c r="A1099" s="53"/>
      <c r="B1099" s="58"/>
      <c r="C1099" s="58"/>
      <c r="D1099" s="35"/>
      <c r="E1099" s="131"/>
      <c r="F1099" s="131"/>
      <c r="G1099" s="131"/>
      <c r="H1099" s="131"/>
      <c r="I1099" s="131"/>
      <c r="J1099" s="131"/>
      <c r="K1099" s="131"/>
      <c r="L1099" s="131"/>
      <c r="M1099" s="131"/>
      <c r="N1099" s="131"/>
      <c r="O1099" s="131"/>
      <c r="P1099" s="152"/>
    </row>
    <row r="1100" spans="1:16" s="28" customFormat="1" x14ac:dyDescent="0.25">
      <c r="A1100" s="53"/>
      <c r="B1100" s="58"/>
      <c r="C1100" s="58"/>
      <c r="D1100" s="35"/>
      <c r="E1100" s="131"/>
      <c r="F1100" s="131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52"/>
    </row>
    <row r="1101" spans="1:16" s="28" customFormat="1" x14ac:dyDescent="0.25">
      <c r="A1101" s="53"/>
      <c r="B1101" s="58"/>
      <c r="C1101" s="58"/>
      <c r="D1101" s="35"/>
      <c r="E1101" s="131"/>
      <c r="F1101" s="131"/>
      <c r="G1101" s="131"/>
      <c r="H1101" s="131"/>
      <c r="I1101" s="131"/>
      <c r="J1101" s="131"/>
      <c r="K1101" s="131"/>
      <c r="L1101" s="131"/>
      <c r="M1101" s="131"/>
      <c r="N1101" s="131"/>
      <c r="O1101" s="131"/>
      <c r="P1101" s="152"/>
    </row>
    <row r="1102" spans="1:16" s="28" customFormat="1" x14ac:dyDescent="0.25">
      <c r="A1102" s="53"/>
      <c r="B1102" s="58"/>
      <c r="C1102" s="58"/>
      <c r="D1102" s="35"/>
      <c r="E1102" s="131"/>
      <c r="F1102" s="131"/>
      <c r="G1102" s="131"/>
      <c r="H1102" s="131"/>
      <c r="I1102" s="131"/>
      <c r="J1102" s="131"/>
      <c r="K1102" s="131"/>
      <c r="L1102" s="131"/>
      <c r="M1102" s="131"/>
      <c r="N1102" s="131"/>
      <c r="O1102" s="131"/>
      <c r="P1102" s="152"/>
    </row>
    <row r="1103" spans="1:16" s="28" customFormat="1" x14ac:dyDescent="0.25">
      <c r="A1103" s="53"/>
      <c r="B1103" s="58"/>
      <c r="C1103" s="58"/>
      <c r="D1103" s="35"/>
      <c r="E1103" s="131"/>
      <c r="F1103" s="131"/>
      <c r="G1103" s="131"/>
      <c r="H1103" s="131"/>
      <c r="I1103" s="131"/>
      <c r="J1103" s="131"/>
      <c r="K1103" s="131"/>
      <c r="L1103" s="131"/>
      <c r="M1103" s="131"/>
      <c r="N1103" s="131"/>
      <c r="O1103" s="131"/>
      <c r="P1103" s="152"/>
    </row>
    <row r="1104" spans="1:16" s="28" customFormat="1" x14ac:dyDescent="0.25">
      <c r="A1104" s="53"/>
      <c r="B1104" s="58"/>
      <c r="C1104" s="58"/>
      <c r="D1104" s="35"/>
      <c r="E1104" s="131"/>
      <c r="F1104" s="131"/>
      <c r="G1104" s="131"/>
      <c r="H1104" s="131"/>
      <c r="I1104" s="131"/>
      <c r="J1104" s="131"/>
      <c r="K1104" s="131"/>
      <c r="L1104" s="131"/>
      <c r="M1104" s="131"/>
      <c r="N1104" s="131"/>
      <c r="O1104" s="131"/>
      <c r="P1104" s="152"/>
    </row>
    <row r="1105" spans="1:16" s="28" customFormat="1" x14ac:dyDescent="0.25">
      <c r="A1105" s="53"/>
      <c r="B1105" s="58"/>
      <c r="C1105" s="58"/>
      <c r="D1105" s="35"/>
      <c r="E1105" s="131"/>
      <c r="F1105" s="131"/>
      <c r="G1105" s="131"/>
      <c r="H1105" s="131"/>
      <c r="I1105" s="131"/>
      <c r="J1105" s="131"/>
      <c r="K1105" s="131"/>
      <c r="L1105" s="131"/>
      <c r="M1105" s="131"/>
      <c r="N1105" s="131"/>
      <c r="O1105" s="131"/>
      <c r="P1105" s="152"/>
    </row>
    <row r="1106" spans="1:16" s="28" customFormat="1" x14ac:dyDescent="0.25">
      <c r="A1106" s="53"/>
      <c r="B1106" s="58"/>
      <c r="C1106" s="58"/>
      <c r="D1106" s="35"/>
      <c r="E1106" s="131"/>
      <c r="F1106" s="131"/>
      <c r="G1106" s="131"/>
      <c r="H1106" s="131"/>
      <c r="I1106" s="131"/>
      <c r="J1106" s="131"/>
      <c r="K1106" s="131"/>
      <c r="L1106" s="131"/>
      <c r="M1106" s="131"/>
      <c r="N1106" s="131"/>
      <c r="O1106" s="131"/>
      <c r="P1106" s="152"/>
    </row>
    <row r="1107" spans="1:16" s="28" customFormat="1" x14ac:dyDescent="0.25">
      <c r="A1107" s="53"/>
      <c r="B1107" s="58"/>
      <c r="C1107" s="58"/>
      <c r="D1107" s="35"/>
      <c r="E1107" s="131"/>
      <c r="F1107" s="131"/>
      <c r="G1107" s="131"/>
      <c r="H1107" s="131"/>
      <c r="I1107" s="131"/>
      <c r="J1107" s="131"/>
      <c r="K1107" s="131"/>
      <c r="L1107" s="131"/>
      <c r="M1107" s="131"/>
      <c r="N1107" s="131"/>
      <c r="O1107" s="131"/>
      <c r="P1107" s="152"/>
    </row>
    <row r="1108" spans="1:16" s="28" customFormat="1" x14ac:dyDescent="0.25">
      <c r="A1108" s="53"/>
      <c r="B1108" s="58"/>
      <c r="C1108" s="58"/>
      <c r="D1108" s="35"/>
      <c r="E1108" s="131"/>
      <c r="F1108" s="131"/>
      <c r="G1108" s="131"/>
      <c r="H1108" s="131"/>
      <c r="I1108" s="131"/>
      <c r="J1108" s="131"/>
      <c r="K1108" s="131"/>
      <c r="L1108" s="131"/>
      <c r="M1108" s="131"/>
      <c r="N1108" s="131"/>
      <c r="O1108" s="131"/>
      <c r="P1108" s="152"/>
    </row>
    <row r="1109" spans="1:16" s="28" customFormat="1" x14ac:dyDescent="0.25">
      <c r="A1109" s="53"/>
      <c r="B1109" s="58"/>
      <c r="C1109" s="58"/>
      <c r="D1109" s="35"/>
      <c r="E1109" s="131"/>
      <c r="F1109" s="131"/>
      <c r="G1109" s="131"/>
      <c r="H1109" s="131"/>
      <c r="I1109" s="131"/>
      <c r="J1109" s="131"/>
      <c r="K1109" s="131"/>
      <c r="L1109" s="131"/>
      <c r="M1109" s="131"/>
      <c r="N1109" s="131"/>
      <c r="O1109" s="131"/>
      <c r="P1109" s="152"/>
    </row>
    <row r="1110" spans="1:16" s="28" customFormat="1" x14ac:dyDescent="0.25">
      <c r="A1110" s="53"/>
      <c r="B1110" s="58"/>
      <c r="C1110" s="58"/>
      <c r="D1110" s="35"/>
      <c r="E1110" s="131"/>
      <c r="F1110" s="131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52"/>
    </row>
    <row r="1111" spans="1:16" s="28" customFormat="1" x14ac:dyDescent="0.25">
      <c r="A1111" s="53"/>
      <c r="B1111" s="58"/>
      <c r="C1111" s="58"/>
      <c r="D1111" s="35"/>
      <c r="E1111" s="131"/>
      <c r="F1111" s="131"/>
      <c r="G1111" s="131"/>
      <c r="H1111" s="131"/>
      <c r="I1111" s="131"/>
      <c r="J1111" s="131"/>
      <c r="K1111" s="131"/>
      <c r="L1111" s="131"/>
      <c r="M1111" s="131"/>
      <c r="N1111" s="131"/>
      <c r="O1111" s="131"/>
      <c r="P1111" s="152"/>
    </row>
    <row r="1112" spans="1:16" s="28" customFormat="1" x14ac:dyDescent="0.25">
      <c r="A1112" s="53"/>
      <c r="B1112" s="58"/>
      <c r="C1112" s="58"/>
      <c r="D1112" s="35"/>
      <c r="E1112" s="131"/>
      <c r="F1112" s="131"/>
      <c r="G1112" s="131"/>
      <c r="H1112" s="131"/>
      <c r="I1112" s="131"/>
      <c r="J1112" s="131"/>
      <c r="K1112" s="131"/>
      <c r="L1112" s="131"/>
      <c r="M1112" s="131"/>
      <c r="N1112" s="131"/>
      <c r="O1112" s="131"/>
      <c r="P1112" s="152"/>
    </row>
    <row r="1113" spans="1:16" s="28" customFormat="1" x14ac:dyDescent="0.25">
      <c r="A1113" s="53"/>
      <c r="B1113" s="58"/>
      <c r="C1113" s="58"/>
      <c r="D1113" s="35"/>
      <c r="E1113" s="131"/>
      <c r="F1113" s="131"/>
      <c r="G1113" s="131"/>
      <c r="H1113" s="131"/>
      <c r="I1113" s="131"/>
      <c r="J1113" s="131"/>
      <c r="K1113" s="131"/>
      <c r="L1113" s="131"/>
      <c r="M1113" s="131"/>
      <c r="N1113" s="131"/>
      <c r="O1113" s="131"/>
      <c r="P1113" s="152"/>
    </row>
    <row r="1114" spans="1:16" s="28" customFormat="1" x14ac:dyDescent="0.25">
      <c r="A1114" s="53"/>
      <c r="B1114" s="58"/>
      <c r="C1114" s="58"/>
      <c r="D1114" s="35"/>
      <c r="E1114" s="131"/>
      <c r="F1114" s="131"/>
      <c r="G1114" s="131"/>
      <c r="H1114" s="131"/>
      <c r="I1114" s="131"/>
      <c r="J1114" s="131"/>
      <c r="K1114" s="131"/>
      <c r="L1114" s="131"/>
      <c r="M1114" s="131"/>
      <c r="N1114" s="131"/>
      <c r="O1114" s="131"/>
      <c r="P1114" s="152"/>
    </row>
    <row r="1115" spans="1:16" s="28" customFormat="1" x14ac:dyDescent="0.25">
      <c r="A1115" s="53"/>
      <c r="B1115" s="58"/>
      <c r="C1115" s="58"/>
      <c r="D1115" s="35"/>
      <c r="E1115" s="131"/>
      <c r="F1115" s="131"/>
      <c r="G1115" s="131"/>
      <c r="H1115" s="131"/>
      <c r="I1115" s="131"/>
      <c r="J1115" s="131"/>
      <c r="K1115" s="131"/>
      <c r="L1115" s="131"/>
      <c r="M1115" s="131"/>
      <c r="N1115" s="131"/>
      <c r="O1115" s="131"/>
      <c r="P1115" s="152"/>
    </row>
    <row r="1116" spans="1:16" s="28" customFormat="1" x14ac:dyDescent="0.25">
      <c r="A1116" s="53"/>
      <c r="B1116" s="58"/>
      <c r="C1116" s="58"/>
      <c r="D1116" s="35"/>
      <c r="E1116" s="131"/>
      <c r="F1116" s="131"/>
      <c r="G1116" s="131"/>
      <c r="H1116" s="131"/>
      <c r="I1116" s="131"/>
      <c r="J1116" s="131"/>
      <c r="K1116" s="131"/>
      <c r="L1116" s="131"/>
      <c r="M1116" s="131"/>
      <c r="N1116" s="131"/>
      <c r="O1116" s="131"/>
      <c r="P1116" s="152"/>
    </row>
    <row r="1117" spans="1:16" s="28" customFormat="1" x14ac:dyDescent="0.25">
      <c r="A1117" s="53"/>
      <c r="B1117" s="58"/>
      <c r="C1117" s="58"/>
      <c r="D1117" s="35"/>
      <c r="E1117" s="131"/>
      <c r="F1117" s="131"/>
      <c r="G1117" s="131"/>
      <c r="H1117" s="131"/>
      <c r="I1117" s="131"/>
      <c r="J1117" s="131"/>
      <c r="K1117" s="131"/>
      <c r="L1117" s="131"/>
      <c r="M1117" s="131"/>
      <c r="N1117" s="131"/>
      <c r="O1117" s="131"/>
      <c r="P1117" s="152"/>
    </row>
    <row r="1118" spans="1:16" s="28" customFormat="1" x14ac:dyDescent="0.25">
      <c r="A1118" s="53"/>
      <c r="B1118" s="58"/>
      <c r="C1118" s="58"/>
      <c r="D1118" s="35"/>
      <c r="E1118" s="131"/>
      <c r="F1118" s="131"/>
      <c r="G1118" s="131"/>
      <c r="H1118" s="131"/>
      <c r="I1118" s="131"/>
      <c r="J1118" s="131"/>
      <c r="K1118" s="131"/>
      <c r="L1118" s="131"/>
      <c r="M1118" s="131"/>
      <c r="N1118" s="131"/>
      <c r="O1118" s="131"/>
      <c r="P1118" s="152"/>
    </row>
    <row r="1119" spans="1:16" s="28" customFormat="1" x14ac:dyDescent="0.25">
      <c r="A1119" s="53"/>
      <c r="B1119" s="58"/>
      <c r="C1119" s="58"/>
      <c r="D1119" s="35"/>
      <c r="E1119" s="131"/>
      <c r="F1119" s="131"/>
      <c r="G1119" s="131"/>
      <c r="H1119" s="131"/>
      <c r="I1119" s="131"/>
      <c r="J1119" s="131"/>
      <c r="K1119" s="131"/>
      <c r="L1119" s="131"/>
      <c r="M1119" s="131"/>
      <c r="N1119" s="131"/>
      <c r="O1119" s="131"/>
      <c r="P1119" s="152"/>
    </row>
    <row r="1120" spans="1:16" s="28" customFormat="1" x14ac:dyDescent="0.25">
      <c r="A1120" s="53"/>
      <c r="B1120" s="58"/>
      <c r="C1120" s="58"/>
      <c r="D1120" s="35"/>
      <c r="E1120" s="131"/>
      <c r="F1120" s="131"/>
      <c r="G1120" s="131"/>
      <c r="H1120" s="131"/>
      <c r="I1120" s="131"/>
      <c r="J1120" s="131"/>
      <c r="K1120" s="131"/>
      <c r="L1120" s="131"/>
      <c r="M1120" s="131"/>
      <c r="N1120" s="131"/>
      <c r="O1120" s="131"/>
      <c r="P1120" s="152"/>
    </row>
    <row r="1121" spans="1:16" s="28" customFormat="1" x14ac:dyDescent="0.25">
      <c r="A1121" s="53"/>
      <c r="B1121" s="58"/>
      <c r="C1121" s="58"/>
      <c r="D1121" s="35"/>
      <c r="E1121" s="131"/>
      <c r="F1121" s="131"/>
      <c r="G1121" s="131"/>
      <c r="H1121" s="131"/>
      <c r="I1121" s="131"/>
      <c r="J1121" s="131"/>
      <c r="K1121" s="131"/>
      <c r="L1121" s="131"/>
      <c r="M1121" s="131"/>
      <c r="N1121" s="131"/>
      <c r="O1121" s="131"/>
      <c r="P1121" s="152"/>
    </row>
    <row r="1122" spans="1:16" s="28" customFormat="1" x14ac:dyDescent="0.25">
      <c r="A1122" s="53"/>
      <c r="B1122" s="58"/>
      <c r="C1122" s="58"/>
      <c r="D1122" s="35"/>
      <c r="E1122" s="131"/>
      <c r="F1122" s="131"/>
      <c r="G1122" s="131"/>
      <c r="H1122" s="131"/>
      <c r="I1122" s="131"/>
      <c r="J1122" s="131"/>
      <c r="K1122" s="131"/>
      <c r="L1122" s="131"/>
      <c r="M1122" s="131"/>
      <c r="N1122" s="131"/>
      <c r="O1122" s="131"/>
      <c r="P1122" s="152"/>
    </row>
    <row r="1123" spans="1:16" s="28" customFormat="1" x14ac:dyDescent="0.25">
      <c r="A1123" s="53"/>
      <c r="B1123" s="58"/>
      <c r="C1123" s="58"/>
      <c r="D1123" s="35"/>
      <c r="E1123" s="131"/>
      <c r="F1123" s="131"/>
      <c r="G1123" s="131"/>
      <c r="H1123" s="131"/>
      <c r="I1123" s="131"/>
      <c r="J1123" s="131"/>
      <c r="K1123" s="131"/>
      <c r="L1123" s="131"/>
      <c r="M1123" s="131"/>
      <c r="N1123" s="131"/>
      <c r="O1123" s="131"/>
      <c r="P1123" s="152"/>
    </row>
    <row r="1124" spans="1:16" s="28" customFormat="1" x14ac:dyDescent="0.25">
      <c r="A1124" s="53"/>
      <c r="B1124" s="58"/>
      <c r="C1124" s="58"/>
      <c r="D1124" s="35"/>
      <c r="E1124" s="131"/>
      <c r="F1124" s="131"/>
      <c r="G1124" s="131"/>
      <c r="H1124" s="131"/>
      <c r="I1124" s="131"/>
      <c r="J1124" s="131"/>
      <c r="K1124" s="131"/>
      <c r="L1124" s="131"/>
      <c r="M1124" s="131"/>
      <c r="N1124" s="131"/>
      <c r="O1124" s="131"/>
      <c r="P1124" s="152"/>
    </row>
    <row r="1125" spans="1:16" s="28" customFormat="1" x14ac:dyDescent="0.25">
      <c r="A1125" s="53"/>
      <c r="B1125" s="58"/>
      <c r="C1125" s="58"/>
      <c r="D1125" s="35"/>
      <c r="E1125" s="131"/>
      <c r="F1125" s="131"/>
      <c r="G1125" s="131"/>
      <c r="H1125" s="131"/>
      <c r="I1125" s="131"/>
      <c r="J1125" s="131"/>
      <c r="K1125" s="131"/>
      <c r="L1125" s="131"/>
      <c r="M1125" s="131"/>
      <c r="N1125" s="131"/>
      <c r="O1125" s="131"/>
      <c r="P1125" s="152"/>
    </row>
    <row r="1126" spans="1:16" s="28" customFormat="1" x14ac:dyDescent="0.25">
      <c r="A1126" s="53"/>
      <c r="B1126" s="58"/>
      <c r="C1126" s="58"/>
      <c r="D1126" s="35"/>
      <c r="E1126" s="131"/>
      <c r="F1126" s="131"/>
      <c r="G1126" s="131"/>
      <c r="H1126" s="131"/>
      <c r="I1126" s="131"/>
      <c r="J1126" s="131"/>
      <c r="K1126" s="131"/>
      <c r="L1126" s="131"/>
      <c r="M1126" s="131"/>
      <c r="N1126" s="131"/>
      <c r="O1126" s="131"/>
      <c r="P1126" s="152"/>
    </row>
    <row r="1127" spans="1:16" s="28" customFormat="1" x14ac:dyDescent="0.25">
      <c r="A1127" s="53"/>
      <c r="B1127" s="58"/>
      <c r="C1127" s="58"/>
      <c r="D1127" s="35"/>
      <c r="E1127" s="131"/>
      <c r="F1127" s="131"/>
      <c r="G1127" s="131"/>
      <c r="H1127" s="131"/>
      <c r="I1127" s="131"/>
      <c r="J1127" s="131"/>
      <c r="K1127" s="131"/>
      <c r="L1127" s="131"/>
      <c r="M1127" s="131"/>
      <c r="N1127" s="131"/>
      <c r="O1127" s="131"/>
      <c r="P1127" s="152"/>
    </row>
    <row r="1128" spans="1:16" s="28" customFormat="1" x14ac:dyDescent="0.25">
      <c r="A1128" s="53"/>
      <c r="B1128" s="58"/>
      <c r="C1128" s="58"/>
      <c r="D1128" s="35"/>
      <c r="E1128" s="131"/>
      <c r="F1128" s="131"/>
      <c r="G1128" s="131"/>
      <c r="H1128" s="131"/>
      <c r="I1128" s="131"/>
      <c r="J1128" s="131"/>
      <c r="K1128" s="131"/>
      <c r="L1128" s="131"/>
      <c r="M1128" s="131"/>
      <c r="N1128" s="131"/>
      <c r="O1128" s="131"/>
      <c r="P1128" s="152"/>
    </row>
    <row r="1129" spans="1:16" s="28" customFormat="1" x14ac:dyDescent="0.25">
      <c r="A1129" s="53"/>
      <c r="B1129" s="58"/>
      <c r="C1129" s="58"/>
      <c r="D1129" s="35"/>
      <c r="E1129" s="131"/>
      <c r="F1129" s="131"/>
      <c r="G1129" s="131"/>
      <c r="H1129" s="131"/>
      <c r="I1129" s="131"/>
      <c r="J1129" s="131"/>
      <c r="K1129" s="131"/>
      <c r="L1129" s="131"/>
      <c r="M1129" s="131"/>
      <c r="N1129" s="131"/>
      <c r="O1129" s="131"/>
      <c r="P1129" s="152"/>
    </row>
    <row r="1130" spans="1:16" s="28" customFormat="1" x14ac:dyDescent="0.25">
      <c r="A1130" s="53"/>
      <c r="B1130" s="58"/>
      <c r="C1130" s="58"/>
      <c r="D1130" s="35"/>
      <c r="E1130" s="131"/>
      <c r="F1130" s="131"/>
      <c r="G1130" s="131"/>
      <c r="H1130" s="131"/>
      <c r="I1130" s="131"/>
      <c r="J1130" s="131"/>
      <c r="K1130" s="131"/>
      <c r="L1130" s="131"/>
      <c r="M1130" s="131"/>
      <c r="N1130" s="131"/>
      <c r="O1130" s="131"/>
      <c r="P1130" s="152"/>
    </row>
    <row r="1131" spans="1:16" s="28" customFormat="1" x14ac:dyDescent="0.25">
      <c r="A1131" s="53"/>
      <c r="B1131" s="58"/>
      <c r="C1131" s="58"/>
      <c r="D1131" s="35"/>
      <c r="E1131" s="131"/>
      <c r="F1131" s="131"/>
      <c r="G1131" s="131"/>
      <c r="H1131" s="131"/>
      <c r="I1131" s="131"/>
      <c r="J1131" s="131"/>
      <c r="K1131" s="131"/>
      <c r="L1131" s="131"/>
      <c r="M1131" s="131"/>
      <c r="N1131" s="131"/>
      <c r="O1131" s="131"/>
      <c r="P1131" s="152"/>
    </row>
    <row r="1132" spans="1:16" s="28" customFormat="1" x14ac:dyDescent="0.25">
      <c r="A1132" s="53"/>
      <c r="B1132" s="58"/>
      <c r="C1132" s="58"/>
      <c r="D1132" s="35"/>
      <c r="E1132" s="131"/>
      <c r="F1132" s="131"/>
      <c r="G1132" s="131"/>
      <c r="H1132" s="131"/>
      <c r="I1132" s="131"/>
      <c r="J1132" s="131"/>
      <c r="K1132" s="131"/>
      <c r="L1132" s="131"/>
      <c r="M1132" s="131"/>
      <c r="N1132" s="131"/>
      <c r="O1132" s="131"/>
      <c r="P1132" s="152"/>
    </row>
    <row r="1133" spans="1:16" s="28" customFormat="1" x14ac:dyDescent="0.25">
      <c r="A1133" s="53"/>
      <c r="B1133" s="58"/>
      <c r="C1133" s="58"/>
      <c r="D1133" s="35"/>
      <c r="E1133" s="131"/>
      <c r="F1133" s="131"/>
      <c r="G1133" s="131"/>
      <c r="H1133" s="131"/>
      <c r="I1133" s="131"/>
      <c r="J1133" s="131"/>
      <c r="K1133" s="131"/>
      <c r="L1133" s="131"/>
      <c r="M1133" s="131"/>
      <c r="N1133" s="131"/>
      <c r="O1133" s="131"/>
      <c r="P1133" s="152"/>
    </row>
    <row r="1134" spans="1:16" s="28" customFormat="1" x14ac:dyDescent="0.25">
      <c r="A1134" s="53"/>
      <c r="B1134" s="58"/>
      <c r="C1134" s="58"/>
      <c r="D1134" s="35"/>
      <c r="E1134" s="131"/>
      <c r="F1134" s="131"/>
      <c r="G1134" s="131"/>
      <c r="H1134" s="131"/>
      <c r="I1134" s="131"/>
      <c r="J1134" s="131"/>
      <c r="K1134" s="131"/>
      <c r="L1134" s="131"/>
      <c r="M1134" s="131"/>
      <c r="N1134" s="131"/>
      <c r="O1134" s="131"/>
      <c r="P1134" s="152"/>
    </row>
    <row r="1135" spans="1:16" s="28" customFormat="1" x14ac:dyDescent="0.25">
      <c r="A1135" s="53"/>
      <c r="B1135" s="58"/>
      <c r="C1135" s="58"/>
      <c r="D1135" s="35"/>
      <c r="E1135" s="131"/>
      <c r="F1135" s="131"/>
      <c r="G1135" s="131"/>
      <c r="H1135" s="131"/>
      <c r="I1135" s="131"/>
      <c r="J1135" s="131"/>
      <c r="K1135" s="131"/>
      <c r="L1135" s="131"/>
      <c r="M1135" s="131"/>
      <c r="N1135" s="131"/>
      <c r="O1135" s="131"/>
      <c r="P1135" s="152"/>
    </row>
    <row r="1136" spans="1:16" s="28" customFormat="1" x14ac:dyDescent="0.25">
      <c r="A1136" s="53"/>
      <c r="B1136" s="58"/>
      <c r="C1136" s="58"/>
      <c r="D1136" s="35"/>
      <c r="E1136" s="131"/>
      <c r="F1136" s="131"/>
      <c r="G1136" s="131"/>
      <c r="H1136" s="131"/>
      <c r="I1136" s="131"/>
      <c r="J1136" s="131"/>
      <c r="K1136" s="131"/>
      <c r="L1136" s="131"/>
      <c r="M1136" s="131"/>
      <c r="N1136" s="131"/>
      <c r="O1136" s="131"/>
      <c r="P1136" s="152"/>
    </row>
    <row r="1137" spans="1:16" s="28" customFormat="1" x14ac:dyDescent="0.25">
      <c r="A1137" s="53"/>
      <c r="B1137" s="58"/>
      <c r="C1137" s="58"/>
      <c r="D1137" s="35"/>
      <c r="E1137" s="131"/>
      <c r="F1137" s="131"/>
      <c r="G1137" s="131"/>
      <c r="H1137" s="131"/>
      <c r="I1137" s="131"/>
      <c r="J1137" s="131"/>
      <c r="K1137" s="131"/>
      <c r="L1137" s="131"/>
      <c r="M1137" s="131"/>
      <c r="N1137" s="131"/>
      <c r="O1137" s="131"/>
      <c r="P1137" s="152"/>
    </row>
    <row r="1138" spans="1:16" s="28" customFormat="1" x14ac:dyDescent="0.25">
      <c r="A1138" s="53"/>
      <c r="B1138" s="58"/>
      <c r="C1138" s="58"/>
      <c r="D1138" s="35"/>
      <c r="E1138" s="131"/>
      <c r="F1138" s="131"/>
      <c r="G1138" s="131"/>
      <c r="H1138" s="131"/>
      <c r="I1138" s="131"/>
      <c r="J1138" s="131"/>
      <c r="K1138" s="131"/>
      <c r="L1138" s="131"/>
      <c r="M1138" s="131"/>
      <c r="N1138" s="131"/>
      <c r="O1138" s="131"/>
      <c r="P1138" s="152"/>
    </row>
    <row r="1139" spans="1:16" s="28" customFormat="1" x14ac:dyDescent="0.25">
      <c r="A1139" s="53"/>
      <c r="B1139" s="58"/>
      <c r="C1139" s="58"/>
      <c r="D1139" s="35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52"/>
    </row>
    <row r="1140" spans="1:16" s="28" customFormat="1" x14ac:dyDescent="0.25">
      <c r="A1140" s="53"/>
      <c r="B1140" s="58"/>
      <c r="C1140" s="58"/>
      <c r="D1140" s="35"/>
      <c r="E1140" s="131"/>
      <c r="F1140" s="131"/>
      <c r="G1140" s="131"/>
      <c r="H1140" s="131"/>
      <c r="I1140" s="131"/>
      <c r="J1140" s="131"/>
      <c r="K1140" s="131"/>
      <c r="L1140" s="131"/>
      <c r="M1140" s="131"/>
      <c r="N1140" s="131"/>
      <c r="O1140" s="131"/>
      <c r="P1140" s="152"/>
    </row>
    <row r="1141" spans="1:16" s="28" customFormat="1" x14ac:dyDescent="0.25">
      <c r="A1141" s="53"/>
      <c r="B1141" s="58"/>
      <c r="C1141" s="58"/>
      <c r="D1141" s="35"/>
      <c r="E1141" s="131"/>
      <c r="F1141" s="131"/>
      <c r="G1141" s="131"/>
      <c r="H1141" s="131"/>
      <c r="I1141" s="131"/>
      <c r="J1141" s="131"/>
      <c r="K1141" s="131"/>
      <c r="L1141" s="131"/>
      <c r="M1141" s="131"/>
      <c r="N1141" s="131"/>
      <c r="O1141" s="131"/>
      <c r="P1141" s="152"/>
    </row>
    <row r="1142" spans="1:16" s="28" customFormat="1" x14ac:dyDescent="0.25">
      <c r="A1142" s="53"/>
      <c r="B1142" s="58"/>
      <c r="C1142" s="58"/>
      <c r="D1142" s="35"/>
      <c r="E1142" s="131"/>
      <c r="F1142" s="131"/>
      <c r="G1142" s="131"/>
      <c r="H1142" s="131"/>
      <c r="I1142" s="131"/>
      <c r="J1142" s="131"/>
      <c r="K1142" s="131"/>
      <c r="L1142" s="131"/>
      <c r="M1142" s="131"/>
      <c r="N1142" s="131"/>
      <c r="O1142" s="131"/>
      <c r="P1142" s="152"/>
    </row>
    <row r="1143" spans="1:16" s="28" customFormat="1" x14ac:dyDescent="0.25">
      <c r="A1143" s="53"/>
      <c r="B1143" s="58"/>
      <c r="C1143" s="58"/>
      <c r="D1143" s="35"/>
      <c r="E1143" s="131"/>
      <c r="F1143" s="131"/>
      <c r="G1143" s="131"/>
      <c r="H1143" s="131"/>
      <c r="I1143" s="131"/>
      <c r="J1143" s="131"/>
      <c r="K1143" s="131"/>
      <c r="L1143" s="131"/>
      <c r="M1143" s="131"/>
      <c r="N1143" s="131"/>
      <c r="O1143" s="131"/>
      <c r="P1143" s="152"/>
    </row>
    <row r="1144" spans="1:16" s="28" customFormat="1" x14ac:dyDescent="0.25">
      <c r="A1144" s="53"/>
      <c r="B1144" s="58"/>
      <c r="C1144" s="58"/>
      <c r="D1144" s="35"/>
      <c r="E1144" s="131"/>
      <c r="F1144" s="131"/>
      <c r="G1144" s="131"/>
      <c r="H1144" s="131"/>
      <c r="I1144" s="131"/>
      <c r="J1144" s="131"/>
      <c r="K1144" s="131"/>
      <c r="L1144" s="131"/>
      <c r="M1144" s="131"/>
      <c r="N1144" s="131"/>
      <c r="O1144" s="131"/>
      <c r="P1144" s="152"/>
    </row>
    <row r="1145" spans="1:16" s="28" customFormat="1" x14ac:dyDescent="0.25">
      <c r="A1145" s="53"/>
      <c r="B1145" s="58"/>
      <c r="C1145" s="58"/>
      <c r="D1145" s="35"/>
      <c r="E1145" s="131"/>
      <c r="F1145" s="131"/>
      <c r="G1145" s="131"/>
      <c r="H1145" s="131"/>
      <c r="I1145" s="131"/>
      <c r="J1145" s="131"/>
      <c r="K1145" s="131"/>
      <c r="L1145" s="131"/>
      <c r="M1145" s="131"/>
      <c r="N1145" s="131"/>
      <c r="O1145" s="131"/>
      <c r="P1145" s="152"/>
    </row>
    <row r="1146" spans="1:16" s="28" customFormat="1" x14ac:dyDescent="0.25">
      <c r="A1146" s="53"/>
      <c r="B1146" s="58"/>
      <c r="C1146" s="58"/>
      <c r="D1146" s="35"/>
      <c r="E1146" s="131"/>
      <c r="F1146" s="131"/>
      <c r="G1146" s="131"/>
      <c r="H1146" s="131"/>
      <c r="I1146" s="131"/>
      <c r="J1146" s="131"/>
      <c r="K1146" s="131"/>
      <c r="L1146" s="131"/>
      <c r="M1146" s="131"/>
      <c r="N1146" s="131"/>
      <c r="O1146" s="131"/>
      <c r="P1146" s="152"/>
    </row>
    <row r="1147" spans="1:16" s="28" customFormat="1" x14ac:dyDescent="0.25">
      <c r="A1147" s="53"/>
      <c r="B1147" s="58"/>
      <c r="C1147" s="58"/>
      <c r="D1147" s="35"/>
      <c r="E1147" s="131"/>
      <c r="F1147" s="131"/>
      <c r="G1147" s="131"/>
      <c r="H1147" s="131"/>
      <c r="I1147" s="131"/>
      <c r="J1147" s="131"/>
      <c r="K1147" s="131"/>
      <c r="L1147" s="131"/>
      <c r="M1147" s="131"/>
      <c r="N1147" s="131"/>
      <c r="O1147" s="131"/>
      <c r="P1147" s="152"/>
    </row>
    <row r="1148" spans="1:16" s="28" customFormat="1" x14ac:dyDescent="0.25">
      <c r="A1148" s="53"/>
      <c r="B1148" s="58"/>
      <c r="C1148" s="58"/>
      <c r="D1148" s="35"/>
      <c r="E1148" s="131"/>
      <c r="F1148" s="131"/>
      <c r="G1148" s="131"/>
      <c r="H1148" s="131"/>
      <c r="I1148" s="131"/>
      <c r="J1148" s="131"/>
      <c r="K1148" s="131"/>
      <c r="L1148" s="131"/>
      <c r="M1148" s="131"/>
      <c r="N1148" s="131"/>
      <c r="O1148" s="131"/>
      <c r="P1148" s="152"/>
    </row>
    <row r="1149" spans="1:16" s="28" customFormat="1" x14ac:dyDescent="0.25">
      <c r="A1149" s="53"/>
      <c r="B1149" s="58"/>
      <c r="C1149" s="58"/>
      <c r="D1149" s="35"/>
      <c r="E1149" s="131"/>
      <c r="F1149" s="131"/>
      <c r="G1149" s="131"/>
      <c r="H1149" s="131"/>
      <c r="I1149" s="131"/>
      <c r="J1149" s="131"/>
      <c r="K1149" s="131"/>
      <c r="L1149" s="131"/>
      <c r="M1149" s="131"/>
      <c r="N1149" s="131"/>
      <c r="O1149" s="131"/>
      <c r="P1149" s="152"/>
    </row>
    <row r="1150" spans="1:16" s="28" customFormat="1" x14ac:dyDescent="0.25">
      <c r="A1150" s="53"/>
      <c r="B1150" s="58"/>
      <c r="C1150" s="58"/>
      <c r="D1150" s="35"/>
      <c r="E1150" s="131"/>
      <c r="F1150" s="131"/>
      <c r="G1150" s="131"/>
      <c r="H1150" s="131"/>
      <c r="I1150" s="131"/>
      <c r="J1150" s="131"/>
      <c r="K1150" s="131"/>
      <c r="L1150" s="131"/>
      <c r="M1150" s="131"/>
      <c r="N1150" s="131"/>
      <c r="O1150" s="131"/>
      <c r="P1150" s="152"/>
    </row>
    <row r="1151" spans="1:16" s="28" customFormat="1" x14ac:dyDescent="0.25">
      <c r="A1151" s="53"/>
      <c r="B1151" s="58"/>
      <c r="C1151" s="58"/>
      <c r="D1151" s="35"/>
      <c r="E1151" s="131"/>
      <c r="F1151" s="131"/>
      <c r="G1151" s="131"/>
      <c r="H1151" s="131"/>
      <c r="I1151" s="131"/>
      <c r="J1151" s="131"/>
      <c r="K1151" s="131"/>
      <c r="L1151" s="131"/>
      <c r="M1151" s="131"/>
      <c r="N1151" s="131"/>
      <c r="O1151" s="131"/>
      <c r="P1151" s="152"/>
    </row>
    <row r="1152" spans="1:16" s="28" customFormat="1" x14ac:dyDescent="0.25">
      <c r="A1152" s="53"/>
      <c r="B1152" s="58"/>
      <c r="C1152" s="58"/>
      <c r="D1152" s="35"/>
      <c r="E1152" s="131"/>
      <c r="F1152" s="131"/>
      <c r="G1152" s="131"/>
      <c r="H1152" s="131"/>
      <c r="I1152" s="131"/>
      <c r="J1152" s="131"/>
      <c r="K1152" s="131"/>
      <c r="L1152" s="131"/>
      <c r="M1152" s="131"/>
      <c r="N1152" s="131"/>
      <c r="O1152" s="131"/>
      <c r="P1152" s="152"/>
    </row>
    <row r="1153" spans="1:16" s="28" customFormat="1" x14ac:dyDescent="0.25">
      <c r="A1153" s="53"/>
      <c r="B1153" s="58"/>
      <c r="C1153" s="58"/>
      <c r="D1153" s="35"/>
      <c r="E1153" s="131"/>
      <c r="F1153" s="131"/>
      <c r="G1153" s="131"/>
      <c r="H1153" s="131"/>
      <c r="I1153" s="131"/>
      <c r="J1153" s="131"/>
      <c r="K1153" s="131"/>
      <c r="L1153" s="131"/>
      <c r="M1153" s="131"/>
      <c r="N1153" s="131"/>
      <c r="O1153" s="131"/>
      <c r="P1153" s="152"/>
    </row>
    <row r="1154" spans="1:16" s="28" customFormat="1" x14ac:dyDescent="0.25">
      <c r="A1154" s="53"/>
      <c r="B1154" s="58"/>
      <c r="C1154" s="58"/>
      <c r="D1154" s="35"/>
      <c r="E1154" s="131"/>
      <c r="F1154" s="131"/>
      <c r="G1154" s="131"/>
      <c r="H1154" s="131"/>
      <c r="I1154" s="131"/>
      <c r="J1154" s="131"/>
      <c r="K1154" s="131"/>
      <c r="L1154" s="131"/>
      <c r="M1154" s="131"/>
      <c r="N1154" s="131"/>
      <c r="O1154" s="131"/>
      <c r="P1154" s="152"/>
    </row>
    <row r="1155" spans="1:16" s="28" customFormat="1" x14ac:dyDescent="0.25">
      <c r="A1155" s="53"/>
      <c r="B1155" s="58"/>
      <c r="C1155" s="58"/>
      <c r="D1155" s="35"/>
      <c r="E1155" s="131"/>
      <c r="F1155" s="131"/>
      <c r="G1155" s="131"/>
      <c r="H1155" s="131"/>
      <c r="I1155" s="131"/>
      <c r="J1155" s="131"/>
      <c r="K1155" s="131"/>
      <c r="L1155" s="131"/>
      <c r="M1155" s="131"/>
      <c r="N1155" s="131"/>
      <c r="O1155" s="131"/>
      <c r="P1155" s="152"/>
    </row>
    <row r="1156" spans="1:16" s="28" customFormat="1" x14ac:dyDescent="0.25">
      <c r="A1156" s="53"/>
      <c r="B1156" s="58"/>
      <c r="C1156" s="58"/>
      <c r="D1156" s="35"/>
      <c r="E1156" s="131"/>
      <c r="F1156" s="131"/>
      <c r="G1156" s="131"/>
      <c r="H1156" s="131"/>
      <c r="I1156" s="131"/>
      <c r="J1156" s="131"/>
      <c r="K1156" s="131"/>
      <c r="L1156" s="131"/>
      <c r="M1156" s="131"/>
      <c r="N1156" s="131"/>
      <c r="O1156" s="131"/>
      <c r="P1156" s="152"/>
    </row>
    <row r="1157" spans="1:16" s="28" customFormat="1" x14ac:dyDescent="0.25">
      <c r="A1157" s="53"/>
      <c r="B1157" s="58"/>
      <c r="C1157" s="58"/>
      <c r="D1157" s="35"/>
      <c r="E1157" s="131"/>
      <c r="F1157" s="131"/>
      <c r="G1157" s="131"/>
      <c r="H1157" s="131"/>
      <c r="I1157" s="131"/>
      <c r="J1157" s="131"/>
      <c r="K1157" s="131"/>
      <c r="L1157" s="131"/>
      <c r="M1157" s="131"/>
      <c r="N1157" s="131"/>
      <c r="O1157" s="131"/>
      <c r="P1157" s="152"/>
    </row>
    <row r="1158" spans="1:16" s="28" customFormat="1" x14ac:dyDescent="0.25">
      <c r="A1158" s="53"/>
      <c r="B1158" s="58"/>
      <c r="C1158" s="58"/>
      <c r="D1158" s="35"/>
      <c r="E1158" s="131"/>
      <c r="F1158" s="131"/>
      <c r="G1158" s="131"/>
      <c r="H1158" s="131"/>
      <c r="I1158" s="131"/>
      <c r="J1158" s="131"/>
      <c r="K1158" s="131"/>
      <c r="L1158" s="131"/>
      <c r="M1158" s="131"/>
      <c r="N1158" s="131"/>
      <c r="O1158" s="131"/>
      <c r="P1158" s="152"/>
    </row>
    <row r="1159" spans="1:16" s="28" customFormat="1" x14ac:dyDescent="0.25">
      <c r="A1159" s="53"/>
      <c r="B1159" s="58"/>
      <c r="C1159" s="58"/>
      <c r="D1159" s="35"/>
      <c r="E1159" s="131"/>
      <c r="F1159" s="131"/>
      <c r="G1159" s="131"/>
      <c r="H1159" s="131"/>
      <c r="I1159" s="131"/>
      <c r="J1159" s="131"/>
      <c r="K1159" s="131"/>
      <c r="L1159" s="131"/>
      <c r="M1159" s="131"/>
      <c r="N1159" s="131"/>
      <c r="O1159" s="131"/>
      <c r="P1159" s="152"/>
    </row>
    <row r="1160" spans="1:16" s="28" customFormat="1" x14ac:dyDescent="0.25">
      <c r="A1160" s="53"/>
      <c r="B1160" s="58"/>
      <c r="C1160" s="58"/>
      <c r="D1160" s="35"/>
      <c r="E1160" s="131"/>
      <c r="F1160" s="131"/>
      <c r="G1160" s="131"/>
      <c r="H1160" s="131"/>
      <c r="I1160" s="131"/>
      <c r="J1160" s="131"/>
      <c r="K1160" s="131"/>
      <c r="L1160" s="131"/>
      <c r="M1160" s="131"/>
      <c r="N1160" s="131"/>
      <c r="O1160" s="131"/>
      <c r="P1160" s="152"/>
    </row>
    <row r="1161" spans="1:16" s="28" customFormat="1" x14ac:dyDescent="0.25">
      <c r="A1161" s="53"/>
      <c r="B1161" s="58"/>
      <c r="C1161" s="58"/>
      <c r="D1161" s="35"/>
      <c r="E1161" s="131"/>
      <c r="F1161" s="131"/>
      <c r="G1161" s="131"/>
      <c r="H1161" s="131"/>
      <c r="I1161" s="131"/>
      <c r="J1161" s="131"/>
      <c r="K1161" s="131"/>
      <c r="L1161" s="131"/>
      <c r="M1161" s="131"/>
      <c r="N1161" s="131"/>
      <c r="O1161" s="131"/>
      <c r="P1161" s="152"/>
    </row>
    <row r="1162" spans="1:16" s="28" customFormat="1" x14ac:dyDescent="0.25">
      <c r="A1162" s="53"/>
      <c r="B1162" s="58"/>
      <c r="C1162" s="58"/>
      <c r="D1162" s="35"/>
      <c r="E1162" s="131"/>
      <c r="F1162" s="131"/>
      <c r="G1162" s="131"/>
      <c r="H1162" s="131"/>
      <c r="I1162" s="131"/>
      <c r="J1162" s="131"/>
      <c r="K1162" s="131"/>
      <c r="L1162" s="131"/>
      <c r="M1162" s="131"/>
      <c r="N1162" s="131"/>
      <c r="O1162" s="131"/>
      <c r="P1162" s="152"/>
    </row>
    <row r="1163" spans="1:16" s="28" customFormat="1" x14ac:dyDescent="0.25">
      <c r="A1163" s="53"/>
      <c r="B1163" s="58"/>
      <c r="C1163" s="58"/>
      <c r="D1163" s="35"/>
      <c r="E1163" s="131"/>
      <c r="F1163" s="131"/>
      <c r="G1163" s="131"/>
      <c r="H1163" s="131"/>
      <c r="I1163" s="131"/>
      <c r="J1163" s="131"/>
      <c r="K1163" s="131"/>
      <c r="L1163" s="131"/>
      <c r="M1163" s="131"/>
      <c r="N1163" s="131"/>
      <c r="O1163" s="131"/>
      <c r="P1163" s="152"/>
    </row>
    <row r="1164" spans="1:16" s="28" customFormat="1" x14ac:dyDescent="0.25">
      <c r="A1164" s="53"/>
      <c r="B1164" s="58"/>
      <c r="C1164" s="58"/>
      <c r="D1164" s="35"/>
      <c r="E1164" s="131"/>
      <c r="F1164" s="131"/>
      <c r="G1164" s="131"/>
      <c r="H1164" s="131"/>
      <c r="I1164" s="131"/>
      <c r="J1164" s="131"/>
      <c r="K1164" s="131"/>
      <c r="L1164" s="131"/>
      <c r="M1164" s="131"/>
      <c r="N1164" s="131"/>
      <c r="O1164" s="131"/>
      <c r="P1164" s="152"/>
    </row>
    <row r="1165" spans="1:16" s="28" customFormat="1" x14ac:dyDescent="0.25">
      <c r="A1165" s="53"/>
      <c r="B1165" s="58"/>
      <c r="C1165" s="58"/>
      <c r="D1165" s="35"/>
      <c r="E1165" s="131"/>
      <c r="F1165" s="131"/>
      <c r="G1165" s="131"/>
      <c r="H1165" s="131"/>
      <c r="I1165" s="131"/>
      <c r="J1165" s="131"/>
      <c r="K1165" s="131"/>
      <c r="L1165" s="131"/>
      <c r="M1165" s="131"/>
      <c r="N1165" s="131"/>
      <c r="O1165" s="131"/>
      <c r="P1165" s="152"/>
    </row>
    <row r="1166" spans="1:16" s="28" customFormat="1" x14ac:dyDescent="0.25">
      <c r="A1166" s="53"/>
      <c r="B1166" s="58"/>
      <c r="C1166" s="58"/>
      <c r="D1166" s="35"/>
      <c r="E1166" s="131"/>
      <c r="F1166" s="131"/>
      <c r="G1166" s="131"/>
      <c r="H1166" s="131"/>
      <c r="I1166" s="131"/>
      <c r="J1166" s="131"/>
      <c r="K1166" s="131"/>
      <c r="L1166" s="131"/>
      <c r="M1166" s="131"/>
      <c r="N1166" s="131"/>
      <c r="O1166" s="131"/>
      <c r="P1166" s="152"/>
    </row>
    <row r="1167" spans="1:16" s="28" customFormat="1" x14ac:dyDescent="0.25">
      <c r="A1167" s="53"/>
      <c r="B1167" s="58"/>
      <c r="C1167" s="58"/>
      <c r="D1167" s="35"/>
      <c r="E1167" s="131"/>
      <c r="F1167" s="131"/>
      <c r="G1167" s="131"/>
      <c r="H1167" s="131"/>
      <c r="I1167" s="131"/>
      <c r="J1167" s="131"/>
      <c r="K1167" s="131"/>
      <c r="L1167" s="131"/>
      <c r="M1167" s="131"/>
      <c r="N1167" s="131"/>
      <c r="O1167" s="131"/>
      <c r="P1167" s="152"/>
    </row>
    <row r="1168" spans="1:16" s="28" customFormat="1" x14ac:dyDescent="0.25">
      <c r="A1168" s="53"/>
      <c r="B1168" s="58"/>
      <c r="C1168" s="58"/>
      <c r="D1168" s="35"/>
      <c r="E1168" s="131"/>
      <c r="F1168" s="131"/>
      <c r="G1168" s="131"/>
      <c r="H1168" s="131"/>
      <c r="I1168" s="131"/>
      <c r="J1168" s="131"/>
      <c r="K1168" s="131"/>
      <c r="L1168" s="131"/>
      <c r="M1168" s="131"/>
      <c r="N1168" s="131"/>
      <c r="O1168" s="131"/>
      <c r="P1168" s="152"/>
    </row>
    <row r="1169" spans="1:16" s="28" customFormat="1" x14ac:dyDescent="0.25">
      <c r="A1169" s="53"/>
      <c r="B1169" s="58"/>
      <c r="C1169" s="58"/>
      <c r="D1169" s="35"/>
      <c r="E1169" s="131"/>
      <c r="F1169" s="131"/>
      <c r="G1169" s="131"/>
      <c r="H1169" s="131"/>
      <c r="I1169" s="131"/>
      <c r="J1169" s="131"/>
      <c r="K1169" s="131"/>
      <c r="L1169" s="131"/>
      <c r="M1169" s="131"/>
      <c r="N1169" s="131"/>
      <c r="O1169" s="131"/>
      <c r="P1169" s="152"/>
    </row>
    <row r="1170" spans="1:16" s="28" customFormat="1" x14ac:dyDescent="0.25">
      <c r="A1170" s="53"/>
      <c r="B1170" s="58"/>
      <c r="C1170" s="58"/>
      <c r="D1170" s="35"/>
      <c r="E1170" s="131"/>
      <c r="F1170" s="131"/>
      <c r="G1170" s="131"/>
      <c r="H1170" s="131"/>
      <c r="I1170" s="131"/>
      <c r="J1170" s="131"/>
      <c r="K1170" s="131"/>
      <c r="L1170" s="131"/>
      <c r="M1170" s="131"/>
      <c r="N1170" s="131"/>
      <c r="O1170" s="131"/>
      <c r="P1170" s="152"/>
    </row>
    <row r="1171" spans="1:16" s="28" customFormat="1" x14ac:dyDescent="0.25">
      <c r="A1171" s="53"/>
      <c r="B1171" s="58"/>
      <c r="C1171" s="58"/>
      <c r="D1171" s="35"/>
      <c r="E1171" s="131"/>
      <c r="F1171" s="131"/>
      <c r="G1171" s="131"/>
      <c r="H1171" s="131"/>
      <c r="I1171" s="131"/>
      <c r="J1171" s="131"/>
      <c r="K1171" s="131"/>
      <c r="L1171" s="131"/>
      <c r="M1171" s="131"/>
      <c r="N1171" s="131"/>
      <c r="O1171" s="131"/>
      <c r="P1171" s="152"/>
    </row>
    <row r="1172" spans="1:16" s="28" customFormat="1" x14ac:dyDescent="0.25">
      <c r="A1172" s="53"/>
      <c r="B1172" s="58"/>
      <c r="C1172" s="58"/>
      <c r="D1172" s="35"/>
      <c r="E1172" s="131"/>
      <c r="F1172" s="131"/>
      <c r="G1172" s="131"/>
      <c r="H1172" s="131"/>
      <c r="I1172" s="131"/>
      <c r="J1172" s="131"/>
      <c r="K1172" s="131"/>
      <c r="L1172" s="131"/>
      <c r="M1172" s="131"/>
      <c r="N1172" s="131"/>
      <c r="O1172" s="131"/>
      <c r="P1172" s="152"/>
    </row>
    <row r="1173" spans="1:16" s="28" customFormat="1" x14ac:dyDescent="0.25">
      <c r="A1173" s="53"/>
      <c r="B1173" s="58"/>
      <c r="C1173" s="58"/>
      <c r="D1173" s="35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52"/>
    </row>
    <row r="1174" spans="1:16" s="28" customFormat="1" x14ac:dyDescent="0.25">
      <c r="A1174" s="53"/>
      <c r="B1174" s="58"/>
      <c r="C1174" s="58"/>
      <c r="D1174" s="35"/>
      <c r="E1174" s="131"/>
      <c r="F1174" s="131"/>
      <c r="G1174" s="131"/>
      <c r="H1174" s="131"/>
      <c r="I1174" s="131"/>
      <c r="J1174" s="131"/>
      <c r="K1174" s="131"/>
      <c r="L1174" s="131"/>
      <c r="M1174" s="131"/>
      <c r="N1174" s="131"/>
      <c r="O1174" s="131"/>
      <c r="P1174" s="152"/>
    </row>
    <row r="1175" spans="1:16" s="28" customFormat="1" x14ac:dyDescent="0.25">
      <c r="A1175" s="53"/>
      <c r="B1175" s="58"/>
      <c r="C1175" s="58"/>
      <c r="D1175" s="35"/>
      <c r="E1175" s="131"/>
      <c r="F1175" s="131"/>
      <c r="G1175" s="131"/>
      <c r="H1175" s="131"/>
      <c r="I1175" s="131"/>
      <c r="J1175" s="131"/>
      <c r="K1175" s="131"/>
      <c r="L1175" s="131"/>
      <c r="M1175" s="131"/>
      <c r="N1175" s="131"/>
      <c r="O1175" s="131"/>
      <c r="P1175" s="152"/>
    </row>
    <row r="1176" spans="1:16" s="28" customFormat="1" x14ac:dyDescent="0.25">
      <c r="A1176" s="53"/>
      <c r="B1176" s="58"/>
      <c r="C1176" s="58"/>
      <c r="D1176" s="35"/>
      <c r="E1176" s="131"/>
      <c r="F1176" s="131"/>
      <c r="G1176" s="131"/>
      <c r="H1176" s="131"/>
      <c r="I1176" s="131"/>
      <c r="J1176" s="131"/>
      <c r="K1176" s="131"/>
      <c r="L1176" s="131"/>
      <c r="M1176" s="131"/>
      <c r="N1176" s="131"/>
      <c r="O1176" s="131"/>
      <c r="P1176" s="152"/>
    </row>
    <row r="1177" spans="1:16" s="28" customFormat="1" x14ac:dyDescent="0.25">
      <c r="A1177" s="53"/>
      <c r="B1177" s="58"/>
      <c r="C1177" s="58"/>
      <c r="D1177" s="35"/>
      <c r="E1177" s="131"/>
      <c r="F1177" s="131"/>
      <c r="G1177" s="131"/>
      <c r="H1177" s="131"/>
      <c r="I1177" s="131"/>
      <c r="J1177" s="131"/>
      <c r="K1177" s="131"/>
      <c r="L1177" s="131"/>
      <c r="M1177" s="131"/>
      <c r="N1177" s="131"/>
      <c r="O1177" s="131"/>
      <c r="P1177" s="152"/>
    </row>
    <row r="1178" spans="1:16" s="28" customFormat="1" x14ac:dyDescent="0.25">
      <c r="A1178" s="53"/>
      <c r="B1178" s="58"/>
      <c r="C1178" s="58"/>
      <c r="D1178" s="35"/>
      <c r="E1178" s="131"/>
      <c r="F1178" s="131"/>
      <c r="G1178" s="131"/>
      <c r="H1178" s="131"/>
      <c r="I1178" s="131"/>
      <c r="J1178" s="131"/>
      <c r="K1178" s="131"/>
      <c r="L1178" s="131"/>
      <c r="M1178" s="131"/>
      <c r="N1178" s="131"/>
      <c r="O1178" s="131"/>
      <c r="P1178" s="152"/>
    </row>
    <row r="1179" spans="1:16" s="28" customFormat="1" x14ac:dyDescent="0.25">
      <c r="A1179" s="53"/>
      <c r="B1179" s="58"/>
      <c r="C1179" s="58"/>
      <c r="D1179" s="35"/>
      <c r="E1179" s="131"/>
      <c r="F1179" s="131"/>
      <c r="G1179" s="131"/>
      <c r="H1179" s="131"/>
      <c r="I1179" s="131"/>
      <c r="J1179" s="131"/>
      <c r="K1179" s="131"/>
      <c r="L1179" s="131"/>
      <c r="M1179" s="131"/>
      <c r="N1179" s="131"/>
      <c r="O1179" s="131"/>
      <c r="P1179" s="152"/>
    </row>
    <row r="1180" spans="1:16" s="28" customFormat="1" x14ac:dyDescent="0.25">
      <c r="A1180" s="53"/>
      <c r="B1180" s="58"/>
      <c r="C1180" s="58"/>
      <c r="D1180" s="35"/>
      <c r="E1180" s="131"/>
      <c r="F1180" s="131"/>
      <c r="G1180" s="131"/>
      <c r="H1180" s="131"/>
      <c r="I1180" s="131"/>
      <c r="J1180" s="131"/>
      <c r="K1180" s="131"/>
      <c r="L1180" s="131"/>
      <c r="M1180" s="131"/>
      <c r="N1180" s="131"/>
      <c r="O1180" s="131"/>
      <c r="P1180" s="152"/>
    </row>
    <row r="1181" spans="1:16" s="28" customFormat="1" x14ac:dyDescent="0.25">
      <c r="A1181" s="53"/>
      <c r="B1181" s="58"/>
      <c r="C1181" s="58"/>
      <c r="D1181" s="35"/>
      <c r="E1181" s="131"/>
      <c r="F1181" s="131"/>
      <c r="G1181" s="131"/>
      <c r="H1181" s="131"/>
      <c r="I1181" s="131"/>
      <c r="J1181" s="131"/>
      <c r="K1181" s="131"/>
      <c r="L1181" s="131"/>
      <c r="M1181" s="131"/>
      <c r="N1181" s="131"/>
      <c r="O1181" s="131"/>
      <c r="P1181" s="152"/>
    </row>
    <row r="1182" spans="1:16" s="28" customFormat="1" x14ac:dyDescent="0.25">
      <c r="A1182" s="53"/>
      <c r="B1182" s="58"/>
      <c r="C1182" s="58"/>
      <c r="D1182" s="35"/>
      <c r="E1182" s="131"/>
      <c r="F1182" s="131"/>
      <c r="G1182" s="131"/>
      <c r="H1182" s="131"/>
      <c r="I1182" s="131"/>
      <c r="J1182" s="131"/>
      <c r="K1182" s="131"/>
      <c r="L1182" s="131"/>
      <c r="M1182" s="131"/>
      <c r="N1182" s="131"/>
      <c r="O1182" s="131"/>
      <c r="P1182" s="152"/>
    </row>
    <row r="1183" spans="1:16" s="28" customFormat="1" x14ac:dyDescent="0.25">
      <c r="A1183" s="53"/>
      <c r="B1183" s="58"/>
      <c r="C1183" s="58"/>
      <c r="D1183" s="35"/>
      <c r="E1183" s="131"/>
      <c r="F1183" s="131"/>
      <c r="G1183" s="131"/>
      <c r="H1183" s="131"/>
      <c r="I1183" s="131"/>
      <c r="J1183" s="131"/>
      <c r="K1183" s="131"/>
      <c r="L1183" s="131"/>
      <c r="M1183" s="131"/>
      <c r="N1183" s="131"/>
      <c r="O1183" s="131"/>
      <c r="P1183" s="152"/>
    </row>
    <row r="1184" spans="1:16" s="28" customFormat="1" x14ac:dyDescent="0.25">
      <c r="A1184" s="53"/>
      <c r="B1184" s="58"/>
      <c r="C1184" s="58"/>
      <c r="D1184" s="35"/>
      <c r="E1184" s="131"/>
      <c r="F1184" s="131"/>
      <c r="G1184" s="131"/>
      <c r="H1184" s="131"/>
      <c r="I1184" s="131"/>
      <c r="J1184" s="131"/>
      <c r="K1184" s="131"/>
      <c r="L1184" s="131"/>
      <c r="M1184" s="131"/>
      <c r="N1184" s="131"/>
      <c r="O1184" s="131"/>
      <c r="P1184" s="152"/>
    </row>
    <row r="1185" spans="1:16" s="28" customFormat="1" x14ac:dyDescent="0.25">
      <c r="A1185" s="53"/>
      <c r="B1185" s="58"/>
      <c r="C1185" s="58"/>
      <c r="D1185" s="35"/>
      <c r="E1185" s="131"/>
      <c r="F1185" s="131"/>
      <c r="G1185" s="131"/>
      <c r="H1185" s="131"/>
      <c r="I1185" s="131"/>
      <c r="J1185" s="131"/>
      <c r="K1185" s="131"/>
      <c r="L1185" s="131"/>
      <c r="M1185" s="131"/>
      <c r="N1185" s="131"/>
      <c r="O1185" s="131"/>
      <c r="P1185" s="152"/>
    </row>
    <row r="1186" spans="1:16" s="28" customFormat="1" x14ac:dyDescent="0.25">
      <c r="A1186" s="53"/>
      <c r="B1186" s="58"/>
      <c r="C1186" s="58"/>
      <c r="D1186" s="35"/>
      <c r="E1186" s="131"/>
      <c r="F1186" s="131"/>
      <c r="G1186" s="131"/>
      <c r="H1186" s="131"/>
      <c r="I1186" s="131"/>
      <c r="J1186" s="131"/>
      <c r="K1186" s="131"/>
      <c r="L1186" s="131"/>
      <c r="M1186" s="131"/>
      <c r="N1186" s="131"/>
      <c r="O1186" s="131"/>
      <c r="P1186" s="152"/>
    </row>
    <row r="1187" spans="1:16" s="28" customFormat="1" x14ac:dyDescent="0.25">
      <c r="A1187" s="53"/>
      <c r="B1187" s="58"/>
      <c r="C1187" s="58"/>
      <c r="D1187" s="35"/>
      <c r="E1187" s="131"/>
      <c r="F1187" s="131"/>
      <c r="G1187" s="131"/>
      <c r="H1187" s="131"/>
      <c r="I1187" s="131"/>
      <c r="J1187" s="131"/>
      <c r="K1187" s="131"/>
      <c r="L1187" s="131"/>
      <c r="M1187" s="131"/>
      <c r="N1187" s="131"/>
      <c r="O1187" s="131"/>
      <c r="P1187" s="152"/>
    </row>
    <row r="1188" spans="1:16" s="28" customFormat="1" x14ac:dyDescent="0.25">
      <c r="A1188" s="53"/>
      <c r="B1188" s="58"/>
      <c r="C1188" s="58"/>
      <c r="D1188" s="35"/>
      <c r="E1188" s="131"/>
      <c r="F1188" s="131"/>
      <c r="G1188" s="131"/>
      <c r="H1188" s="131"/>
      <c r="I1188" s="131"/>
      <c r="J1188" s="131"/>
      <c r="K1188" s="131"/>
      <c r="L1188" s="131"/>
      <c r="M1188" s="131"/>
      <c r="N1188" s="131"/>
      <c r="O1188" s="131"/>
      <c r="P1188" s="152"/>
    </row>
    <row r="1189" spans="1:16" s="28" customFormat="1" x14ac:dyDescent="0.25">
      <c r="A1189" s="53"/>
      <c r="B1189" s="58"/>
      <c r="C1189" s="58"/>
      <c r="D1189" s="35"/>
      <c r="E1189" s="131"/>
      <c r="F1189" s="131"/>
      <c r="G1189" s="131"/>
      <c r="H1189" s="131"/>
      <c r="I1189" s="131"/>
      <c r="J1189" s="131"/>
      <c r="K1189" s="131"/>
      <c r="L1189" s="131"/>
      <c r="M1189" s="131"/>
      <c r="N1189" s="131"/>
      <c r="O1189" s="131"/>
      <c r="P1189" s="152"/>
    </row>
    <row r="1190" spans="1:16" s="28" customFormat="1" x14ac:dyDescent="0.25">
      <c r="A1190" s="53"/>
      <c r="B1190" s="58"/>
      <c r="C1190" s="58"/>
      <c r="D1190" s="35"/>
      <c r="E1190" s="131"/>
      <c r="F1190" s="131"/>
      <c r="G1190" s="131"/>
      <c r="H1190" s="131"/>
      <c r="I1190" s="131"/>
      <c r="J1190" s="131"/>
      <c r="K1190" s="131"/>
      <c r="L1190" s="131"/>
      <c r="M1190" s="131"/>
      <c r="N1190" s="131"/>
      <c r="O1190" s="131"/>
      <c r="P1190" s="152"/>
    </row>
    <row r="1191" spans="1:16" s="28" customFormat="1" x14ac:dyDescent="0.25">
      <c r="A1191" s="53"/>
      <c r="B1191" s="58"/>
      <c r="C1191" s="58"/>
      <c r="D1191" s="35"/>
      <c r="E1191" s="131"/>
      <c r="F1191" s="131"/>
      <c r="G1191" s="131"/>
      <c r="H1191" s="131"/>
      <c r="I1191" s="131"/>
      <c r="J1191" s="131"/>
      <c r="K1191" s="131"/>
      <c r="L1191" s="131"/>
      <c r="M1191" s="131"/>
      <c r="N1191" s="131"/>
      <c r="O1191" s="131"/>
      <c r="P1191" s="152"/>
    </row>
    <row r="1192" spans="1:16" s="28" customFormat="1" x14ac:dyDescent="0.25">
      <c r="A1192" s="53"/>
      <c r="B1192" s="58"/>
      <c r="C1192" s="58"/>
      <c r="D1192" s="35"/>
      <c r="E1192" s="131"/>
      <c r="F1192" s="131"/>
      <c r="G1192" s="131"/>
      <c r="H1192" s="131"/>
      <c r="I1192" s="131"/>
      <c r="J1192" s="131"/>
      <c r="K1192" s="131"/>
      <c r="L1192" s="131"/>
      <c r="M1192" s="131"/>
      <c r="N1192" s="131"/>
      <c r="O1192" s="131"/>
      <c r="P1192" s="152"/>
    </row>
    <row r="1193" spans="1:16" s="28" customFormat="1" x14ac:dyDescent="0.25">
      <c r="A1193" s="53"/>
      <c r="B1193" s="58"/>
      <c r="C1193" s="58"/>
      <c r="D1193" s="35"/>
      <c r="E1193" s="131"/>
      <c r="F1193" s="131"/>
      <c r="G1193" s="131"/>
      <c r="H1193" s="131"/>
      <c r="I1193" s="131"/>
      <c r="J1193" s="131"/>
      <c r="K1193" s="131"/>
      <c r="L1193" s="131"/>
      <c r="M1193" s="131"/>
      <c r="N1193" s="131"/>
      <c r="O1193" s="131"/>
      <c r="P1193" s="152"/>
    </row>
    <row r="1194" spans="1:16" s="28" customFormat="1" x14ac:dyDescent="0.25">
      <c r="A1194" s="53"/>
      <c r="B1194" s="58"/>
      <c r="C1194" s="58"/>
      <c r="D1194" s="35"/>
      <c r="E1194" s="131"/>
      <c r="F1194" s="131"/>
      <c r="G1194" s="131"/>
      <c r="H1194" s="131"/>
      <c r="I1194" s="131"/>
      <c r="J1194" s="131"/>
      <c r="K1194" s="131"/>
      <c r="L1194" s="131"/>
      <c r="M1194" s="131"/>
      <c r="N1194" s="131"/>
      <c r="O1194" s="131"/>
      <c r="P1194" s="152"/>
    </row>
    <row r="1195" spans="1:16" s="28" customFormat="1" x14ac:dyDescent="0.25">
      <c r="A1195" s="53"/>
      <c r="B1195" s="58"/>
      <c r="C1195" s="58"/>
      <c r="D1195" s="35"/>
      <c r="E1195" s="131"/>
      <c r="F1195" s="131"/>
      <c r="G1195" s="131"/>
      <c r="H1195" s="131"/>
      <c r="I1195" s="131"/>
      <c r="J1195" s="131"/>
      <c r="K1195" s="131"/>
      <c r="L1195" s="131"/>
      <c r="M1195" s="131"/>
      <c r="N1195" s="131"/>
      <c r="O1195" s="131"/>
      <c r="P1195" s="152"/>
    </row>
    <row r="1196" spans="1:16" s="28" customFormat="1" x14ac:dyDescent="0.25">
      <c r="A1196" s="53"/>
      <c r="B1196" s="58"/>
      <c r="C1196" s="58"/>
      <c r="D1196" s="35"/>
      <c r="E1196" s="131"/>
      <c r="F1196" s="131"/>
      <c r="G1196" s="131"/>
      <c r="H1196" s="131"/>
      <c r="I1196" s="131"/>
      <c r="J1196" s="131"/>
      <c r="K1196" s="131"/>
      <c r="L1196" s="131"/>
      <c r="M1196" s="131"/>
      <c r="N1196" s="131"/>
      <c r="O1196" s="131"/>
      <c r="P1196" s="152"/>
    </row>
    <row r="1197" spans="1:16" s="28" customFormat="1" x14ac:dyDescent="0.25">
      <c r="A1197" s="53"/>
      <c r="B1197" s="58"/>
      <c r="C1197" s="58"/>
      <c r="D1197" s="35"/>
      <c r="E1197" s="131"/>
      <c r="F1197" s="131"/>
      <c r="G1197" s="131"/>
      <c r="H1197" s="131"/>
      <c r="I1197" s="131"/>
      <c r="J1197" s="131"/>
      <c r="K1197" s="131"/>
      <c r="L1197" s="131"/>
      <c r="M1197" s="131"/>
      <c r="N1197" s="131"/>
      <c r="O1197" s="131"/>
      <c r="P1197" s="152"/>
    </row>
    <row r="1198" spans="1:16" s="28" customFormat="1" x14ac:dyDescent="0.25">
      <c r="A1198" s="53"/>
      <c r="B1198" s="58"/>
      <c r="C1198" s="58"/>
      <c r="D1198" s="35"/>
      <c r="E1198" s="131"/>
      <c r="F1198" s="131"/>
      <c r="G1198" s="131"/>
      <c r="H1198" s="131"/>
      <c r="I1198" s="131"/>
      <c r="J1198" s="131"/>
      <c r="K1198" s="131"/>
      <c r="L1198" s="131"/>
      <c r="M1198" s="131"/>
      <c r="N1198" s="131"/>
      <c r="O1198" s="131"/>
      <c r="P1198" s="152"/>
    </row>
    <row r="1199" spans="1:16" s="28" customFormat="1" x14ac:dyDescent="0.25">
      <c r="A1199" s="53"/>
      <c r="B1199" s="58"/>
      <c r="C1199" s="58"/>
      <c r="D1199" s="35"/>
      <c r="E1199" s="131"/>
      <c r="F1199" s="131"/>
      <c r="G1199" s="131"/>
      <c r="H1199" s="131"/>
      <c r="I1199" s="131"/>
      <c r="J1199" s="131"/>
      <c r="K1199" s="131"/>
      <c r="L1199" s="131"/>
      <c r="M1199" s="131"/>
      <c r="N1199" s="131"/>
      <c r="O1199" s="131"/>
      <c r="P1199" s="152"/>
    </row>
    <row r="1200" spans="1:16" s="28" customFormat="1" x14ac:dyDescent="0.25">
      <c r="A1200" s="53"/>
      <c r="B1200" s="58"/>
      <c r="C1200" s="58"/>
      <c r="D1200" s="35"/>
      <c r="E1200" s="131"/>
      <c r="F1200" s="131"/>
      <c r="G1200" s="131"/>
      <c r="H1200" s="131"/>
      <c r="I1200" s="131"/>
      <c r="J1200" s="131"/>
      <c r="K1200" s="131"/>
      <c r="L1200" s="131"/>
      <c r="M1200" s="131"/>
      <c r="N1200" s="131"/>
      <c r="O1200" s="131"/>
      <c r="P1200" s="152"/>
    </row>
    <row r="1201" spans="1:16" s="28" customFormat="1" x14ac:dyDescent="0.25">
      <c r="A1201" s="53"/>
      <c r="B1201" s="58"/>
      <c r="C1201" s="58"/>
      <c r="D1201" s="35"/>
      <c r="E1201" s="131"/>
      <c r="F1201" s="131"/>
      <c r="G1201" s="131"/>
      <c r="H1201" s="131"/>
      <c r="I1201" s="131"/>
      <c r="J1201" s="131"/>
      <c r="K1201" s="131"/>
      <c r="L1201" s="131"/>
      <c r="M1201" s="131"/>
      <c r="N1201" s="131"/>
      <c r="O1201" s="131"/>
      <c r="P1201" s="152"/>
    </row>
    <row r="1202" spans="1:16" s="28" customFormat="1" x14ac:dyDescent="0.25">
      <c r="A1202" s="53"/>
      <c r="B1202" s="58"/>
      <c r="C1202" s="58"/>
      <c r="D1202" s="35"/>
      <c r="E1202" s="131"/>
      <c r="F1202" s="131"/>
      <c r="G1202" s="131"/>
      <c r="H1202" s="131"/>
      <c r="I1202" s="131"/>
      <c r="J1202" s="131"/>
      <c r="K1202" s="131"/>
      <c r="L1202" s="131"/>
      <c r="M1202" s="131"/>
      <c r="N1202" s="131"/>
      <c r="O1202" s="131"/>
      <c r="P1202" s="152"/>
    </row>
    <row r="1203" spans="1:16" s="28" customFormat="1" x14ac:dyDescent="0.25">
      <c r="A1203" s="53"/>
      <c r="B1203" s="58"/>
      <c r="C1203" s="58"/>
      <c r="D1203" s="35"/>
      <c r="E1203" s="131"/>
      <c r="F1203" s="131"/>
      <c r="G1203" s="131"/>
      <c r="H1203" s="131"/>
      <c r="I1203" s="131"/>
      <c r="J1203" s="131"/>
      <c r="K1203" s="131"/>
      <c r="L1203" s="131"/>
      <c r="M1203" s="131"/>
      <c r="N1203" s="131"/>
      <c r="O1203" s="131"/>
      <c r="P1203" s="152"/>
    </row>
    <row r="1204" spans="1:16" s="28" customFormat="1" x14ac:dyDescent="0.25">
      <c r="A1204" s="53"/>
      <c r="B1204" s="58"/>
      <c r="C1204" s="58"/>
      <c r="D1204" s="35"/>
      <c r="E1204" s="131"/>
      <c r="F1204" s="131"/>
      <c r="G1204" s="131"/>
      <c r="H1204" s="131"/>
      <c r="I1204" s="131"/>
      <c r="J1204" s="131"/>
      <c r="K1204" s="131"/>
      <c r="L1204" s="131"/>
      <c r="M1204" s="131"/>
      <c r="N1204" s="131"/>
      <c r="O1204" s="131"/>
      <c r="P1204" s="152"/>
    </row>
    <row r="1205" spans="1:16" s="28" customFormat="1" x14ac:dyDescent="0.25">
      <c r="A1205" s="53"/>
      <c r="B1205" s="58"/>
      <c r="C1205" s="58"/>
      <c r="D1205" s="35"/>
      <c r="E1205" s="131"/>
      <c r="F1205" s="131"/>
      <c r="G1205" s="131"/>
      <c r="H1205" s="131"/>
      <c r="I1205" s="131"/>
      <c r="J1205" s="131"/>
      <c r="K1205" s="131"/>
      <c r="L1205" s="131"/>
      <c r="M1205" s="131"/>
      <c r="N1205" s="131"/>
      <c r="O1205" s="131"/>
      <c r="P1205" s="152"/>
    </row>
    <row r="1206" spans="1:16" s="28" customFormat="1" x14ac:dyDescent="0.25">
      <c r="A1206" s="53"/>
      <c r="B1206" s="58"/>
      <c r="C1206" s="58"/>
      <c r="D1206" s="35"/>
      <c r="E1206" s="131"/>
      <c r="F1206" s="131"/>
      <c r="G1206" s="131"/>
      <c r="H1206" s="131"/>
      <c r="I1206" s="131"/>
      <c r="J1206" s="131"/>
      <c r="K1206" s="131"/>
      <c r="L1206" s="131"/>
      <c r="M1206" s="131"/>
      <c r="N1206" s="131"/>
      <c r="O1206" s="131"/>
      <c r="P1206" s="152"/>
    </row>
    <row r="1207" spans="1:16" s="28" customFormat="1" x14ac:dyDescent="0.25">
      <c r="A1207" s="53"/>
      <c r="B1207" s="58"/>
      <c r="C1207" s="58"/>
      <c r="D1207" s="35"/>
      <c r="E1207" s="131"/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52"/>
    </row>
    <row r="1208" spans="1:16" s="28" customFormat="1" x14ac:dyDescent="0.25">
      <c r="A1208" s="53"/>
      <c r="B1208" s="58"/>
      <c r="C1208" s="58"/>
      <c r="D1208" s="35"/>
      <c r="E1208" s="131"/>
      <c r="F1208" s="131"/>
      <c r="G1208" s="131"/>
      <c r="H1208" s="131"/>
      <c r="I1208" s="131"/>
      <c r="J1208" s="131"/>
      <c r="K1208" s="131"/>
      <c r="L1208" s="131"/>
      <c r="M1208" s="131"/>
      <c r="N1208" s="131"/>
      <c r="O1208" s="131"/>
      <c r="P1208" s="152"/>
    </row>
    <row r="1209" spans="1:16" s="28" customFormat="1" x14ac:dyDescent="0.25">
      <c r="A1209" s="53"/>
      <c r="B1209" s="58"/>
      <c r="C1209" s="58"/>
      <c r="D1209" s="35"/>
      <c r="E1209" s="131"/>
      <c r="F1209" s="131"/>
      <c r="G1209" s="131"/>
      <c r="H1209" s="131"/>
      <c r="I1209" s="131"/>
      <c r="J1209" s="131"/>
      <c r="K1209" s="131"/>
      <c r="L1209" s="131"/>
      <c r="M1209" s="131"/>
      <c r="N1209" s="131"/>
      <c r="O1209" s="131"/>
      <c r="P1209" s="152"/>
    </row>
    <row r="1210" spans="1:16" s="28" customFormat="1" x14ac:dyDescent="0.25">
      <c r="A1210" s="53"/>
      <c r="B1210" s="58"/>
      <c r="C1210" s="58"/>
      <c r="D1210" s="35"/>
      <c r="E1210" s="131"/>
      <c r="F1210" s="131"/>
      <c r="G1210" s="131"/>
      <c r="H1210" s="131"/>
      <c r="I1210" s="131"/>
      <c r="J1210" s="131"/>
      <c r="K1210" s="131"/>
      <c r="L1210" s="131"/>
      <c r="M1210" s="131"/>
      <c r="N1210" s="131"/>
      <c r="O1210" s="131"/>
      <c r="P1210" s="152"/>
    </row>
    <row r="1211" spans="1:16" s="28" customFormat="1" x14ac:dyDescent="0.25">
      <c r="A1211" s="53"/>
      <c r="B1211" s="58"/>
      <c r="C1211" s="58"/>
      <c r="D1211" s="35"/>
      <c r="E1211" s="131"/>
      <c r="F1211" s="131"/>
      <c r="G1211" s="131"/>
      <c r="H1211" s="131"/>
      <c r="I1211" s="131"/>
      <c r="J1211" s="131"/>
      <c r="K1211" s="131"/>
      <c r="L1211" s="131"/>
      <c r="M1211" s="131"/>
      <c r="N1211" s="131"/>
      <c r="O1211" s="131"/>
      <c r="P1211" s="152"/>
    </row>
    <row r="1212" spans="1:16" s="28" customFormat="1" x14ac:dyDescent="0.25">
      <c r="A1212" s="53"/>
      <c r="B1212" s="58"/>
      <c r="C1212" s="58"/>
      <c r="D1212" s="35"/>
      <c r="E1212" s="131"/>
      <c r="F1212" s="131"/>
      <c r="G1212" s="131"/>
      <c r="H1212" s="131"/>
      <c r="I1212" s="131"/>
      <c r="J1212" s="131"/>
      <c r="K1212" s="131"/>
      <c r="L1212" s="131"/>
      <c r="M1212" s="131"/>
      <c r="N1212" s="131"/>
      <c r="O1212" s="131"/>
      <c r="P1212" s="152"/>
    </row>
    <row r="1213" spans="1:16" s="28" customFormat="1" x14ac:dyDescent="0.25">
      <c r="A1213" s="53"/>
      <c r="B1213" s="58"/>
      <c r="C1213" s="58"/>
      <c r="D1213" s="35"/>
      <c r="E1213" s="131"/>
      <c r="F1213" s="131"/>
      <c r="G1213" s="131"/>
      <c r="H1213" s="131"/>
      <c r="I1213" s="131"/>
      <c r="J1213" s="131"/>
      <c r="K1213" s="131"/>
      <c r="L1213" s="131"/>
      <c r="M1213" s="131"/>
      <c r="N1213" s="131"/>
      <c r="O1213" s="131"/>
      <c r="P1213" s="152"/>
    </row>
    <row r="1214" spans="1:16" s="28" customFormat="1" x14ac:dyDescent="0.25">
      <c r="A1214" s="53"/>
      <c r="B1214" s="58"/>
      <c r="C1214" s="58"/>
      <c r="D1214" s="35"/>
      <c r="E1214" s="131"/>
      <c r="F1214" s="131"/>
      <c r="G1214" s="131"/>
      <c r="H1214" s="131"/>
      <c r="I1214" s="131"/>
      <c r="J1214" s="131"/>
      <c r="K1214" s="131"/>
      <c r="L1214" s="131"/>
      <c r="M1214" s="131"/>
      <c r="N1214" s="131"/>
      <c r="O1214" s="131"/>
      <c r="P1214" s="152"/>
    </row>
    <row r="1215" spans="1:16" s="28" customFormat="1" x14ac:dyDescent="0.25">
      <c r="A1215" s="53"/>
      <c r="B1215" s="58"/>
      <c r="C1215" s="58"/>
      <c r="D1215" s="35"/>
      <c r="E1215" s="131"/>
      <c r="F1215" s="131"/>
      <c r="G1215" s="131"/>
      <c r="H1215" s="131"/>
      <c r="I1215" s="131"/>
      <c r="J1215" s="131"/>
      <c r="K1215" s="131"/>
      <c r="L1215" s="131"/>
      <c r="M1215" s="131"/>
      <c r="N1215" s="131"/>
      <c r="O1215" s="131"/>
      <c r="P1215" s="152"/>
    </row>
    <row r="1216" spans="1:16" s="28" customFormat="1" x14ac:dyDescent="0.25">
      <c r="A1216" s="53"/>
      <c r="B1216" s="58"/>
      <c r="C1216" s="58"/>
      <c r="D1216" s="35"/>
      <c r="E1216" s="131"/>
      <c r="F1216" s="131"/>
      <c r="G1216" s="131"/>
      <c r="H1216" s="131"/>
      <c r="I1216" s="131"/>
      <c r="J1216" s="131"/>
      <c r="K1216" s="131"/>
      <c r="L1216" s="131"/>
      <c r="M1216" s="131"/>
      <c r="N1216" s="131"/>
      <c r="O1216" s="131"/>
      <c r="P1216" s="152"/>
    </row>
    <row r="1217" spans="1:16" s="28" customFormat="1" x14ac:dyDescent="0.25">
      <c r="A1217" s="53"/>
      <c r="B1217" s="58"/>
      <c r="C1217" s="58"/>
      <c r="D1217" s="35"/>
      <c r="E1217" s="131"/>
      <c r="F1217" s="131"/>
      <c r="G1217" s="131"/>
      <c r="H1217" s="131"/>
      <c r="I1217" s="131"/>
      <c r="J1217" s="131"/>
      <c r="K1217" s="131"/>
      <c r="L1217" s="131"/>
      <c r="M1217" s="131"/>
      <c r="N1217" s="131"/>
      <c r="O1217" s="131"/>
      <c r="P1217" s="152"/>
    </row>
    <row r="1218" spans="1:16" s="28" customFormat="1" x14ac:dyDescent="0.25">
      <c r="A1218" s="53"/>
      <c r="B1218" s="58"/>
      <c r="C1218" s="58"/>
      <c r="D1218" s="35"/>
      <c r="E1218" s="131"/>
      <c r="F1218" s="131"/>
      <c r="G1218" s="131"/>
      <c r="H1218" s="131"/>
      <c r="I1218" s="131"/>
      <c r="J1218" s="131"/>
      <c r="K1218" s="131"/>
      <c r="L1218" s="131"/>
      <c r="M1218" s="131"/>
      <c r="N1218" s="131"/>
      <c r="O1218" s="131"/>
      <c r="P1218" s="152"/>
    </row>
    <row r="1219" spans="1:16" s="28" customFormat="1" x14ac:dyDescent="0.25">
      <c r="A1219" s="53"/>
      <c r="B1219" s="58"/>
      <c r="C1219" s="58"/>
      <c r="D1219" s="35"/>
      <c r="E1219" s="131"/>
      <c r="F1219" s="131"/>
      <c r="G1219" s="131"/>
      <c r="H1219" s="131"/>
      <c r="I1219" s="131"/>
      <c r="J1219" s="131"/>
      <c r="K1219" s="131"/>
      <c r="L1219" s="131"/>
      <c r="M1219" s="131"/>
      <c r="N1219" s="131"/>
      <c r="O1219" s="131"/>
      <c r="P1219" s="152"/>
    </row>
    <row r="1220" spans="1:16" s="28" customFormat="1" x14ac:dyDescent="0.25">
      <c r="A1220" s="53"/>
      <c r="B1220" s="58"/>
      <c r="C1220" s="58"/>
      <c r="D1220" s="35"/>
      <c r="E1220" s="131"/>
      <c r="F1220" s="131"/>
      <c r="G1220" s="131"/>
      <c r="H1220" s="131"/>
      <c r="I1220" s="131"/>
      <c r="J1220" s="131"/>
      <c r="K1220" s="131"/>
      <c r="L1220" s="131"/>
      <c r="M1220" s="131"/>
      <c r="N1220" s="131"/>
      <c r="O1220" s="131"/>
      <c r="P1220" s="152"/>
    </row>
    <row r="1221" spans="1:16" s="28" customFormat="1" x14ac:dyDescent="0.25">
      <c r="A1221" s="53"/>
      <c r="B1221" s="58"/>
      <c r="C1221" s="58"/>
      <c r="D1221" s="35"/>
      <c r="E1221" s="131"/>
      <c r="F1221" s="131"/>
      <c r="G1221" s="131"/>
      <c r="H1221" s="131"/>
      <c r="I1221" s="131"/>
      <c r="J1221" s="131"/>
      <c r="K1221" s="131"/>
      <c r="L1221" s="131"/>
      <c r="M1221" s="131"/>
      <c r="N1221" s="131"/>
      <c r="O1221" s="131"/>
      <c r="P1221" s="152"/>
    </row>
    <row r="1222" spans="1:16" s="28" customFormat="1" x14ac:dyDescent="0.25">
      <c r="A1222" s="53"/>
      <c r="B1222" s="58"/>
      <c r="C1222" s="58"/>
      <c r="D1222" s="35"/>
      <c r="E1222" s="131"/>
      <c r="F1222" s="131"/>
      <c r="G1222" s="131"/>
      <c r="H1222" s="131"/>
      <c r="I1222" s="131"/>
      <c r="J1222" s="131"/>
      <c r="K1222" s="131"/>
      <c r="L1222" s="131"/>
      <c r="M1222" s="131"/>
      <c r="N1222" s="131"/>
      <c r="O1222" s="131"/>
      <c r="P1222" s="152"/>
    </row>
    <row r="1223" spans="1:16" s="28" customFormat="1" x14ac:dyDescent="0.25">
      <c r="A1223" s="53"/>
      <c r="B1223" s="58"/>
      <c r="C1223" s="58"/>
      <c r="D1223" s="35"/>
      <c r="E1223" s="131"/>
      <c r="F1223" s="131"/>
      <c r="G1223" s="131"/>
      <c r="H1223" s="131"/>
      <c r="I1223" s="131"/>
      <c r="J1223" s="131"/>
      <c r="K1223" s="131"/>
      <c r="L1223" s="131"/>
      <c r="M1223" s="131"/>
      <c r="N1223" s="131"/>
      <c r="O1223" s="131"/>
      <c r="P1223" s="152"/>
    </row>
    <row r="1224" spans="1:16" s="28" customFormat="1" x14ac:dyDescent="0.25">
      <c r="A1224" s="53"/>
      <c r="B1224" s="58"/>
      <c r="C1224" s="58"/>
      <c r="D1224" s="35"/>
      <c r="E1224" s="131"/>
      <c r="F1224" s="131"/>
      <c r="G1224" s="131"/>
      <c r="H1224" s="131"/>
      <c r="I1224" s="131"/>
      <c r="J1224" s="131"/>
      <c r="K1224" s="131"/>
      <c r="L1224" s="131"/>
      <c r="M1224" s="131"/>
      <c r="N1224" s="131"/>
      <c r="O1224" s="131"/>
      <c r="P1224" s="152"/>
    </row>
    <row r="1225" spans="1:16" s="28" customFormat="1" x14ac:dyDescent="0.25">
      <c r="A1225" s="53"/>
      <c r="B1225" s="58"/>
      <c r="C1225" s="58"/>
      <c r="D1225" s="35"/>
      <c r="E1225" s="131"/>
      <c r="F1225" s="131"/>
      <c r="G1225" s="131"/>
      <c r="H1225" s="131"/>
      <c r="I1225" s="131"/>
      <c r="J1225" s="131"/>
      <c r="K1225" s="131"/>
      <c r="L1225" s="131"/>
      <c r="M1225" s="131"/>
      <c r="N1225" s="131"/>
      <c r="O1225" s="131"/>
      <c r="P1225" s="152"/>
    </row>
    <row r="1226" spans="1:16" s="28" customFormat="1" x14ac:dyDescent="0.25">
      <c r="A1226" s="53"/>
      <c r="B1226" s="58"/>
      <c r="C1226" s="58"/>
      <c r="D1226" s="35"/>
      <c r="E1226" s="131"/>
      <c r="F1226" s="131"/>
      <c r="G1226" s="131"/>
      <c r="H1226" s="131"/>
      <c r="I1226" s="131"/>
      <c r="J1226" s="131"/>
      <c r="K1226" s="131"/>
      <c r="L1226" s="131"/>
      <c r="M1226" s="131"/>
      <c r="N1226" s="131"/>
      <c r="O1226" s="131"/>
      <c r="P1226" s="152"/>
    </row>
    <row r="1227" spans="1:16" s="28" customFormat="1" x14ac:dyDescent="0.25">
      <c r="A1227" s="53"/>
      <c r="B1227" s="58"/>
      <c r="C1227" s="58"/>
      <c r="D1227" s="35"/>
      <c r="E1227" s="131"/>
      <c r="F1227" s="131"/>
      <c r="G1227" s="131"/>
      <c r="H1227" s="131"/>
      <c r="I1227" s="131"/>
      <c r="J1227" s="131"/>
      <c r="K1227" s="131"/>
      <c r="L1227" s="131"/>
      <c r="M1227" s="131"/>
      <c r="N1227" s="131"/>
      <c r="O1227" s="131"/>
      <c r="P1227" s="152"/>
    </row>
    <row r="1228" spans="1:16" s="28" customFormat="1" x14ac:dyDescent="0.25">
      <c r="A1228" s="53"/>
      <c r="B1228" s="58"/>
      <c r="C1228" s="58"/>
      <c r="D1228" s="35"/>
      <c r="E1228" s="131"/>
      <c r="F1228" s="131"/>
      <c r="G1228" s="131"/>
      <c r="H1228" s="131"/>
      <c r="I1228" s="131"/>
      <c r="J1228" s="131"/>
      <c r="K1228" s="131"/>
      <c r="L1228" s="131"/>
      <c r="M1228" s="131"/>
      <c r="N1228" s="131"/>
      <c r="O1228" s="131"/>
      <c r="P1228" s="152"/>
    </row>
    <row r="1229" spans="1:16" s="28" customFormat="1" x14ac:dyDescent="0.25">
      <c r="A1229" s="53"/>
      <c r="B1229" s="58"/>
      <c r="C1229" s="58"/>
      <c r="D1229" s="35"/>
      <c r="E1229" s="131"/>
      <c r="F1229" s="131"/>
      <c r="G1229" s="131"/>
      <c r="H1229" s="131"/>
      <c r="I1229" s="131"/>
      <c r="J1229" s="131"/>
      <c r="K1229" s="131"/>
      <c r="L1229" s="131"/>
      <c r="M1229" s="131"/>
      <c r="N1229" s="131"/>
      <c r="O1229" s="131"/>
      <c r="P1229" s="152"/>
    </row>
    <row r="1230" spans="1:16" s="28" customFormat="1" x14ac:dyDescent="0.25">
      <c r="A1230" s="53"/>
      <c r="B1230" s="58"/>
      <c r="C1230" s="58"/>
      <c r="D1230" s="35"/>
      <c r="E1230" s="131"/>
      <c r="F1230" s="131"/>
      <c r="G1230" s="131"/>
      <c r="H1230" s="131"/>
      <c r="I1230" s="131"/>
      <c r="J1230" s="131"/>
      <c r="K1230" s="131"/>
      <c r="L1230" s="131"/>
      <c r="M1230" s="131"/>
      <c r="N1230" s="131"/>
      <c r="O1230" s="131"/>
      <c r="P1230" s="152"/>
    </row>
    <row r="1231" spans="1:16" s="28" customFormat="1" x14ac:dyDescent="0.25">
      <c r="A1231" s="53"/>
      <c r="B1231" s="58"/>
      <c r="C1231" s="58"/>
      <c r="D1231" s="35"/>
      <c r="E1231" s="131"/>
      <c r="F1231" s="131"/>
      <c r="G1231" s="131"/>
      <c r="H1231" s="131"/>
      <c r="I1231" s="131"/>
      <c r="J1231" s="131"/>
      <c r="K1231" s="131"/>
      <c r="L1231" s="131"/>
      <c r="M1231" s="131"/>
      <c r="N1231" s="131"/>
      <c r="O1231" s="131"/>
      <c r="P1231" s="152"/>
    </row>
    <row r="1232" spans="1:16" s="28" customFormat="1" x14ac:dyDescent="0.25">
      <c r="A1232" s="53"/>
      <c r="B1232" s="58"/>
      <c r="C1232" s="58"/>
      <c r="D1232" s="35"/>
      <c r="E1232" s="131"/>
      <c r="F1232" s="131"/>
      <c r="G1232" s="131"/>
      <c r="H1232" s="131"/>
      <c r="I1232" s="131"/>
      <c r="J1232" s="131"/>
      <c r="K1232" s="131"/>
      <c r="L1232" s="131"/>
      <c r="M1232" s="131"/>
      <c r="N1232" s="131"/>
      <c r="O1232" s="131"/>
      <c r="P1232" s="152"/>
    </row>
    <row r="1233" spans="1:16" s="28" customFormat="1" x14ac:dyDescent="0.25">
      <c r="A1233" s="53"/>
      <c r="B1233" s="58"/>
      <c r="C1233" s="58"/>
      <c r="D1233" s="35"/>
      <c r="E1233" s="131"/>
      <c r="F1233" s="131"/>
      <c r="G1233" s="131"/>
      <c r="H1233" s="131"/>
      <c r="I1233" s="131"/>
      <c r="J1233" s="131"/>
      <c r="K1233" s="131"/>
      <c r="L1233" s="131"/>
      <c r="M1233" s="131"/>
      <c r="N1233" s="131"/>
      <c r="O1233" s="131"/>
      <c r="P1233" s="152"/>
    </row>
    <row r="1234" spans="1:16" s="28" customFormat="1" x14ac:dyDescent="0.25">
      <c r="A1234" s="53"/>
      <c r="B1234" s="58"/>
      <c r="C1234" s="58"/>
      <c r="D1234" s="35"/>
      <c r="E1234" s="131"/>
      <c r="F1234" s="131"/>
      <c r="G1234" s="131"/>
      <c r="H1234" s="131"/>
      <c r="I1234" s="131"/>
      <c r="J1234" s="131"/>
      <c r="K1234" s="131"/>
      <c r="L1234" s="131"/>
      <c r="M1234" s="131"/>
      <c r="N1234" s="131"/>
      <c r="O1234" s="131"/>
      <c r="P1234" s="152"/>
    </row>
    <row r="1235" spans="1:16" s="28" customFormat="1" x14ac:dyDescent="0.25">
      <c r="A1235" s="53"/>
      <c r="B1235" s="58"/>
      <c r="C1235" s="58"/>
      <c r="D1235" s="35"/>
      <c r="E1235" s="131"/>
      <c r="F1235" s="131"/>
      <c r="G1235" s="131"/>
      <c r="H1235" s="131"/>
      <c r="I1235" s="131"/>
      <c r="J1235" s="131"/>
      <c r="K1235" s="131"/>
      <c r="L1235" s="131"/>
      <c r="M1235" s="131"/>
      <c r="N1235" s="131"/>
      <c r="O1235" s="131"/>
      <c r="P1235" s="152"/>
    </row>
    <row r="1236" spans="1:16" s="28" customFormat="1" x14ac:dyDescent="0.25">
      <c r="A1236" s="53"/>
      <c r="B1236" s="58"/>
      <c r="C1236" s="58"/>
      <c r="D1236" s="35"/>
      <c r="E1236" s="131"/>
      <c r="F1236" s="131"/>
      <c r="G1236" s="131"/>
      <c r="H1236" s="131"/>
      <c r="I1236" s="131"/>
      <c r="J1236" s="131"/>
      <c r="K1236" s="131"/>
      <c r="L1236" s="131"/>
      <c r="M1236" s="131"/>
      <c r="N1236" s="131"/>
      <c r="O1236" s="131"/>
      <c r="P1236" s="152"/>
    </row>
    <row r="1237" spans="1:16" s="28" customFormat="1" x14ac:dyDescent="0.25">
      <c r="A1237" s="53"/>
      <c r="B1237" s="58"/>
      <c r="C1237" s="58"/>
      <c r="D1237" s="35"/>
      <c r="E1237" s="131"/>
      <c r="F1237" s="131"/>
      <c r="G1237" s="131"/>
      <c r="H1237" s="131"/>
      <c r="I1237" s="131"/>
      <c r="J1237" s="131"/>
      <c r="K1237" s="131"/>
      <c r="L1237" s="131"/>
      <c r="M1237" s="131"/>
      <c r="N1237" s="131"/>
      <c r="O1237" s="131"/>
      <c r="P1237" s="152"/>
    </row>
    <row r="1238" spans="1:16" s="28" customFormat="1" x14ac:dyDescent="0.25">
      <c r="A1238" s="53"/>
      <c r="B1238" s="58"/>
      <c r="C1238" s="58"/>
      <c r="D1238" s="35"/>
      <c r="E1238" s="131"/>
      <c r="F1238" s="131"/>
      <c r="G1238" s="131"/>
      <c r="H1238" s="131"/>
      <c r="I1238" s="131"/>
      <c r="J1238" s="131"/>
      <c r="K1238" s="131"/>
      <c r="L1238" s="131"/>
      <c r="M1238" s="131"/>
      <c r="N1238" s="131"/>
      <c r="O1238" s="131"/>
      <c r="P1238" s="152"/>
    </row>
    <row r="1239" spans="1:16" s="28" customFormat="1" x14ac:dyDescent="0.25">
      <c r="A1239" s="53"/>
      <c r="B1239" s="58"/>
      <c r="C1239" s="58"/>
      <c r="D1239" s="35"/>
      <c r="E1239" s="131"/>
      <c r="F1239" s="131"/>
      <c r="G1239" s="131"/>
      <c r="H1239" s="131"/>
      <c r="I1239" s="131"/>
      <c r="J1239" s="131"/>
      <c r="K1239" s="131"/>
      <c r="L1239" s="131"/>
      <c r="M1239" s="131"/>
      <c r="N1239" s="131"/>
      <c r="O1239" s="131"/>
      <c r="P1239" s="152"/>
    </row>
    <row r="1240" spans="1:16" s="28" customFormat="1" x14ac:dyDescent="0.25">
      <c r="A1240" s="53"/>
      <c r="B1240" s="58"/>
      <c r="C1240" s="58"/>
      <c r="D1240" s="35"/>
      <c r="E1240" s="131"/>
      <c r="F1240" s="131"/>
      <c r="G1240" s="131"/>
      <c r="H1240" s="131"/>
      <c r="I1240" s="131"/>
      <c r="J1240" s="131"/>
      <c r="K1240" s="131"/>
      <c r="L1240" s="131"/>
      <c r="M1240" s="131"/>
      <c r="N1240" s="131"/>
      <c r="O1240" s="131"/>
      <c r="P1240" s="152"/>
    </row>
    <row r="1241" spans="1:16" s="28" customFormat="1" x14ac:dyDescent="0.25">
      <c r="A1241" s="53"/>
      <c r="B1241" s="58"/>
      <c r="C1241" s="58"/>
      <c r="D1241" s="35"/>
      <c r="E1241" s="131"/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52"/>
    </row>
    <row r="1242" spans="1:16" s="28" customFormat="1" x14ac:dyDescent="0.25">
      <c r="A1242" s="53"/>
      <c r="B1242" s="58"/>
      <c r="C1242" s="58"/>
      <c r="D1242" s="35"/>
      <c r="E1242" s="131"/>
      <c r="F1242" s="131"/>
      <c r="G1242" s="131"/>
      <c r="H1242" s="131"/>
      <c r="I1242" s="131"/>
      <c r="J1242" s="131"/>
      <c r="K1242" s="131"/>
      <c r="L1242" s="131"/>
      <c r="M1242" s="131"/>
      <c r="N1242" s="131"/>
      <c r="O1242" s="131"/>
      <c r="P1242" s="152"/>
    </row>
    <row r="1243" spans="1:16" s="28" customFormat="1" x14ac:dyDescent="0.25">
      <c r="A1243" s="53"/>
      <c r="B1243" s="58"/>
      <c r="C1243" s="58"/>
      <c r="D1243" s="35"/>
      <c r="E1243" s="131"/>
      <c r="F1243" s="131"/>
      <c r="G1243" s="131"/>
      <c r="H1243" s="131"/>
      <c r="I1243" s="131"/>
      <c r="J1243" s="131"/>
      <c r="K1243" s="131"/>
      <c r="L1243" s="131"/>
      <c r="M1243" s="131"/>
      <c r="N1243" s="131"/>
      <c r="O1243" s="131"/>
      <c r="P1243" s="152"/>
    </row>
    <row r="1244" spans="1:16" s="28" customFormat="1" x14ac:dyDescent="0.25">
      <c r="A1244" s="53"/>
      <c r="B1244" s="58"/>
      <c r="C1244" s="58"/>
      <c r="D1244" s="35"/>
      <c r="E1244" s="131"/>
      <c r="F1244" s="131"/>
      <c r="G1244" s="131"/>
      <c r="H1244" s="131"/>
      <c r="I1244" s="131"/>
      <c r="J1244" s="131"/>
      <c r="K1244" s="131"/>
      <c r="L1244" s="131"/>
      <c r="M1244" s="131"/>
      <c r="N1244" s="131"/>
      <c r="O1244" s="131"/>
      <c r="P1244" s="152"/>
    </row>
    <row r="1245" spans="1:16" s="28" customFormat="1" x14ac:dyDescent="0.25">
      <c r="A1245" s="53"/>
      <c r="B1245" s="58"/>
      <c r="C1245" s="58"/>
      <c r="D1245" s="35"/>
      <c r="E1245" s="131"/>
      <c r="F1245" s="131"/>
      <c r="G1245" s="131"/>
      <c r="H1245" s="131"/>
      <c r="I1245" s="131"/>
      <c r="J1245" s="131"/>
      <c r="K1245" s="131"/>
      <c r="L1245" s="131"/>
      <c r="M1245" s="131"/>
      <c r="N1245" s="131"/>
      <c r="O1245" s="131"/>
      <c r="P1245" s="152"/>
    </row>
    <row r="1246" spans="1:16" s="28" customFormat="1" x14ac:dyDescent="0.25">
      <c r="A1246" s="53"/>
      <c r="B1246" s="58"/>
      <c r="C1246" s="58"/>
      <c r="D1246" s="35"/>
      <c r="E1246" s="131"/>
      <c r="F1246" s="131"/>
      <c r="G1246" s="131"/>
      <c r="H1246" s="131"/>
      <c r="I1246" s="131"/>
      <c r="J1246" s="131"/>
      <c r="K1246" s="131"/>
      <c r="L1246" s="131"/>
      <c r="M1246" s="131"/>
      <c r="N1246" s="131"/>
      <c r="O1246" s="131"/>
      <c r="P1246" s="152"/>
    </row>
    <row r="1247" spans="1:16" s="28" customFormat="1" x14ac:dyDescent="0.25">
      <c r="A1247" s="53"/>
      <c r="B1247" s="58"/>
      <c r="C1247" s="58"/>
      <c r="D1247" s="35"/>
      <c r="E1247" s="131"/>
      <c r="F1247" s="131"/>
      <c r="G1247" s="131"/>
      <c r="H1247" s="131"/>
      <c r="I1247" s="131"/>
      <c r="J1247" s="131"/>
      <c r="K1247" s="131"/>
      <c r="L1247" s="131"/>
      <c r="M1247" s="131"/>
      <c r="N1247" s="131"/>
      <c r="O1247" s="131"/>
      <c r="P1247" s="152"/>
    </row>
    <row r="1248" spans="1:16" s="28" customFormat="1" x14ac:dyDescent="0.25">
      <c r="A1248" s="53"/>
      <c r="B1248" s="58"/>
      <c r="C1248" s="58"/>
      <c r="D1248" s="35"/>
      <c r="E1248" s="131"/>
      <c r="F1248" s="131"/>
      <c r="G1248" s="131"/>
      <c r="H1248" s="131"/>
      <c r="I1248" s="131"/>
      <c r="J1248" s="131"/>
      <c r="K1248" s="131"/>
      <c r="L1248" s="131"/>
      <c r="M1248" s="131"/>
      <c r="N1248" s="131"/>
      <c r="O1248" s="131"/>
      <c r="P1248" s="152"/>
    </row>
    <row r="1249" spans="1:16" s="28" customFormat="1" x14ac:dyDescent="0.25">
      <c r="A1249" s="53"/>
      <c r="B1249" s="58"/>
      <c r="C1249" s="58"/>
      <c r="D1249" s="35"/>
      <c r="E1249" s="131"/>
      <c r="F1249" s="131"/>
      <c r="G1249" s="131"/>
      <c r="H1249" s="131"/>
      <c r="I1249" s="131"/>
      <c r="J1249" s="131"/>
      <c r="K1249" s="131"/>
      <c r="L1249" s="131"/>
      <c r="M1249" s="131"/>
      <c r="N1249" s="131"/>
      <c r="O1249" s="131"/>
      <c r="P1249" s="152"/>
    </row>
    <row r="1250" spans="1:16" s="28" customFormat="1" x14ac:dyDescent="0.25">
      <c r="A1250" s="53"/>
      <c r="B1250" s="58"/>
      <c r="C1250" s="58"/>
      <c r="D1250" s="35"/>
      <c r="E1250" s="131"/>
      <c r="F1250" s="131"/>
      <c r="G1250" s="131"/>
      <c r="H1250" s="131"/>
      <c r="I1250" s="131"/>
      <c r="J1250" s="131"/>
      <c r="K1250" s="131"/>
      <c r="L1250" s="131"/>
      <c r="M1250" s="131"/>
      <c r="N1250" s="131"/>
      <c r="O1250" s="131"/>
      <c r="P1250" s="152"/>
    </row>
    <row r="1251" spans="1:16" s="28" customFormat="1" x14ac:dyDescent="0.25">
      <c r="A1251" s="53"/>
      <c r="B1251" s="58"/>
      <c r="C1251" s="58"/>
      <c r="D1251" s="35"/>
      <c r="E1251" s="131"/>
      <c r="F1251" s="131"/>
      <c r="G1251" s="131"/>
      <c r="H1251" s="131"/>
      <c r="I1251" s="131"/>
      <c r="J1251" s="131"/>
      <c r="K1251" s="131"/>
      <c r="L1251" s="131"/>
      <c r="M1251" s="131"/>
      <c r="N1251" s="131"/>
      <c r="O1251" s="131"/>
      <c r="P1251" s="152"/>
    </row>
    <row r="1252" spans="1:16" s="28" customFormat="1" x14ac:dyDescent="0.25">
      <c r="A1252" s="53"/>
      <c r="B1252" s="58"/>
      <c r="C1252" s="58"/>
      <c r="D1252" s="35"/>
      <c r="E1252" s="131"/>
      <c r="F1252" s="131"/>
      <c r="G1252" s="131"/>
      <c r="H1252" s="131"/>
      <c r="I1252" s="131"/>
      <c r="J1252" s="131"/>
      <c r="K1252" s="131"/>
      <c r="L1252" s="131"/>
      <c r="M1252" s="131"/>
      <c r="N1252" s="131"/>
      <c r="O1252" s="131"/>
      <c r="P1252" s="152"/>
    </row>
    <row r="1253" spans="1:16" s="28" customFormat="1" x14ac:dyDescent="0.25">
      <c r="A1253" s="53"/>
      <c r="B1253" s="58"/>
      <c r="C1253" s="58"/>
      <c r="D1253" s="35"/>
      <c r="E1253" s="131"/>
      <c r="F1253" s="131"/>
      <c r="G1253" s="131"/>
      <c r="H1253" s="131"/>
      <c r="I1253" s="131"/>
      <c r="J1253" s="131"/>
      <c r="K1253" s="131"/>
      <c r="L1253" s="131"/>
      <c r="M1253" s="131"/>
      <c r="N1253" s="131"/>
      <c r="O1253" s="131"/>
      <c r="P1253" s="152"/>
    </row>
    <row r="1254" spans="1:16" s="28" customFormat="1" x14ac:dyDescent="0.25">
      <c r="A1254" s="53"/>
      <c r="B1254" s="58"/>
      <c r="C1254" s="58"/>
      <c r="D1254" s="35"/>
      <c r="E1254" s="131"/>
      <c r="F1254" s="131"/>
      <c r="G1254" s="131"/>
      <c r="H1254" s="131"/>
      <c r="I1254" s="131"/>
      <c r="J1254" s="131"/>
      <c r="K1254" s="131"/>
      <c r="L1254" s="131"/>
      <c r="M1254" s="131"/>
      <c r="N1254" s="131"/>
      <c r="O1254" s="131"/>
      <c r="P1254" s="152"/>
    </row>
    <row r="1255" spans="1:16" s="28" customFormat="1" x14ac:dyDescent="0.25">
      <c r="A1255" s="53"/>
      <c r="B1255" s="58"/>
      <c r="C1255" s="58"/>
      <c r="D1255" s="35"/>
      <c r="E1255" s="131"/>
      <c r="F1255" s="131"/>
      <c r="G1255" s="131"/>
      <c r="H1255" s="131"/>
      <c r="I1255" s="131"/>
      <c r="J1255" s="131"/>
      <c r="K1255" s="131"/>
      <c r="L1255" s="131"/>
      <c r="M1255" s="131"/>
      <c r="N1255" s="131"/>
      <c r="O1255" s="131"/>
      <c r="P1255" s="152"/>
    </row>
    <row r="1256" spans="1:16" s="28" customFormat="1" x14ac:dyDescent="0.25">
      <c r="A1256" s="53"/>
      <c r="B1256" s="58"/>
      <c r="C1256" s="58"/>
      <c r="D1256" s="35"/>
      <c r="E1256" s="131"/>
      <c r="F1256" s="131"/>
      <c r="G1256" s="131"/>
      <c r="H1256" s="131"/>
      <c r="I1256" s="131"/>
      <c r="J1256" s="131"/>
      <c r="K1256" s="131"/>
      <c r="L1256" s="131"/>
      <c r="M1256" s="131"/>
      <c r="N1256" s="131"/>
      <c r="O1256" s="131"/>
      <c r="P1256" s="152"/>
    </row>
    <row r="1257" spans="1:16" s="28" customFormat="1" x14ac:dyDescent="0.25">
      <c r="A1257" s="53"/>
      <c r="B1257" s="58"/>
      <c r="C1257" s="58"/>
      <c r="D1257" s="35"/>
      <c r="E1257" s="131"/>
      <c r="F1257" s="131"/>
      <c r="G1257" s="131"/>
      <c r="H1257" s="131"/>
      <c r="I1257" s="131"/>
      <c r="J1257" s="131"/>
      <c r="K1257" s="131"/>
      <c r="L1257" s="131"/>
      <c r="M1257" s="131"/>
      <c r="N1257" s="131"/>
      <c r="O1257" s="131"/>
      <c r="P1257" s="152"/>
    </row>
    <row r="1258" spans="1:16" s="28" customFormat="1" x14ac:dyDescent="0.25">
      <c r="A1258" s="53"/>
      <c r="B1258" s="58"/>
      <c r="C1258" s="58"/>
      <c r="D1258" s="35"/>
      <c r="E1258" s="131"/>
      <c r="F1258" s="131"/>
      <c r="G1258" s="131"/>
      <c r="H1258" s="131"/>
      <c r="I1258" s="131"/>
      <c r="J1258" s="131"/>
      <c r="K1258" s="131"/>
      <c r="L1258" s="131"/>
      <c r="M1258" s="131"/>
      <c r="N1258" s="131"/>
      <c r="O1258" s="131"/>
      <c r="P1258" s="152"/>
    </row>
    <row r="1259" spans="1:16" s="28" customFormat="1" x14ac:dyDescent="0.25">
      <c r="A1259" s="53"/>
      <c r="B1259" s="58"/>
      <c r="C1259" s="58"/>
      <c r="D1259" s="35"/>
      <c r="E1259" s="131"/>
      <c r="F1259" s="131"/>
      <c r="G1259" s="131"/>
      <c r="H1259" s="131"/>
      <c r="I1259" s="131"/>
      <c r="J1259" s="131"/>
      <c r="K1259" s="131"/>
      <c r="L1259" s="131"/>
      <c r="M1259" s="131"/>
      <c r="N1259" s="131"/>
      <c r="O1259" s="131"/>
      <c r="P1259" s="152"/>
    </row>
    <row r="1260" spans="1:16" s="28" customFormat="1" x14ac:dyDescent="0.25">
      <c r="A1260" s="53"/>
      <c r="B1260" s="58"/>
      <c r="C1260" s="58"/>
      <c r="D1260" s="35"/>
      <c r="E1260" s="131"/>
      <c r="F1260" s="131"/>
      <c r="G1260" s="131"/>
      <c r="H1260" s="131"/>
      <c r="I1260" s="131"/>
      <c r="J1260" s="131"/>
      <c r="K1260" s="131"/>
      <c r="L1260" s="131"/>
      <c r="M1260" s="131"/>
      <c r="N1260" s="131"/>
      <c r="O1260" s="131"/>
      <c r="P1260" s="152"/>
    </row>
    <row r="1261" spans="1:16" s="28" customFormat="1" x14ac:dyDescent="0.25">
      <c r="A1261" s="53"/>
      <c r="B1261" s="58"/>
      <c r="C1261" s="58"/>
      <c r="D1261" s="35"/>
      <c r="E1261" s="131"/>
      <c r="F1261" s="131"/>
      <c r="G1261" s="131"/>
      <c r="H1261" s="131"/>
      <c r="I1261" s="131"/>
      <c r="J1261" s="131"/>
      <c r="K1261" s="131"/>
      <c r="L1261" s="131"/>
      <c r="M1261" s="131"/>
      <c r="N1261" s="131"/>
      <c r="O1261" s="131"/>
      <c r="P1261" s="152"/>
    </row>
    <row r="1262" spans="1:16" s="28" customFormat="1" x14ac:dyDescent="0.25">
      <c r="A1262" s="53"/>
      <c r="B1262" s="58"/>
      <c r="C1262" s="58"/>
      <c r="D1262" s="35"/>
      <c r="E1262" s="131"/>
      <c r="F1262" s="131"/>
      <c r="G1262" s="131"/>
      <c r="H1262" s="131"/>
      <c r="I1262" s="131"/>
      <c r="J1262" s="131"/>
      <c r="K1262" s="131"/>
      <c r="L1262" s="131"/>
      <c r="M1262" s="131"/>
      <c r="N1262" s="131"/>
      <c r="O1262" s="131"/>
      <c r="P1262" s="152"/>
    </row>
    <row r="1263" spans="1:16" s="28" customFormat="1" x14ac:dyDescent="0.25">
      <c r="A1263" s="53"/>
      <c r="B1263" s="58"/>
      <c r="C1263" s="58"/>
      <c r="D1263" s="35"/>
      <c r="E1263" s="131"/>
      <c r="F1263" s="131"/>
      <c r="G1263" s="131"/>
      <c r="H1263" s="131"/>
      <c r="I1263" s="131"/>
      <c r="J1263" s="131"/>
      <c r="K1263" s="131"/>
      <c r="L1263" s="131"/>
      <c r="M1263" s="131"/>
      <c r="N1263" s="131"/>
      <c r="O1263" s="131"/>
      <c r="P1263" s="152"/>
    </row>
    <row r="1264" spans="1:16" s="28" customFormat="1" x14ac:dyDescent="0.25">
      <c r="A1264" s="53"/>
      <c r="B1264" s="58"/>
      <c r="C1264" s="58"/>
      <c r="D1264" s="35"/>
      <c r="E1264" s="131"/>
      <c r="F1264" s="131"/>
      <c r="G1264" s="131"/>
      <c r="H1264" s="131"/>
      <c r="I1264" s="131"/>
      <c r="J1264" s="131"/>
      <c r="K1264" s="131"/>
      <c r="L1264" s="131"/>
      <c r="M1264" s="131"/>
      <c r="N1264" s="131"/>
      <c r="O1264" s="131"/>
      <c r="P1264" s="152"/>
    </row>
    <row r="1265" spans="1:16" s="28" customFormat="1" x14ac:dyDescent="0.25">
      <c r="A1265" s="53"/>
      <c r="B1265" s="58"/>
      <c r="C1265" s="58"/>
      <c r="D1265" s="35"/>
      <c r="E1265" s="131"/>
      <c r="F1265" s="131"/>
      <c r="G1265" s="131"/>
      <c r="H1265" s="131"/>
      <c r="I1265" s="131"/>
      <c r="J1265" s="131"/>
      <c r="K1265" s="131"/>
      <c r="L1265" s="131"/>
      <c r="M1265" s="131"/>
      <c r="N1265" s="131"/>
      <c r="O1265" s="131"/>
      <c r="P1265" s="152"/>
    </row>
    <row r="1266" spans="1:16" s="28" customFormat="1" x14ac:dyDescent="0.25">
      <c r="A1266" s="53"/>
      <c r="B1266" s="58"/>
      <c r="C1266" s="58"/>
      <c r="D1266" s="35"/>
      <c r="E1266" s="131"/>
      <c r="F1266" s="131"/>
      <c r="G1266" s="131"/>
      <c r="H1266" s="131"/>
      <c r="I1266" s="131"/>
      <c r="J1266" s="131"/>
      <c r="K1266" s="131"/>
      <c r="L1266" s="131"/>
      <c r="M1266" s="131"/>
      <c r="N1266" s="131"/>
      <c r="O1266" s="131"/>
      <c r="P1266" s="152"/>
    </row>
    <row r="1267" spans="1:16" s="28" customFormat="1" x14ac:dyDescent="0.25">
      <c r="A1267" s="53"/>
      <c r="B1267" s="58"/>
      <c r="C1267" s="58"/>
      <c r="D1267" s="35"/>
      <c r="E1267" s="131"/>
      <c r="F1267" s="131"/>
      <c r="G1267" s="131"/>
      <c r="H1267" s="131"/>
      <c r="I1267" s="131"/>
      <c r="J1267" s="131"/>
      <c r="K1267" s="131"/>
      <c r="L1267" s="131"/>
      <c r="M1267" s="131"/>
      <c r="N1267" s="131"/>
      <c r="O1267" s="131"/>
      <c r="P1267" s="152"/>
    </row>
    <row r="1268" spans="1:16" s="28" customFormat="1" x14ac:dyDescent="0.25">
      <c r="A1268" s="53"/>
      <c r="B1268" s="58"/>
      <c r="C1268" s="58"/>
      <c r="D1268" s="35"/>
      <c r="E1268" s="131"/>
      <c r="F1268" s="131"/>
      <c r="G1268" s="131"/>
      <c r="H1268" s="131"/>
      <c r="I1268" s="131"/>
      <c r="J1268" s="131"/>
      <c r="K1268" s="131"/>
      <c r="L1268" s="131"/>
      <c r="M1268" s="131"/>
      <c r="N1268" s="131"/>
      <c r="O1268" s="131"/>
      <c r="P1268" s="152"/>
    </row>
    <row r="1269" spans="1:16" s="28" customFormat="1" x14ac:dyDescent="0.25">
      <c r="A1269" s="53"/>
      <c r="B1269" s="58"/>
      <c r="C1269" s="58"/>
      <c r="D1269" s="35"/>
      <c r="E1269" s="131"/>
      <c r="F1269" s="131"/>
      <c r="G1269" s="131"/>
      <c r="H1269" s="131"/>
      <c r="I1269" s="131"/>
      <c r="J1269" s="131"/>
      <c r="K1269" s="131"/>
      <c r="L1269" s="131"/>
      <c r="M1269" s="131"/>
      <c r="N1269" s="131"/>
      <c r="O1269" s="131"/>
      <c r="P1269" s="152"/>
    </row>
    <row r="1270" spans="1:16" s="28" customFormat="1" x14ac:dyDescent="0.25">
      <c r="A1270" s="53"/>
      <c r="B1270" s="58"/>
      <c r="C1270" s="58"/>
      <c r="D1270" s="35"/>
      <c r="E1270" s="131"/>
      <c r="F1270" s="131"/>
      <c r="G1270" s="131"/>
      <c r="H1270" s="131"/>
      <c r="I1270" s="131"/>
      <c r="J1270" s="131"/>
      <c r="K1270" s="131"/>
      <c r="L1270" s="131"/>
      <c r="M1270" s="131"/>
      <c r="N1270" s="131"/>
      <c r="O1270" s="131"/>
      <c r="P1270" s="152"/>
    </row>
    <row r="1271" spans="1:16" s="28" customFormat="1" x14ac:dyDescent="0.25">
      <c r="A1271" s="53"/>
      <c r="B1271" s="58"/>
      <c r="C1271" s="58"/>
      <c r="D1271" s="35"/>
      <c r="E1271" s="131"/>
      <c r="F1271" s="131"/>
      <c r="G1271" s="131"/>
      <c r="H1271" s="131"/>
      <c r="I1271" s="131"/>
      <c r="J1271" s="131"/>
      <c r="K1271" s="131"/>
      <c r="L1271" s="131"/>
      <c r="M1271" s="131"/>
      <c r="N1271" s="131"/>
      <c r="O1271" s="131"/>
      <c r="P1271" s="152"/>
    </row>
    <row r="1272" spans="1:16" s="28" customFormat="1" x14ac:dyDescent="0.25">
      <c r="A1272" s="53"/>
      <c r="B1272" s="58"/>
      <c r="C1272" s="58"/>
      <c r="D1272" s="35"/>
      <c r="E1272" s="131"/>
      <c r="F1272" s="131"/>
      <c r="G1272" s="131"/>
      <c r="H1272" s="131"/>
      <c r="I1272" s="131"/>
      <c r="J1272" s="131"/>
      <c r="K1272" s="131"/>
      <c r="L1272" s="131"/>
      <c r="M1272" s="131"/>
      <c r="N1272" s="131"/>
      <c r="O1272" s="131"/>
      <c r="P1272" s="152"/>
    </row>
    <row r="1273" spans="1:16" s="28" customFormat="1" x14ac:dyDescent="0.25">
      <c r="A1273" s="53"/>
      <c r="B1273" s="58"/>
      <c r="C1273" s="58"/>
      <c r="D1273" s="35"/>
      <c r="E1273" s="131"/>
      <c r="F1273" s="131"/>
      <c r="G1273" s="131"/>
      <c r="H1273" s="131"/>
      <c r="I1273" s="131"/>
      <c r="J1273" s="131"/>
      <c r="K1273" s="131"/>
      <c r="L1273" s="131"/>
      <c r="M1273" s="131"/>
      <c r="N1273" s="131"/>
      <c r="O1273" s="131"/>
      <c r="P1273" s="152"/>
    </row>
    <row r="1274" spans="1:16" s="28" customFormat="1" x14ac:dyDescent="0.25">
      <c r="A1274" s="53"/>
      <c r="B1274" s="58"/>
      <c r="C1274" s="58"/>
      <c r="D1274" s="35"/>
      <c r="E1274" s="131"/>
      <c r="F1274" s="131"/>
      <c r="G1274" s="131"/>
      <c r="H1274" s="131"/>
      <c r="I1274" s="131"/>
      <c r="J1274" s="131"/>
      <c r="K1274" s="131"/>
      <c r="L1274" s="131"/>
      <c r="M1274" s="131"/>
      <c r="N1274" s="131"/>
      <c r="O1274" s="131"/>
      <c r="P1274" s="152"/>
    </row>
    <row r="1275" spans="1:16" s="28" customFormat="1" x14ac:dyDescent="0.25">
      <c r="A1275" s="53"/>
      <c r="B1275" s="58"/>
      <c r="C1275" s="58"/>
      <c r="D1275" s="35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52"/>
    </row>
    <row r="1276" spans="1:16" s="28" customFormat="1" x14ac:dyDescent="0.25">
      <c r="A1276" s="53"/>
      <c r="B1276" s="58"/>
      <c r="C1276" s="58"/>
      <c r="D1276" s="35"/>
      <c r="E1276" s="131"/>
      <c r="F1276" s="131"/>
      <c r="G1276" s="131"/>
      <c r="H1276" s="131"/>
      <c r="I1276" s="131"/>
      <c r="J1276" s="131"/>
      <c r="K1276" s="131"/>
      <c r="L1276" s="131"/>
      <c r="M1276" s="131"/>
      <c r="N1276" s="131"/>
      <c r="O1276" s="131"/>
      <c r="P1276" s="152"/>
    </row>
    <row r="1277" spans="1:16" s="28" customFormat="1" x14ac:dyDescent="0.25">
      <c r="A1277" s="53"/>
      <c r="B1277" s="58"/>
      <c r="C1277" s="58"/>
      <c r="D1277" s="35"/>
      <c r="E1277" s="131"/>
      <c r="F1277" s="131"/>
      <c r="G1277" s="131"/>
      <c r="H1277" s="131"/>
      <c r="I1277" s="131"/>
      <c r="J1277" s="131"/>
      <c r="K1277" s="131"/>
      <c r="L1277" s="131"/>
      <c r="M1277" s="131"/>
      <c r="N1277" s="131"/>
      <c r="O1277" s="131"/>
      <c r="P1277" s="152"/>
    </row>
    <row r="1278" spans="1:16" s="28" customFormat="1" x14ac:dyDescent="0.25">
      <c r="A1278" s="53"/>
      <c r="B1278" s="58"/>
      <c r="C1278" s="58"/>
      <c r="D1278" s="35"/>
      <c r="E1278" s="131"/>
      <c r="F1278" s="131"/>
      <c r="G1278" s="131"/>
      <c r="H1278" s="131"/>
      <c r="I1278" s="131"/>
      <c r="J1278" s="131"/>
      <c r="K1278" s="131"/>
      <c r="L1278" s="131"/>
      <c r="M1278" s="131"/>
      <c r="N1278" s="131"/>
      <c r="O1278" s="131"/>
      <c r="P1278" s="152"/>
    </row>
    <row r="1279" spans="1:16" s="28" customFormat="1" x14ac:dyDescent="0.25">
      <c r="A1279" s="53"/>
      <c r="B1279" s="58"/>
      <c r="C1279" s="58"/>
      <c r="D1279" s="35"/>
      <c r="E1279" s="131"/>
      <c r="F1279" s="131"/>
      <c r="G1279" s="131"/>
      <c r="H1279" s="131"/>
      <c r="I1279" s="131"/>
      <c r="J1279" s="131"/>
      <c r="K1279" s="131"/>
      <c r="L1279" s="131"/>
      <c r="M1279" s="131"/>
      <c r="N1279" s="131"/>
      <c r="O1279" s="131"/>
      <c r="P1279" s="152"/>
    </row>
    <row r="1280" spans="1:16" s="28" customFormat="1" x14ac:dyDescent="0.25">
      <c r="A1280" s="53"/>
      <c r="B1280" s="58"/>
      <c r="C1280" s="58"/>
      <c r="D1280" s="35"/>
      <c r="E1280" s="131"/>
      <c r="F1280" s="131"/>
      <c r="G1280" s="131"/>
      <c r="H1280" s="131"/>
      <c r="I1280" s="131"/>
      <c r="J1280" s="131"/>
      <c r="K1280" s="131"/>
      <c r="L1280" s="131"/>
      <c r="M1280" s="131"/>
      <c r="N1280" s="131"/>
      <c r="O1280" s="131"/>
      <c r="P1280" s="152"/>
    </row>
    <row r="1281" spans="1:16" s="28" customFormat="1" x14ac:dyDescent="0.25">
      <c r="A1281" s="53"/>
      <c r="B1281" s="58"/>
      <c r="C1281" s="58"/>
      <c r="D1281" s="35"/>
      <c r="E1281" s="131"/>
      <c r="F1281" s="131"/>
      <c r="G1281" s="131"/>
      <c r="H1281" s="131"/>
      <c r="I1281" s="131"/>
      <c r="J1281" s="131"/>
      <c r="K1281" s="131"/>
      <c r="L1281" s="131"/>
      <c r="M1281" s="131"/>
      <c r="N1281" s="131"/>
      <c r="O1281" s="131"/>
      <c r="P1281" s="152"/>
    </row>
    <row r="1282" spans="1:16" s="28" customFormat="1" x14ac:dyDescent="0.25">
      <c r="A1282" s="53"/>
      <c r="B1282" s="58"/>
      <c r="C1282" s="58"/>
      <c r="D1282" s="35"/>
      <c r="E1282" s="131"/>
      <c r="F1282" s="131"/>
      <c r="G1282" s="131"/>
      <c r="H1282" s="131"/>
      <c r="I1282" s="131"/>
      <c r="J1282" s="131"/>
      <c r="K1282" s="131"/>
      <c r="L1282" s="131"/>
      <c r="M1282" s="131"/>
      <c r="N1282" s="131"/>
      <c r="O1282" s="131"/>
      <c r="P1282" s="152"/>
    </row>
    <row r="1283" spans="1:16" s="28" customFormat="1" x14ac:dyDescent="0.25">
      <c r="A1283" s="53"/>
      <c r="B1283" s="58"/>
      <c r="C1283" s="58"/>
      <c r="D1283" s="35"/>
      <c r="E1283" s="131"/>
      <c r="F1283" s="131"/>
      <c r="G1283" s="131"/>
      <c r="H1283" s="131"/>
      <c r="I1283" s="131"/>
      <c r="J1283" s="131"/>
      <c r="K1283" s="131"/>
      <c r="L1283" s="131"/>
      <c r="M1283" s="131"/>
      <c r="N1283" s="131"/>
      <c r="O1283" s="131"/>
      <c r="P1283" s="152"/>
    </row>
    <row r="1284" spans="1:16" s="28" customFormat="1" x14ac:dyDescent="0.25">
      <c r="A1284" s="53"/>
      <c r="B1284" s="58"/>
      <c r="C1284" s="58"/>
      <c r="D1284" s="35"/>
      <c r="E1284" s="131"/>
      <c r="F1284" s="131"/>
      <c r="G1284" s="131"/>
      <c r="H1284" s="131"/>
      <c r="I1284" s="131"/>
      <c r="J1284" s="131"/>
      <c r="K1284" s="131"/>
      <c r="L1284" s="131"/>
      <c r="M1284" s="131"/>
      <c r="N1284" s="131"/>
      <c r="O1284" s="131"/>
      <c r="P1284" s="152"/>
    </row>
    <row r="1285" spans="1:16" s="28" customFormat="1" x14ac:dyDescent="0.25">
      <c r="A1285" s="53"/>
      <c r="B1285" s="58"/>
      <c r="C1285" s="58"/>
      <c r="D1285" s="35"/>
      <c r="E1285" s="131"/>
      <c r="F1285" s="131"/>
      <c r="G1285" s="131"/>
      <c r="H1285" s="131"/>
      <c r="I1285" s="131"/>
      <c r="J1285" s="131"/>
      <c r="K1285" s="131"/>
      <c r="L1285" s="131"/>
      <c r="M1285" s="131"/>
      <c r="N1285" s="131"/>
      <c r="O1285" s="131"/>
      <c r="P1285" s="152"/>
    </row>
    <row r="1286" spans="1:16" s="28" customFormat="1" x14ac:dyDescent="0.25">
      <c r="A1286" s="53"/>
      <c r="B1286" s="58"/>
      <c r="C1286" s="58"/>
      <c r="D1286" s="35"/>
      <c r="E1286" s="131"/>
      <c r="F1286" s="131"/>
      <c r="G1286" s="131"/>
      <c r="H1286" s="131"/>
      <c r="I1286" s="131"/>
      <c r="J1286" s="131"/>
      <c r="K1286" s="131"/>
      <c r="L1286" s="131"/>
      <c r="M1286" s="131"/>
      <c r="N1286" s="131"/>
      <c r="O1286" s="131"/>
      <c r="P1286" s="152"/>
    </row>
    <row r="1287" spans="1:16" s="28" customFormat="1" x14ac:dyDescent="0.25">
      <c r="A1287" s="53"/>
      <c r="B1287" s="58"/>
      <c r="C1287" s="58"/>
      <c r="D1287" s="35"/>
      <c r="E1287" s="131"/>
      <c r="F1287" s="131"/>
      <c r="G1287" s="131"/>
      <c r="H1287" s="131"/>
      <c r="I1287" s="131"/>
      <c r="J1287" s="131"/>
      <c r="K1287" s="131"/>
      <c r="L1287" s="131"/>
      <c r="M1287" s="131"/>
      <c r="N1287" s="131"/>
      <c r="O1287" s="131"/>
      <c r="P1287" s="152"/>
    </row>
    <row r="1288" spans="1:16" s="28" customFormat="1" x14ac:dyDescent="0.25">
      <c r="A1288" s="53"/>
      <c r="B1288" s="58"/>
      <c r="C1288" s="58"/>
      <c r="D1288" s="35"/>
      <c r="E1288" s="131"/>
      <c r="F1288" s="131"/>
      <c r="G1288" s="131"/>
      <c r="H1288" s="131"/>
      <c r="I1288" s="131"/>
      <c r="J1288" s="131"/>
      <c r="K1288" s="131"/>
      <c r="L1288" s="131"/>
      <c r="M1288" s="131"/>
      <c r="N1288" s="131"/>
      <c r="O1288" s="131"/>
      <c r="P1288" s="152"/>
    </row>
    <row r="1289" spans="1:16" s="28" customFormat="1" x14ac:dyDescent="0.25">
      <c r="A1289" s="53"/>
      <c r="B1289" s="58"/>
      <c r="C1289" s="58"/>
      <c r="D1289" s="35"/>
      <c r="E1289" s="131"/>
      <c r="F1289" s="131"/>
      <c r="G1289" s="131"/>
      <c r="H1289" s="131"/>
      <c r="I1289" s="131"/>
      <c r="J1289" s="131"/>
      <c r="K1289" s="131"/>
      <c r="L1289" s="131"/>
      <c r="M1289" s="131"/>
      <c r="N1289" s="131"/>
      <c r="O1289" s="131"/>
      <c r="P1289" s="152"/>
    </row>
    <row r="1290" spans="1:16" s="28" customFormat="1" x14ac:dyDescent="0.25">
      <c r="A1290" s="53"/>
      <c r="B1290" s="58"/>
      <c r="C1290" s="58"/>
      <c r="D1290" s="35"/>
      <c r="E1290" s="131"/>
      <c r="F1290" s="131"/>
      <c r="G1290" s="131"/>
      <c r="H1290" s="131"/>
      <c r="I1290" s="131"/>
      <c r="J1290" s="131"/>
      <c r="K1290" s="131"/>
      <c r="L1290" s="131"/>
      <c r="M1290" s="131"/>
      <c r="N1290" s="131"/>
      <c r="O1290" s="131"/>
      <c r="P1290" s="152"/>
    </row>
    <row r="1291" spans="1:16" s="28" customFormat="1" x14ac:dyDescent="0.25">
      <c r="A1291" s="53"/>
      <c r="B1291" s="58"/>
      <c r="C1291" s="58"/>
      <c r="D1291" s="35"/>
      <c r="E1291" s="131"/>
      <c r="F1291" s="131"/>
      <c r="G1291" s="131"/>
      <c r="H1291" s="131"/>
      <c r="I1291" s="131"/>
      <c r="J1291" s="131"/>
      <c r="K1291" s="131"/>
      <c r="L1291" s="131"/>
      <c r="M1291" s="131"/>
      <c r="N1291" s="131"/>
      <c r="O1291" s="131"/>
      <c r="P1291" s="152"/>
    </row>
    <row r="1292" spans="1:16" s="28" customFormat="1" x14ac:dyDescent="0.25">
      <c r="A1292" s="53"/>
      <c r="B1292" s="58"/>
      <c r="C1292" s="58"/>
      <c r="D1292" s="35"/>
      <c r="E1292" s="131"/>
      <c r="F1292" s="131"/>
      <c r="G1292" s="131"/>
      <c r="H1292" s="131"/>
      <c r="I1292" s="131"/>
      <c r="J1292" s="131"/>
      <c r="K1292" s="131"/>
      <c r="L1292" s="131"/>
      <c r="M1292" s="131"/>
      <c r="N1292" s="131"/>
      <c r="O1292" s="131"/>
      <c r="P1292" s="152"/>
    </row>
    <row r="1293" spans="1:16" s="28" customFormat="1" x14ac:dyDescent="0.25">
      <c r="A1293" s="53"/>
      <c r="B1293" s="58"/>
      <c r="C1293" s="58"/>
      <c r="D1293" s="35"/>
      <c r="E1293" s="131"/>
      <c r="F1293" s="131"/>
      <c r="G1293" s="131"/>
      <c r="H1293" s="131"/>
      <c r="I1293" s="131"/>
      <c r="J1293" s="131"/>
      <c r="K1293" s="131"/>
      <c r="L1293" s="131"/>
      <c r="M1293" s="131"/>
      <c r="N1293" s="131"/>
      <c r="O1293" s="131"/>
      <c r="P1293" s="152"/>
    </row>
    <row r="1294" spans="1:16" s="28" customFormat="1" x14ac:dyDescent="0.25">
      <c r="A1294" s="53"/>
      <c r="B1294" s="58"/>
      <c r="C1294" s="58"/>
      <c r="D1294" s="35"/>
      <c r="E1294" s="131"/>
      <c r="F1294" s="131"/>
      <c r="G1294" s="131"/>
      <c r="H1294" s="131"/>
      <c r="I1294" s="131"/>
      <c r="J1294" s="131"/>
      <c r="K1294" s="131"/>
      <c r="L1294" s="131"/>
      <c r="M1294" s="131"/>
      <c r="N1294" s="131"/>
      <c r="O1294" s="131"/>
      <c r="P1294" s="152"/>
    </row>
    <row r="1295" spans="1:16" s="28" customFormat="1" x14ac:dyDescent="0.25">
      <c r="A1295" s="53"/>
      <c r="B1295" s="58"/>
      <c r="C1295" s="58"/>
      <c r="D1295" s="35"/>
      <c r="E1295" s="131"/>
      <c r="F1295" s="131"/>
      <c r="G1295" s="131"/>
      <c r="H1295" s="131"/>
      <c r="I1295" s="131"/>
      <c r="J1295" s="131"/>
      <c r="K1295" s="131"/>
      <c r="L1295" s="131"/>
      <c r="M1295" s="131"/>
      <c r="N1295" s="131"/>
      <c r="O1295" s="131"/>
      <c r="P1295" s="152"/>
    </row>
    <row r="1296" spans="1:16" s="28" customFormat="1" x14ac:dyDescent="0.25">
      <c r="A1296" s="53"/>
      <c r="B1296" s="58"/>
      <c r="C1296" s="58"/>
      <c r="D1296" s="35"/>
      <c r="E1296" s="131"/>
      <c r="F1296" s="131"/>
      <c r="G1296" s="131"/>
      <c r="H1296" s="131"/>
      <c r="I1296" s="131"/>
      <c r="J1296" s="131"/>
      <c r="K1296" s="131"/>
      <c r="L1296" s="131"/>
      <c r="M1296" s="131"/>
      <c r="N1296" s="131"/>
      <c r="O1296" s="131"/>
      <c r="P1296" s="152"/>
    </row>
    <row r="1297" spans="1:16" s="28" customFormat="1" x14ac:dyDescent="0.25">
      <c r="A1297" s="53"/>
      <c r="B1297" s="58"/>
      <c r="C1297" s="58"/>
      <c r="D1297" s="35"/>
      <c r="E1297" s="131"/>
      <c r="F1297" s="131"/>
      <c r="G1297" s="131"/>
      <c r="H1297" s="131"/>
      <c r="I1297" s="131"/>
      <c r="J1297" s="131"/>
      <c r="K1297" s="131"/>
      <c r="L1297" s="131"/>
      <c r="M1297" s="131"/>
      <c r="N1297" s="131"/>
      <c r="O1297" s="131"/>
      <c r="P1297" s="152"/>
    </row>
    <row r="1298" spans="1:16" s="28" customFormat="1" x14ac:dyDescent="0.25">
      <c r="A1298" s="53"/>
      <c r="B1298" s="58"/>
      <c r="C1298" s="58"/>
      <c r="D1298" s="35"/>
      <c r="E1298" s="131"/>
      <c r="F1298" s="131"/>
      <c r="G1298" s="131"/>
      <c r="H1298" s="131"/>
      <c r="I1298" s="131"/>
      <c r="J1298" s="131"/>
      <c r="K1298" s="131"/>
      <c r="L1298" s="131"/>
      <c r="M1298" s="131"/>
      <c r="N1298" s="131"/>
      <c r="O1298" s="131"/>
      <c r="P1298" s="152"/>
    </row>
    <row r="1299" spans="1:16" s="28" customFormat="1" x14ac:dyDescent="0.25">
      <c r="A1299" s="53"/>
      <c r="B1299" s="58"/>
      <c r="C1299" s="58"/>
      <c r="D1299" s="35"/>
      <c r="E1299" s="131"/>
      <c r="F1299" s="131"/>
      <c r="G1299" s="131"/>
      <c r="H1299" s="131"/>
      <c r="I1299" s="131"/>
      <c r="J1299" s="131"/>
      <c r="K1299" s="131"/>
      <c r="L1299" s="131"/>
      <c r="M1299" s="131"/>
      <c r="N1299" s="131"/>
      <c r="O1299" s="131"/>
      <c r="P1299" s="152"/>
    </row>
    <row r="1300" spans="1:16" s="28" customFormat="1" x14ac:dyDescent="0.25">
      <c r="A1300" s="53"/>
      <c r="B1300" s="58"/>
      <c r="C1300" s="58"/>
      <c r="D1300" s="35"/>
      <c r="E1300" s="131"/>
      <c r="F1300" s="131"/>
      <c r="G1300" s="131"/>
      <c r="H1300" s="131"/>
      <c r="I1300" s="131"/>
      <c r="J1300" s="131"/>
      <c r="K1300" s="131"/>
      <c r="L1300" s="131"/>
      <c r="M1300" s="131"/>
      <c r="N1300" s="131"/>
      <c r="O1300" s="131"/>
      <c r="P1300" s="152"/>
    </row>
    <row r="1301" spans="1:16" s="28" customFormat="1" x14ac:dyDescent="0.25">
      <c r="A1301" s="53"/>
      <c r="B1301" s="58"/>
      <c r="C1301" s="58"/>
      <c r="D1301" s="35"/>
      <c r="E1301" s="131"/>
      <c r="F1301" s="131"/>
      <c r="G1301" s="131"/>
      <c r="H1301" s="131"/>
      <c r="I1301" s="131"/>
      <c r="J1301" s="131"/>
      <c r="K1301" s="131"/>
      <c r="L1301" s="131"/>
      <c r="M1301" s="131"/>
      <c r="N1301" s="131"/>
      <c r="O1301" s="131"/>
      <c r="P1301" s="152"/>
    </row>
    <row r="1302" spans="1:16" s="28" customFormat="1" x14ac:dyDescent="0.25">
      <c r="A1302" s="53"/>
      <c r="B1302" s="58"/>
      <c r="C1302" s="58"/>
      <c r="D1302" s="35"/>
      <c r="E1302" s="131"/>
      <c r="F1302" s="131"/>
      <c r="G1302" s="131"/>
      <c r="H1302" s="131"/>
      <c r="I1302" s="131"/>
      <c r="J1302" s="131"/>
      <c r="K1302" s="131"/>
      <c r="L1302" s="131"/>
      <c r="M1302" s="131"/>
      <c r="N1302" s="131"/>
      <c r="O1302" s="131"/>
      <c r="P1302" s="152"/>
    </row>
    <row r="1303" spans="1:16" s="28" customFormat="1" x14ac:dyDescent="0.25">
      <c r="A1303" s="53"/>
      <c r="B1303" s="58"/>
      <c r="C1303" s="58"/>
      <c r="D1303" s="35"/>
      <c r="E1303" s="131"/>
      <c r="F1303" s="131"/>
      <c r="G1303" s="131"/>
      <c r="H1303" s="131"/>
      <c r="I1303" s="131"/>
      <c r="J1303" s="131"/>
      <c r="K1303" s="131"/>
      <c r="L1303" s="131"/>
      <c r="M1303" s="131"/>
      <c r="N1303" s="131"/>
      <c r="O1303" s="131"/>
      <c r="P1303" s="152"/>
    </row>
    <row r="1304" spans="1:16" s="28" customFormat="1" x14ac:dyDescent="0.25">
      <c r="A1304" s="53"/>
      <c r="B1304" s="58"/>
      <c r="C1304" s="58"/>
      <c r="D1304" s="35"/>
      <c r="E1304" s="131"/>
      <c r="F1304" s="131"/>
      <c r="G1304" s="131"/>
      <c r="H1304" s="131"/>
      <c r="I1304" s="131"/>
      <c r="J1304" s="131"/>
      <c r="K1304" s="131"/>
      <c r="L1304" s="131"/>
      <c r="M1304" s="131"/>
      <c r="N1304" s="131"/>
      <c r="O1304" s="131"/>
      <c r="P1304" s="152"/>
    </row>
    <row r="1305" spans="1:16" s="28" customFormat="1" x14ac:dyDescent="0.25">
      <c r="A1305" s="53"/>
      <c r="B1305" s="58"/>
      <c r="C1305" s="58"/>
      <c r="D1305" s="35"/>
      <c r="E1305" s="131"/>
      <c r="F1305" s="131"/>
      <c r="G1305" s="131"/>
      <c r="H1305" s="131"/>
      <c r="I1305" s="131"/>
      <c r="J1305" s="131"/>
      <c r="K1305" s="131"/>
      <c r="L1305" s="131"/>
      <c r="M1305" s="131"/>
      <c r="N1305" s="131"/>
      <c r="O1305" s="131"/>
      <c r="P1305" s="152"/>
    </row>
    <row r="1306" spans="1:16" s="28" customFormat="1" x14ac:dyDescent="0.25">
      <c r="A1306" s="53"/>
      <c r="B1306" s="58"/>
      <c r="C1306" s="58"/>
      <c r="D1306" s="35"/>
      <c r="E1306" s="131"/>
      <c r="F1306" s="131"/>
      <c r="G1306" s="131"/>
      <c r="H1306" s="131"/>
      <c r="I1306" s="131"/>
      <c r="J1306" s="131"/>
      <c r="K1306" s="131"/>
      <c r="L1306" s="131"/>
      <c r="M1306" s="131"/>
      <c r="N1306" s="131"/>
      <c r="O1306" s="131"/>
      <c r="P1306" s="152"/>
    </row>
    <row r="1307" spans="1:16" s="28" customFormat="1" x14ac:dyDescent="0.25">
      <c r="A1307" s="53"/>
      <c r="B1307" s="58"/>
      <c r="C1307" s="58"/>
      <c r="D1307" s="35"/>
      <c r="E1307" s="131"/>
      <c r="F1307" s="131"/>
      <c r="G1307" s="131"/>
      <c r="H1307" s="131"/>
      <c r="I1307" s="131"/>
      <c r="J1307" s="131"/>
      <c r="K1307" s="131"/>
      <c r="L1307" s="131"/>
      <c r="M1307" s="131"/>
      <c r="N1307" s="131"/>
      <c r="O1307" s="131"/>
      <c r="P1307" s="152"/>
    </row>
    <row r="1308" spans="1:16" s="28" customFormat="1" x14ac:dyDescent="0.25">
      <c r="A1308" s="53"/>
      <c r="B1308" s="58"/>
      <c r="C1308" s="58"/>
      <c r="D1308" s="35"/>
      <c r="E1308" s="131"/>
      <c r="F1308" s="131"/>
      <c r="G1308" s="131"/>
      <c r="H1308" s="131"/>
      <c r="I1308" s="131"/>
      <c r="J1308" s="131"/>
      <c r="K1308" s="131"/>
      <c r="L1308" s="131"/>
      <c r="M1308" s="131"/>
      <c r="N1308" s="131"/>
      <c r="O1308" s="131"/>
      <c r="P1308" s="152"/>
    </row>
    <row r="1309" spans="1:16" s="28" customFormat="1" x14ac:dyDescent="0.25">
      <c r="A1309" s="53"/>
      <c r="B1309" s="58"/>
      <c r="C1309" s="58"/>
      <c r="D1309" s="35"/>
      <c r="E1309" s="131"/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52"/>
    </row>
    <row r="1310" spans="1:16" s="28" customFormat="1" x14ac:dyDescent="0.25">
      <c r="A1310" s="53"/>
      <c r="B1310" s="58"/>
      <c r="C1310" s="58"/>
      <c r="D1310" s="35"/>
      <c r="E1310" s="131"/>
      <c r="F1310" s="131"/>
      <c r="G1310" s="131"/>
      <c r="H1310" s="131"/>
      <c r="I1310" s="131"/>
      <c r="J1310" s="131"/>
      <c r="K1310" s="131"/>
      <c r="L1310" s="131"/>
      <c r="M1310" s="131"/>
      <c r="N1310" s="131"/>
      <c r="O1310" s="131"/>
      <c r="P1310" s="152"/>
    </row>
    <row r="1311" spans="1:16" s="28" customFormat="1" x14ac:dyDescent="0.25">
      <c r="A1311" s="53"/>
      <c r="B1311" s="58"/>
      <c r="C1311" s="58"/>
      <c r="D1311" s="35"/>
      <c r="E1311" s="131"/>
      <c r="F1311" s="131"/>
      <c r="G1311" s="131"/>
      <c r="H1311" s="131"/>
      <c r="I1311" s="131"/>
      <c r="J1311" s="131"/>
      <c r="K1311" s="131"/>
      <c r="L1311" s="131"/>
      <c r="M1311" s="131"/>
      <c r="N1311" s="131"/>
      <c r="O1311" s="131"/>
      <c r="P1311" s="152"/>
    </row>
    <row r="1312" spans="1:16" s="28" customFormat="1" x14ac:dyDescent="0.25">
      <c r="A1312" s="53"/>
      <c r="B1312" s="58"/>
      <c r="C1312" s="58"/>
      <c r="D1312" s="35"/>
      <c r="E1312" s="131"/>
      <c r="F1312" s="131"/>
      <c r="G1312" s="131"/>
      <c r="H1312" s="131"/>
      <c r="I1312" s="131"/>
      <c r="J1312" s="131"/>
      <c r="K1312" s="131"/>
      <c r="L1312" s="131"/>
      <c r="M1312" s="131"/>
      <c r="N1312" s="131"/>
      <c r="O1312" s="131"/>
      <c r="P1312" s="152"/>
    </row>
    <row r="1313" spans="1:16" s="28" customFormat="1" x14ac:dyDescent="0.25">
      <c r="A1313" s="53"/>
      <c r="B1313" s="58"/>
      <c r="C1313" s="58"/>
      <c r="D1313" s="35"/>
      <c r="E1313" s="131"/>
      <c r="F1313" s="131"/>
      <c r="G1313" s="131"/>
      <c r="H1313" s="131"/>
      <c r="I1313" s="131"/>
      <c r="J1313" s="131"/>
      <c r="K1313" s="131"/>
      <c r="L1313" s="131"/>
      <c r="M1313" s="131"/>
      <c r="N1313" s="131"/>
      <c r="O1313" s="131"/>
      <c r="P1313" s="152"/>
    </row>
    <row r="1314" spans="1:16" s="28" customFormat="1" x14ac:dyDescent="0.25">
      <c r="A1314" s="53"/>
      <c r="B1314" s="58"/>
      <c r="C1314" s="58"/>
      <c r="D1314" s="35"/>
      <c r="E1314" s="131"/>
      <c r="F1314" s="131"/>
      <c r="G1314" s="131"/>
      <c r="H1314" s="131"/>
      <c r="I1314" s="131"/>
      <c r="J1314" s="131"/>
      <c r="K1314" s="131"/>
      <c r="L1314" s="131"/>
      <c r="M1314" s="131"/>
      <c r="N1314" s="131"/>
      <c r="O1314" s="131"/>
      <c r="P1314" s="152"/>
    </row>
    <row r="1315" spans="1:16" s="28" customFormat="1" x14ac:dyDescent="0.25">
      <c r="A1315" s="53"/>
      <c r="B1315" s="58"/>
      <c r="C1315" s="58"/>
      <c r="D1315" s="35"/>
      <c r="E1315" s="131"/>
      <c r="F1315" s="131"/>
      <c r="G1315" s="131"/>
      <c r="H1315" s="131"/>
      <c r="I1315" s="131"/>
      <c r="J1315" s="131"/>
      <c r="K1315" s="131"/>
      <c r="L1315" s="131"/>
      <c r="M1315" s="131"/>
      <c r="N1315" s="131"/>
      <c r="O1315" s="131"/>
      <c r="P1315" s="152"/>
    </row>
    <row r="1316" spans="1:16" s="28" customFormat="1" x14ac:dyDescent="0.25">
      <c r="A1316" s="53"/>
      <c r="B1316" s="58"/>
      <c r="C1316" s="58"/>
      <c r="D1316" s="35"/>
      <c r="E1316" s="131"/>
      <c r="F1316" s="131"/>
      <c r="G1316" s="131"/>
      <c r="H1316" s="131"/>
      <c r="I1316" s="131"/>
      <c r="J1316" s="131"/>
      <c r="K1316" s="131"/>
      <c r="L1316" s="131"/>
      <c r="M1316" s="131"/>
      <c r="N1316" s="131"/>
      <c r="O1316" s="131"/>
      <c r="P1316" s="152"/>
    </row>
    <row r="1317" spans="1:16" s="28" customFormat="1" x14ac:dyDescent="0.25">
      <c r="A1317" s="53"/>
      <c r="B1317" s="58"/>
      <c r="C1317" s="58"/>
      <c r="D1317" s="35"/>
      <c r="E1317" s="131"/>
      <c r="F1317" s="131"/>
      <c r="G1317" s="131"/>
      <c r="H1317" s="131"/>
      <c r="I1317" s="131"/>
      <c r="J1317" s="131"/>
      <c r="K1317" s="131"/>
      <c r="L1317" s="131"/>
      <c r="M1317" s="131"/>
      <c r="N1317" s="131"/>
      <c r="O1317" s="131"/>
      <c r="P1317" s="152"/>
    </row>
    <row r="1318" spans="1:16" s="28" customFormat="1" x14ac:dyDescent="0.25">
      <c r="A1318" s="53"/>
      <c r="B1318" s="58"/>
      <c r="C1318" s="58"/>
      <c r="D1318" s="35"/>
      <c r="E1318" s="131"/>
      <c r="F1318" s="131"/>
      <c r="G1318" s="131"/>
      <c r="H1318" s="131"/>
      <c r="I1318" s="131"/>
      <c r="J1318" s="131"/>
      <c r="K1318" s="131"/>
      <c r="L1318" s="131"/>
      <c r="M1318" s="131"/>
      <c r="N1318" s="131"/>
      <c r="O1318" s="131"/>
      <c r="P1318" s="152"/>
    </row>
    <row r="1319" spans="1:16" s="28" customFormat="1" x14ac:dyDescent="0.25">
      <c r="A1319" s="53"/>
      <c r="B1319" s="58"/>
      <c r="C1319" s="58"/>
      <c r="D1319" s="35"/>
      <c r="E1319" s="131"/>
      <c r="F1319" s="131"/>
      <c r="G1319" s="131"/>
      <c r="H1319" s="131"/>
      <c r="I1319" s="131"/>
      <c r="J1319" s="131"/>
      <c r="K1319" s="131"/>
      <c r="L1319" s="131"/>
      <c r="M1319" s="131"/>
      <c r="N1319" s="131"/>
      <c r="O1319" s="131"/>
      <c r="P1319" s="152"/>
    </row>
    <row r="1320" spans="1:16" s="28" customFormat="1" x14ac:dyDescent="0.25">
      <c r="A1320" s="53"/>
      <c r="B1320" s="58"/>
      <c r="C1320" s="58"/>
      <c r="D1320" s="35"/>
      <c r="E1320" s="131"/>
      <c r="F1320" s="131"/>
      <c r="G1320" s="131"/>
      <c r="H1320" s="131"/>
      <c r="I1320" s="131"/>
      <c r="J1320" s="131"/>
      <c r="K1320" s="131"/>
      <c r="L1320" s="131"/>
      <c r="M1320" s="131"/>
      <c r="N1320" s="131"/>
      <c r="O1320" s="131"/>
      <c r="P1320" s="152"/>
    </row>
    <row r="1321" spans="1:16" s="28" customFormat="1" x14ac:dyDescent="0.25">
      <c r="A1321" s="53"/>
      <c r="B1321" s="58"/>
      <c r="C1321" s="58"/>
      <c r="D1321" s="35"/>
      <c r="E1321" s="131"/>
      <c r="F1321" s="131"/>
      <c r="G1321" s="131"/>
      <c r="H1321" s="131"/>
      <c r="I1321" s="131"/>
      <c r="J1321" s="131"/>
      <c r="K1321" s="131"/>
      <c r="L1321" s="131"/>
      <c r="M1321" s="131"/>
      <c r="N1321" s="131"/>
      <c r="O1321" s="131"/>
      <c r="P1321" s="152"/>
    </row>
    <row r="1322" spans="1:16" s="28" customFormat="1" x14ac:dyDescent="0.25">
      <c r="A1322" s="53"/>
      <c r="B1322" s="58"/>
      <c r="C1322" s="58"/>
      <c r="D1322" s="35"/>
      <c r="E1322" s="131"/>
      <c r="F1322" s="131"/>
      <c r="G1322" s="131"/>
      <c r="H1322" s="131"/>
      <c r="I1322" s="131"/>
      <c r="J1322" s="131"/>
      <c r="K1322" s="131"/>
      <c r="L1322" s="131"/>
      <c r="M1322" s="131"/>
      <c r="N1322" s="131"/>
      <c r="O1322" s="131"/>
      <c r="P1322" s="152"/>
    </row>
    <row r="1323" spans="1:16" s="28" customFormat="1" x14ac:dyDescent="0.25">
      <c r="A1323" s="53"/>
      <c r="B1323" s="58"/>
      <c r="C1323" s="58"/>
      <c r="D1323" s="35"/>
      <c r="E1323" s="131"/>
      <c r="F1323" s="131"/>
      <c r="G1323" s="131"/>
      <c r="H1323" s="131"/>
      <c r="I1323" s="131"/>
      <c r="J1323" s="131"/>
      <c r="K1323" s="131"/>
      <c r="L1323" s="131"/>
      <c r="M1323" s="131"/>
      <c r="N1323" s="131"/>
      <c r="O1323" s="131"/>
      <c r="P1323" s="152"/>
    </row>
    <row r="1324" spans="1:16" s="28" customFormat="1" x14ac:dyDescent="0.25">
      <c r="A1324" s="53"/>
      <c r="B1324" s="58"/>
      <c r="C1324" s="58"/>
      <c r="D1324" s="35"/>
      <c r="E1324" s="131"/>
      <c r="F1324" s="131"/>
      <c r="G1324" s="131"/>
      <c r="H1324" s="131"/>
      <c r="I1324" s="131"/>
      <c r="J1324" s="131"/>
      <c r="K1324" s="131"/>
      <c r="L1324" s="131"/>
      <c r="M1324" s="131"/>
      <c r="N1324" s="131"/>
      <c r="O1324" s="131"/>
      <c r="P1324" s="152"/>
    </row>
    <row r="1325" spans="1:16" s="28" customFormat="1" x14ac:dyDescent="0.25">
      <c r="A1325" s="53"/>
      <c r="B1325" s="58"/>
      <c r="C1325" s="58"/>
      <c r="D1325" s="35"/>
      <c r="E1325" s="131"/>
      <c r="F1325" s="131"/>
      <c r="G1325" s="131"/>
      <c r="H1325" s="131"/>
      <c r="I1325" s="131"/>
      <c r="J1325" s="131"/>
      <c r="K1325" s="131"/>
      <c r="L1325" s="131"/>
      <c r="M1325" s="131"/>
      <c r="N1325" s="131"/>
      <c r="O1325" s="131"/>
      <c r="P1325" s="152"/>
    </row>
    <row r="1326" spans="1:16" s="28" customFormat="1" x14ac:dyDescent="0.25">
      <c r="A1326" s="53"/>
      <c r="B1326" s="58"/>
      <c r="C1326" s="58"/>
      <c r="D1326" s="35"/>
      <c r="E1326" s="131"/>
      <c r="F1326" s="131"/>
      <c r="G1326" s="131"/>
      <c r="H1326" s="131"/>
      <c r="I1326" s="131"/>
      <c r="J1326" s="131"/>
      <c r="K1326" s="131"/>
      <c r="L1326" s="131"/>
      <c r="M1326" s="131"/>
      <c r="N1326" s="131"/>
      <c r="O1326" s="131"/>
      <c r="P1326" s="152"/>
    </row>
    <row r="1327" spans="1:16" s="28" customFormat="1" x14ac:dyDescent="0.25">
      <c r="A1327" s="53"/>
      <c r="B1327" s="58"/>
      <c r="C1327" s="58"/>
      <c r="D1327" s="35"/>
      <c r="E1327" s="131"/>
      <c r="F1327" s="131"/>
      <c r="G1327" s="131"/>
      <c r="H1327" s="131"/>
      <c r="I1327" s="131"/>
      <c r="J1327" s="131"/>
      <c r="K1327" s="131"/>
      <c r="L1327" s="131"/>
      <c r="M1327" s="131"/>
      <c r="N1327" s="131"/>
      <c r="O1327" s="131"/>
      <c r="P1327" s="152"/>
    </row>
    <row r="1328" spans="1:16" s="28" customFormat="1" x14ac:dyDescent="0.25">
      <c r="A1328" s="53"/>
      <c r="B1328" s="58"/>
      <c r="C1328" s="58"/>
      <c r="D1328" s="35"/>
      <c r="E1328" s="131"/>
      <c r="F1328" s="131"/>
      <c r="G1328" s="131"/>
      <c r="H1328" s="131"/>
      <c r="I1328" s="131"/>
      <c r="J1328" s="131"/>
      <c r="K1328" s="131"/>
      <c r="L1328" s="131"/>
      <c r="M1328" s="131"/>
      <c r="N1328" s="131"/>
      <c r="O1328" s="131"/>
      <c r="P1328" s="152"/>
    </row>
    <row r="1329" spans="1:16" s="28" customFormat="1" x14ac:dyDescent="0.25">
      <c r="A1329" s="53"/>
      <c r="B1329" s="58"/>
      <c r="C1329" s="58"/>
      <c r="D1329" s="35"/>
      <c r="E1329" s="131"/>
      <c r="F1329" s="131"/>
      <c r="G1329" s="131"/>
      <c r="H1329" s="131"/>
      <c r="I1329" s="131"/>
      <c r="J1329" s="131"/>
      <c r="K1329" s="131"/>
      <c r="L1329" s="131"/>
      <c r="M1329" s="131"/>
      <c r="N1329" s="131"/>
      <c r="O1329" s="131"/>
      <c r="P1329" s="152"/>
    </row>
    <row r="1330" spans="1:16" s="28" customFormat="1" x14ac:dyDescent="0.25">
      <c r="A1330" s="53"/>
      <c r="B1330" s="58"/>
      <c r="C1330" s="58"/>
      <c r="D1330" s="35"/>
      <c r="E1330" s="131"/>
      <c r="F1330" s="131"/>
      <c r="G1330" s="131"/>
      <c r="H1330" s="131"/>
      <c r="I1330" s="131"/>
      <c r="J1330" s="131"/>
      <c r="K1330" s="131"/>
      <c r="L1330" s="131"/>
      <c r="M1330" s="131"/>
      <c r="N1330" s="131"/>
      <c r="O1330" s="131"/>
      <c r="P1330" s="152"/>
    </row>
    <row r="1331" spans="1:16" s="28" customFormat="1" x14ac:dyDescent="0.25">
      <c r="A1331" s="53"/>
      <c r="B1331" s="58"/>
      <c r="C1331" s="58"/>
      <c r="D1331" s="35"/>
      <c r="E1331" s="131"/>
      <c r="F1331" s="131"/>
      <c r="G1331" s="131"/>
      <c r="H1331" s="131"/>
      <c r="I1331" s="131"/>
      <c r="J1331" s="131"/>
      <c r="K1331" s="131"/>
      <c r="L1331" s="131"/>
      <c r="M1331" s="131"/>
      <c r="N1331" s="131"/>
      <c r="O1331" s="131"/>
      <c r="P1331" s="152"/>
    </row>
    <row r="1332" spans="1:16" s="28" customFormat="1" x14ac:dyDescent="0.25">
      <c r="A1332" s="53"/>
      <c r="B1332" s="58"/>
      <c r="C1332" s="58"/>
      <c r="D1332" s="35"/>
      <c r="E1332" s="131"/>
      <c r="F1332" s="131"/>
      <c r="G1332" s="131"/>
      <c r="H1332" s="131"/>
      <c r="I1332" s="131"/>
      <c r="J1332" s="131"/>
      <c r="K1332" s="131"/>
      <c r="L1332" s="131"/>
      <c r="M1332" s="131"/>
      <c r="N1332" s="131"/>
      <c r="O1332" s="131"/>
      <c r="P1332" s="152"/>
    </row>
    <row r="1333" spans="1:16" s="28" customFormat="1" x14ac:dyDescent="0.25">
      <c r="A1333" s="53"/>
      <c r="B1333" s="58"/>
      <c r="C1333" s="58"/>
      <c r="D1333" s="35"/>
      <c r="E1333" s="131"/>
      <c r="F1333" s="131"/>
      <c r="G1333" s="131"/>
      <c r="H1333" s="131"/>
      <c r="I1333" s="131"/>
      <c r="J1333" s="131"/>
      <c r="K1333" s="131"/>
      <c r="L1333" s="131"/>
      <c r="M1333" s="131"/>
      <c r="N1333" s="131"/>
      <c r="O1333" s="131"/>
      <c r="P1333" s="152"/>
    </row>
    <row r="1334" spans="1:16" s="28" customFormat="1" x14ac:dyDescent="0.25">
      <c r="A1334" s="53"/>
      <c r="B1334" s="58"/>
      <c r="C1334" s="58"/>
      <c r="D1334" s="35"/>
      <c r="E1334" s="131"/>
      <c r="F1334" s="131"/>
      <c r="G1334" s="131"/>
      <c r="H1334" s="131"/>
      <c r="I1334" s="131"/>
      <c r="J1334" s="131"/>
      <c r="K1334" s="131"/>
      <c r="L1334" s="131"/>
      <c r="M1334" s="131"/>
      <c r="N1334" s="131"/>
      <c r="O1334" s="131"/>
      <c r="P1334" s="152"/>
    </row>
    <row r="1335" spans="1:16" s="28" customFormat="1" x14ac:dyDescent="0.25">
      <c r="A1335" s="53"/>
      <c r="B1335" s="58"/>
      <c r="C1335" s="58"/>
      <c r="D1335" s="35"/>
      <c r="E1335" s="131"/>
      <c r="F1335" s="131"/>
      <c r="G1335" s="131"/>
      <c r="H1335" s="131"/>
      <c r="I1335" s="131"/>
      <c r="J1335" s="131"/>
      <c r="K1335" s="131"/>
      <c r="L1335" s="131"/>
      <c r="M1335" s="131"/>
      <c r="N1335" s="131"/>
      <c r="O1335" s="131"/>
      <c r="P1335" s="152"/>
    </row>
    <row r="1336" spans="1:16" s="28" customFormat="1" x14ac:dyDescent="0.25">
      <c r="A1336" s="53"/>
      <c r="B1336" s="58"/>
      <c r="C1336" s="58"/>
      <c r="D1336" s="35"/>
      <c r="E1336" s="131"/>
      <c r="F1336" s="131"/>
      <c r="G1336" s="131"/>
      <c r="H1336" s="131"/>
      <c r="I1336" s="131"/>
      <c r="J1336" s="131"/>
      <c r="K1336" s="131"/>
      <c r="L1336" s="131"/>
      <c r="M1336" s="131"/>
      <c r="N1336" s="131"/>
      <c r="O1336" s="131"/>
      <c r="P1336" s="152"/>
    </row>
    <row r="1337" spans="1:16" s="28" customFormat="1" x14ac:dyDescent="0.25">
      <c r="A1337" s="53"/>
      <c r="B1337" s="58"/>
      <c r="C1337" s="58"/>
      <c r="D1337" s="35"/>
      <c r="E1337" s="131"/>
      <c r="F1337" s="131"/>
      <c r="G1337" s="131"/>
      <c r="H1337" s="131"/>
      <c r="I1337" s="131"/>
      <c r="J1337" s="131"/>
      <c r="K1337" s="131"/>
      <c r="L1337" s="131"/>
      <c r="M1337" s="131"/>
      <c r="N1337" s="131"/>
      <c r="O1337" s="131"/>
      <c r="P1337" s="152"/>
    </row>
    <row r="1338" spans="1:16" s="28" customFormat="1" x14ac:dyDescent="0.25">
      <c r="A1338" s="53"/>
      <c r="B1338" s="58"/>
      <c r="C1338" s="58"/>
      <c r="D1338" s="35"/>
      <c r="E1338" s="131"/>
      <c r="F1338" s="131"/>
      <c r="G1338" s="131"/>
      <c r="H1338" s="131"/>
      <c r="I1338" s="131"/>
      <c r="J1338" s="131"/>
      <c r="K1338" s="131"/>
      <c r="L1338" s="131"/>
      <c r="M1338" s="131"/>
      <c r="N1338" s="131"/>
      <c r="O1338" s="131"/>
      <c r="P1338" s="152"/>
    </row>
    <row r="1339" spans="1:16" s="28" customFormat="1" x14ac:dyDescent="0.25">
      <c r="A1339" s="53"/>
      <c r="B1339" s="58"/>
      <c r="C1339" s="58"/>
      <c r="D1339" s="35"/>
      <c r="E1339" s="131"/>
      <c r="F1339" s="131"/>
      <c r="G1339" s="131"/>
      <c r="H1339" s="131"/>
      <c r="I1339" s="131"/>
      <c r="J1339" s="131"/>
      <c r="K1339" s="131"/>
      <c r="L1339" s="131"/>
      <c r="M1339" s="131"/>
      <c r="N1339" s="131"/>
      <c r="O1339" s="131"/>
      <c r="P1339" s="152"/>
    </row>
    <row r="1340" spans="1:16" s="28" customFormat="1" x14ac:dyDescent="0.25">
      <c r="A1340" s="53"/>
      <c r="B1340" s="58"/>
      <c r="C1340" s="58"/>
      <c r="D1340" s="35"/>
      <c r="E1340" s="131"/>
      <c r="F1340" s="131"/>
      <c r="G1340" s="131"/>
      <c r="H1340" s="131"/>
      <c r="I1340" s="131"/>
      <c r="J1340" s="131"/>
      <c r="K1340" s="131"/>
      <c r="L1340" s="131"/>
      <c r="M1340" s="131"/>
      <c r="N1340" s="131"/>
      <c r="O1340" s="131"/>
      <c r="P1340" s="152"/>
    </row>
    <row r="1341" spans="1:16" s="28" customFormat="1" x14ac:dyDescent="0.25">
      <c r="A1341" s="53"/>
      <c r="B1341" s="58"/>
      <c r="C1341" s="58"/>
      <c r="D1341" s="35"/>
      <c r="E1341" s="131"/>
      <c r="F1341" s="131"/>
      <c r="G1341" s="131"/>
      <c r="H1341" s="131"/>
      <c r="I1341" s="131"/>
      <c r="J1341" s="131"/>
      <c r="K1341" s="131"/>
      <c r="L1341" s="131"/>
      <c r="M1341" s="131"/>
      <c r="N1341" s="131"/>
      <c r="O1341" s="131"/>
      <c r="P1341" s="152"/>
    </row>
    <row r="1342" spans="1:16" s="28" customFormat="1" x14ac:dyDescent="0.25">
      <c r="A1342" s="53"/>
      <c r="B1342" s="58"/>
      <c r="C1342" s="58"/>
      <c r="D1342" s="35"/>
      <c r="E1342" s="131"/>
      <c r="F1342" s="131"/>
      <c r="G1342" s="131"/>
      <c r="H1342" s="131"/>
      <c r="I1342" s="131"/>
      <c r="J1342" s="131"/>
      <c r="K1342" s="131"/>
      <c r="L1342" s="131"/>
      <c r="M1342" s="131"/>
      <c r="N1342" s="131"/>
      <c r="O1342" s="131"/>
      <c r="P1342" s="152"/>
    </row>
    <row r="1343" spans="1:16" s="28" customFormat="1" x14ac:dyDescent="0.25">
      <c r="A1343" s="53"/>
      <c r="B1343" s="58"/>
      <c r="C1343" s="58"/>
      <c r="D1343" s="35"/>
      <c r="E1343" s="131"/>
      <c r="F1343" s="131"/>
      <c r="G1343" s="131"/>
      <c r="H1343" s="131"/>
      <c r="I1343" s="131"/>
      <c r="J1343" s="131"/>
      <c r="K1343" s="131"/>
      <c r="L1343" s="131"/>
      <c r="M1343" s="131"/>
      <c r="N1343" s="131"/>
      <c r="O1343" s="131"/>
      <c r="P1343" s="152"/>
    </row>
    <row r="1344" spans="1:16" s="28" customFormat="1" x14ac:dyDescent="0.25">
      <c r="A1344" s="53"/>
      <c r="B1344" s="58"/>
      <c r="C1344" s="58"/>
      <c r="D1344" s="35"/>
      <c r="E1344" s="131"/>
      <c r="F1344" s="131"/>
      <c r="G1344" s="131"/>
      <c r="H1344" s="131"/>
      <c r="I1344" s="131"/>
      <c r="J1344" s="131"/>
      <c r="K1344" s="131"/>
      <c r="L1344" s="131"/>
      <c r="M1344" s="131"/>
      <c r="N1344" s="131"/>
      <c r="O1344" s="131"/>
      <c r="P1344" s="152"/>
    </row>
    <row r="1345" spans="1:16" s="28" customFormat="1" x14ac:dyDescent="0.25">
      <c r="A1345" s="53"/>
      <c r="B1345" s="58"/>
      <c r="C1345" s="58"/>
      <c r="D1345" s="35"/>
      <c r="E1345" s="131"/>
      <c r="F1345" s="131"/>
      <c r="G1345" s="131"/>
      <c r="H1345" s="131"/>
      <c r="I1345" s="131"/>
      <c r="J1345" s="131"/>
      <c r="K1345" s="131"/>
      <c r="L1345" s="131"/>
      <c r="M1345" s="131"/>
      <c r="N1345" s="131"/>
      <c r="O1345" s="131"/>
      <c r="P1345" s="152"/>
    </row>
    <row r="1346" spans="1:16" s="28" customFormat="1" x14ac:dyDescent="0.25">
      <c r="A1346" s="53"/>
      <c r="B1346" s="58"/>
      <c r="C1346" s="58"/>
      <c r="D1346" s="35"/>
      <c r="E1346" s="131"/>
      <c r="F1346" s="131"/>
      <c r="G1346" s="131"/>
      <c r="H1346" s="131"/>
      <c r="I1346" s="131"/>
      <c r="J1346" s="131"/>
      <c r="K1346" s="131"/>
      <c r="L1346" s="131"/>
      <c r="M1346" s="131"/>
      <c r="N1346" s="131"/>
      <c r="O1346" s="131"/>
      <c r="P1346" s="152"/>
    </row>
    <row r="1347" spans="1:16" s="28" customFormat="1" x14ac:dyDescent="0.25">
      <c r="A1347" s="53"/>
      <c r="B1347" s="58"/>
      <c r="C1347" s="58"/>
      <c r="D1347" s="35"/>
      <c r="E1347" s="131"/>
      <c r="F1347" s="131"/>
      <c r="G1347" s="131"/>
      <c r="H1347" s="131"/>
      <c r="I1347" s="131"/>
      <c r="J1347" s="131"/>
      <c r="K1347" s="131"/>
      <c r="L1347" s="131"/>
      <c r="M1347" s="131"/>
      <c r="N1347" s="131"/>
      <c r="O1347" s="131"/>
      <c r="P1347" s="152"/>
    </row>
    <row r="1348" spans="1:16" s="28" customFormat="1" x14ac:dyDescent="0.25">
      <c r="A1348" s="53"/>
      <c r="B1348" s="58"/>
      <c r="C1348" s="58"/>
      <c r="D1348" s="35"/>
      <c r="E1348" s="131"/>
      <c r="F1348" s="131"/>
      <c r="G1348" s="131"/>
      <c r="H1348" s="131"/>
      <c r="I1348" s="131"/>
      <c r="J1348" s="131"/>
      <c r="K1348" s="131"/>
      <c r="L1348" s="131"/>
      <c r="M1348" s="131"/>
      <c r="N1348" s="131"/>
      <c r="O1348" s="131"/>
      <c r="P1348" s="152"/>
    </row>
    <row r="1349" spans="1:16" s="28" customFormat="1" x14ac:dyDescent="0.25">
      <c r="A1349" s="53"/>
      <c r="B1349" s="58"/>
      <c r="C1349" s="58"/>
      <c r="D1349" s="35"/>
      <c r="E1349" s="131"/>
      <c r="F1349" s="131"/>
      <c r="G1349" s="131"/>
      <c r="H1349" s="131"/>
      <c r="I1349" s="131"/>
      <c r="J1349" s="131"/>
      <c r="K1349" s="131"/>
      <c r="L1349" s="131"/>
      <c r="M1349" s="131"/>
      <c r="N1349" s="131"/>
      <c r="O1349" s="131"/>
      <c r="P1349" s="152"/>
    </row>
    <row r="1350" spans="1:16" s="28" customFormat="1" x14ac:dyDescent="0.25">
      <c r="A1350" s="53"/>
      <c r="B1350" s="58"/>
      <c r="C1350" s="58"/>
      <c r="D1350" s="35"/>
      <c r="E1350" s="131"/>
      <c r="F1350" s="131"/>
      <c r="G1350" s="131"/>
      <c r="H1350" s="131"/>
      <c r="I1350" s="131"/>
      <c r="J1350" s="131"/>
      <c r="K1350" s="131"/>
      <c r="L1350" s="131"/>
      <c r="M1350" s="131"/>
      <c r="N1350" s="131"/>
      <c r="O1350" s="131"/>
      <c r="P1350" s="152"/>
    </row>
    <row r="1351" spans="1:16" s="28" customFormat="1" x14ac:dyDescent="0.25">
      <c r="A1351" s="53"/>
      <c r="B1351" s="58"/>
      <c r="C1351" s="58"/>
      <c r="D1351" s="35"/>
      <c r="E1351" s="131"/>
      <c r="F1351" s="131"/>
      <c r="G1351" s="131"/>
      <c r="H1351" s="131"/>
      <c r="I1351" s="131"/>
      <c r="J1351" s="131"/>
      <c r="K1351" s="131"/>
      <c r="L1351" s="131"/>
      <c r="M1351" s="131"/>
      <c r="N1351" s="131"/>
      <c r="O1351" s="131"/>
      <c r="P1351" s="152"/>
    </row>
    <row r="1352" spans="1:16" s="28" customFormat="1" x14ac:dyDescent="0.25">
      <c r="A1352" s="53"/>
      <c r="B1352" s="58"/>
      <c r="C1352" s="58"/>
      <c r="D1352" s="35"/>
      <c r="E1352" s="131"/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52"/>
    </row>
    <row r="1353" spans="1:16" s="28" customFormat="1" x14ac:dyDescent="0.25">
      <c r="A1353" s="53"/>
      <c r="B1353" s="58"/>
      <c r="C1353" s="58"/>
      <c r="D1353" s="35"/>
      <c r="E1353" s="131"/>
      <c r="F1353" s="131"/>
      <c r="G1353" s="131"/>
      <c r="H1353" s="131"/>
      <c r="I1353" s="131"/>
      <c r="J1353" s="131"/>
      <c r="K1353" s="131"/>
      <c r="L1353" s="131"/>
      <c r="M1353" s="131"/>
      <c r="N1353" s="131"/>
      <c r="O1353" s="131"/>
      <c r="P1353" s="152"/>
    </row>
    <row r="1354" spans="1:16" s="28" customFormat="1" x14ac:dyDescent="0.25">
      <c r="A1354" s="53"/>
      <c r="B1354" s="58"/>
      <c r="C1354" s="58"/>
      <c r="D1354" s="35"/>
      <c r="E1354" s="131"/>
      <c r="F1354" s="131"/>
      <c r="G1354" s="131"/>
      <c r="H1354" s="131"/>
      <c r="I1354" s="131"/>
      <c r="J1354" s="131"/>
      <c r="K1354" s="131"/>
      <c r="L1354" s="131"/>
      <c r="M1354" s="131"/>
      <c r="N1354" s="131"/>
      <c r="O1354" s="131"/>
      <c r="P1354" s="152"/>
    </row>
    <row r="1355" spans="1:16" s="28" customFormat="1" x14ac:dyDescent="0.25">
      <c r="A1355" s="53"/>
      <c r="B1355" s="58"/>
      <c r="C1355" s="58"/>
      <c r="D1355" s="35"/>
      <c r="E1355" s="131"/>
      <c r="F1355" s="131"/>
      <c r="G1355" s="131"/>
      <c r="H1355" s="131"/>
      <c r="I1355" s="131"/>
      <c r="J1355" s="131"/>
      <c r="K1355" s="131"/>
      <c r="L1355" s="131"/>
      <c r="M1355" s="131"/>
      <c r="N1355" s="131"/>
      <c r="O1355" s="131"/>
      <c r="P1355" s="152"/>
    </row>
    <row r="1356" spans="1:16" s="28" customFormat="1" x14ac:dyDescent="0.25">
      <c r="A1356" s="53"/>
      <c r="B1356" s="58"/>
      <c r="C1356" s="58"/>
      <c r="D1356" s="35"/>
      <c r="E1356" s="131"/>
      <c r="F1356" s="131"/>
      <c r="G1356" s="131"/>
      <c r="H1356" s="131"/>
      <c r="I1356" s="131"/>
      <c r="J1356" s="131"/>
      <c r="K1356" s="131"/>
      <c r="L1356" s="131"/>
      <c r="M1356" s="131"/>
      <c r="N1356" s="131"/>
      <c r="O1356" s="131"/>
      <c r="P1356" s="152"/>
    </row>
    <row r="1357" spans="1:16" s="28" customFormat="1" x14ac:dyDescent="0.25">
      <c r="A1357" s="53"/>
      <c r="B1357" s="58"/>
      <c r="C1357" s="58"/>
      <c r="D1357" s="35"/>
      <c r="E1357" s="131"/>
      <c r="F1357" s="131"/>
      <c r="G1357" s="131"/>
      <c r="H1357" s="131"/>
      <c r="I1357" s="131"/>
      <c r="J1357" s="131"/>
      <c r="K1357" s="131"/>
      <c r="L1357" s="131"/>
      <c r="M1357" s="131"/>
      <c r="N1357" s="131"/>
      <c r="O1357" s="131"/>
      <c r="P1357" s="152"/>
    </row>
    <row r="1358" spans="1:16" s="28" customFormat="1" x14ac:dyDescent="0.25">
      <c r="A1358" s="53"/>
      <c r="B1358" s="58"/>
      <c r="C1358" s="58"/>
      <c r="D1358" s="35"/>
      <c r="E1358" s="131"/>
      <c r="F1358" s="131"/>
      <c r="G1358" s="131"/>
      <c r="H1358" s="131"/>
      <c r="I1358" s="131"/>
      <c r="J1358" s="131"/>
      <c r="K1358" s="131"/>
      <c r="L1358" s="131"/>
      <c r="M1358" s="131"/>
      <c r="N1358" s="131"/>
      <c r="O1358" s="131"/>
      <c r="P1358" s="152"/>
    </row>
    <row r="1359" spans="1:16" s="28" customFormat="1" x14ac:dyDescent="0.25">
      <c r="A1359" s="53"/>
      <c r="B1359" s="58"/>
      <c r="C1359" s="58"/>
      <c r="D1359" s="35"/>
      <c r="E1359" s="131"/>
      <c r="F1359" s="131"/>
      <c r="G1359" s="131"/>
      <c r="H1359" s="131"/>
      <c r="I1359" s="131"/>
      <c r="J1359" s="131"/>
      <c r="K1359" s="131"/>
      <c r="L1359" s="131"/>
      <c r="M1359" s="131"/>
      <c r="N1359" s="131"/>
      <c r="O1359" s="131"/>
      <c r="P1359" s="152"/>
    </row>
    <row r="1360" spans="1:16" s="28" customFormat="1" x14ac:dyDescent="0.25">
      <c r="A1360" s="53"/>
      <c r="B1360" s="58"/>
      <c r="C1360" s="58"/>
      <c r="D1360" s="35"/>
      <c r="E1360" s="131"/>
      <c r="F1360" s="131"/>
      <c r="G1360" s="131"/>
      <c r="H1360" s="131"/>
      <c r="I1360" s="131"/>
      <c r="J1360" s="131"/>
      <c r="K1360" s="131"/>
      <c r="L1360" s="131"/>
      <c r="M1360" s="131"/>
      <c r="N1360" s="131"/>
      <c r="O1360" s="131"/>
      <c r="P1360" s="152"/>
    </row>
    <row r="1361" spans="1:16" s="28" customFormat="1" x14ac:dyDescent="0.25">
      <c r="A1361" s="53"/>
      <c r="B1361" s="58"/>
      <c r="C1361" s="58"/>
      <c r="D1361" s="35"/>
      <c r="E1361" s="131"/>
      <c r="F1361" s="131"/>
      <c r="G1361" s="131"/>
      <c r="H1361" s="131"/>
      <c r="I1361" s="131"/>
      <c r="J1361" s="131"/>
      <c r="K1361" s="131"/>
      <c r="L1361" s="131"/>
      <c r="M1361" s="131"/>
      <c r="N1361" s="131"/>
      <c r="O1361" s="131"/>
      <c r="P1361" s="152"/>
    </row>
    <row r="1362" spans="1:16" s="28" customFormat="1" x14ac:dyDescent="0.25">
      <c r="A1362" s="53"/>
      <c r="B1362" s="58"/>
      <c r="C1362" s="58"/>
      <c r="D1362" s="35"/>
      <c r="E1362" s="131"/>
      <c r="F1362" s="131"/>
      <c r="G1362" s="131"/>
      <c r="H1362" s="131"/>
      <c r="I1362" s="131"/>
      <c r="J1362" s="131"/>
      <c r="K1362" s="131"/>
      <c r="L1362" s="131"/>
      <c r="M1362" s="131"/>
      <c r="N1362" s="131"/>
      <c r="O1362" s="131"/>
      <c r="P1362" s="152"/>
    </row>
    <row r="1363" spans="1:16" s="28" customFormat="1" x14ac:dyDescent="0.25">
      <c r="A1363" s="53"/>
      <c r="B1363" s="58"/>
      <c r="C1363" s="58"/>
      <c r="D1363" s="35"/>
      <c r="E1363" s="131"/>
      <c r="F1363" s="131"/>
      <c r="G1363" s="131"/>
      <c r="H1363" s="131"/>
      <c r="I1363" s="131"/>
      <c r="J1363" s="131"/>
      <c r="K1363" s="131"/>
      <c r="L1363" s="131"/>
      <c r="M1363" s="131"/>
      <c r="N1363" s="131"/>
      <c r="O1363" s="131"/>
      <c r="P1363" s="152"/>
    </row>
    <row r="1364" spans="1:16" s="28" customFormat="1" x14ac:dyDescent="0.25">
      <c r="A1364" s="53"/>
      <c r="B1364" s="58"/>
      <c r="C1364" s="58"/>
      <c r="D1364" s="35"/>
      <c r="E1364" s="131"/>
      <c r="F1364" s="131"/>
      <c r="G1364" s="131"/>
      <c r="H1364" s="131"/>
      <c r="I1364" s="131"/>
      <c r="J1364" s="131"/>
      <c r="K1364" s="131"/>
      <c r="L1364" s="131"/>
      <c r="M1364" s="131"/>
      <c r="N1364" s="131"/>
      <c r="O1364" s="131"/>
      <c r="P1364" s="152"/>
    </row>
    <row r="1365" spans="1:16" s="28" customFormat="1" x14ac:dyDescent="0.25">
      <c r="A1365" s="53"/>
      <c r="B1365" s="58"/>
      <c r="C1365" s="58"/>
      <c r="D1365" s="35"/>
      <c r="E1365" s="131"/>
      <c r="F1365" s="131"/>
      <c r="G1365" s="131"/>
      <c r="H1365" s="131"/>
      <c r="I1365" s="131"/>
      <c r="J1365" s="131"/>
      <c r="K1365" s="131"/>
      <c r="L1365" s="131"/>
      <c r="M1365" s="131"/>
      <c r="N1365" s="131"/>
      <c r="O1365" s="131"/>
      <c r="P1365" s="152"/>
    </row>
    <row r="1366" spans="1:16" s="28" customFormat="1" x14ac:dyDescent="0.25">
      <c r="A1366" s="53"/>
      <c r="B1366" s="58"/>
      <c r="C1366" s="58"/>
      <c r="D1366" s="35"/>
      <c r="E1366" s="131"/>
      <c r="F1366" s="131"/>
      <c r="G1366" s="131"/>
      <c r="H1366" s="131"/>
      <c r="I1366" s="131"/>
      <c r="J1366" s="131"/>
      <c r="K1366" s="131"/>
      <c r="L1366" s="131"/>
      <c r="M1366" s="131"/>
      <c r="N1366" s="131"/>
      <c r="O1366" s="131"/>
      <c r="P1366" s="152"/>
    </row>
    <row r="1367" spans="1:16" s="28" customFormat="1" x14ac:dyDescent="0.25">
      <c r="A1367" s="53"/>
      <c r="B1367" s="58"/>
      <c r="C1367" s="58"/>
      <c r="D1367" s="35"/>
      <c r="E1367" s="131"/>
      <c r="F1367" s="131"/>
      <c r="G1367" s="131"/>
      <c r="H1367" s="131"/>
      <c r="I1367" s="131"/>
      <c r="J1367" s="131"/>
      <c r="K1367" s="131"/>
      <c r="L1367" s="131"/>
      <c r="M1367" s="131"/>
      <c r="N1367" s="131"/>
      <c r="O1367" s="131"/>
      <c r="P1367" s="152"/>
    </row>
    <row r="1368" spans="1:16" s="28" customFormat="1" x14ac:dyDescent="0.25">
      <c r="A1368" s="53"/>
      <c r="B1368" s="58"/>
      <c r="C1368" s="58"/>
      <c r="D1368" s="35"/>
      <c r="E1368" s="131"/>
      <c r="F1368" s="131"/>
      <c r="G1368" s="131"/>
      <c r="H1368" s="131"/>
      <c r="I1368" s="131"/>
      <c r="J1368" s="131"/>
      <c r="K1368" s="131"/>
      <c r="L1368" s="131"/>
      <c r="M1368" s="131"/>
      <c r="N1368" s="131"/>
      <c r="O1368" s="131"/>
      <c r="P1368" s="152"/>
    </row>
    <row r="1369" spans="1:16" s="28" customFormat="1" x14ac:dyDescent="0.25">
      <c r="A1369" s="53"/>
      <c r="B1369" s="58"/>
      <c r="C1369" s="58"/>
      <c r="D1369" s="35"/>
      <c r="E1369" s="131"/>
      <c r="F1369" s="131"/>
      <c r="G1369" s="131"/>
      <c r="H1369" s="131"/>
      <c r="I1369" s="131"/>
      <c r="J1369" s="131"/>
      <c r="K1369" s="131"/>
      <c r="L1369" s="131"/>
      <c r="M1369" s="131"/>
      <c r="N1369" s="131"/>
      <c r="O1369" s="131"/>
      <c r="P1369" s="152"/>
    </row>
    <row r="1370" spans="1:16" s="28" customFormat="1" x14ac:dyDescent="0.25">
      <c r="A1370" s="53"/>
      <c r="B1370" s="58"/>
      <c r="C1370" s="58"/>
      <c r="D1370" s="35"/>
      <c r="E1370" s="131"/>
      <c r="F1370" s="131"/>
      <c r="G1370" s="131"/>
      <c r="H1370" s="131"/>
      <c r="I1370" s="131"/>
      <c r="J1370" s="131"/>
      <c r="K1370" s="131"/>
      <c r="L1370" s="131"/>
      <c r="M1370" s="131"/>
      <c r="N1370" s="131"/>
      <c r="O1370" s="131"/>
      <c r="P1370" s="152"/>
    </row>
    <row r="1371" spans="1:16" s="28" customFormat="1" x14ac:dyDescent="0.25">
      <c r="A1371" s="53"/>
      <c r="B1371" s="58"/>
      <c r="C1371" s="58"/>
      <c r="D1371" s="35"/>
      <c r="E1371" s="131"/>
      <c r="F1371" s="131"/>
      <c r="G1371" s="131"/>
      <c r="H1371" s="131"/>
      <c r="I1371" s="131"/>
      <c r="J1371" s="131"/>
      <c r="K1371" s="131"/>
      <c r="L1371" s="131"/>
      <c r="M1371" s="131"/>
      <c r="N1371" s="131"/>
      <c r="O1371" s="131"/>
      <c r="P1371" s="152"/>
    </row>
    <row r="1372" spans="1:16" s="28" customFormat="1" x14ac:dyDescent="0.25">
      <c r="A1372" s="53"/>
      <c r="B1372" s="58"/>
      <c r="C1372" s="58"/>
      <c r="D1372" s="35"/>
      <c r="E1372" s="131"/>
      <c r="F1372" s="131"/>
      <c r="G1372" s="131"/>
      <c r="H1372" s="131"/>
      <c r="I1372" s="131"/>
      <c r="J1372" s="131"/>
      <c r="K1372" s="131"/>
      <c r="L1372" s="131"/>
      <c r="M1372" s="131"/>
      <c r="N1372" s="131"/>
      <c r="O1372" s="131"/>
      <c r="P1372" s="152"/>
    </row>
    <row r="1373" spans="1:16" s="28" customFormat="1" x14ac:dyDescent="0.25">
      <c r="A1373" s="53"/>
      <c r="B1373" s="58"/>
      <c r="C1373" s="58"/>
      <c r="D1373" s="35"/>
      <c r="E1373" s="131"/>
      <c r="F1373" s="131"/>
      <c r="G1373" s="131"/>
      <c r="H1373" s="131"/>
      <c r="I1373" s="131"/>
      <c r="J1373" s="131"/>
      <c r="K1373" s="131"/>
      <c r="L1373" s="131"/>
      <c r="M1373" s="131"/>
      <c r="N1373" s="131"/>
      <c r="O1373" s="131"/>
      <c r="P1373" s="152"/>
    </row>
    <row r="1374" spans="1:16" s="28" customFormat="1" x14ac:dyDescent="0.25">
      <c r="A1374" s="53"/>
      <c r="B1374" s="58"/>
      <c r="C1374" s="58"/>
      <c r="D1374" s="35"/>
      <c r="E1374" s="131"/>
      <c r="F1374" s="131"/>
      <c r="G1374" s="131"/>
      <c r="H1374" s="131"/>
      <c r="I1374" s="131"/>
      <c r="J1374" s="131"/>
      <c r="K1374" s="131"/>
      <c r="L1374" s="131"/>
      <c r="M1374" s="131"/>
      <c r="N1374" s="131"/>
      <c r="O1374" s="131"/>
      <c r="P1374" s="152"/>
    </row>
    <row r="1375" spans="1:16" s="28" customFormat="1" x14ac:dyDescent="0.25">
      <c r="A1375" s="53"/>
      <c r="B1375" s="58"/>
      <c r="C1375" s="58"/>
      <c r="D1375" s="35"/>
      <c r="E1375" s="131"/>
      <c r="F1375" s="131"/>
      <c r="G1375" s="131"/>
      <c r="H1375" s="131"/>
      <c r="I1375" s="131"/>
      <c r="J1375" s="131"/>
      <c r="K1375" s="131"/>
      <c r="L1375" s="131"/>
      <c r="M1375" s="131"/>
      <c r="N1375" s="131"/>
      <c r="O1375" s="131"/>
      <c r="P1375" s="152"/>
    </row>
    <row r="1376" spans="1:16" s="28" customFormat="1" x14ac:dyDescent="0.25">
      <c r="A1376" s="53"/>
      <c r="B1376" s="58"/>
      <c r="C1376" s="58"/>
      <c r="D1376" s="35"/>
      <c r="E1376" s="131"/>
      <c r="F1376" s="131"/>
      <c r="G1376" s="131"/>
      <c r="H1376" s="131"/>
      <c r="I1376" s="131"/>
      <c r="J1376" s="131"/>
      <c r="K1376" s="131"/>
      <c r="L1376" s="131"/>
      <c r="M1376" s="131"/>
      <c r="N1376" s="131"/>
      <c r="O1376" s="131"/>
      <c r="P1376" s="152"/>
    </row>
    <row r="1377" spans="1:16" s="28" customFormat="1" x14ac:dyDescent="0.25">
      <c r="A1377" s="53"/>
      <c r="B1377" s="58"/>
      <c r="C1377" s="58"/>
      <c r="D1377" s="35"/>
      <c r="E1377" s="131"/>
      <c r="F1377" s="131"/>
      <c r="G1377" s="131"/>
      <c r="H1377" s="131"/>
      <c r="I1377" s="131"/>
      <c r="J1377" s="131"/>
      <c r="K1377" s="131"/>
      <c r="L1377" s="131"/>
      <c r="M1377" s="131"/>
      <c r="N1377" s="131"/>
      <c r="O1377" s="131"/>
      <c r="P1377" s="152"/>
    </row>
    <row r="1378" spans="1:16" s="28" customFormat="1" x14ac:dyDescent="0.25">
      <c r="A1378" s="53"/>
      <c r="B1378" s="58"/>
      <c r="C1378" s="58"/>
      <c r="D1378" s="35"/>
      <c r="E1378" s="131"/>
      <c r="F1378" s="131"/>
      <c r="G1378" s="131"/>
      <c r="H1378" s="131"/>
      <c r="I1378" s="131"/>
      <c r="J1378" s="131"/>
      <c r="K1378" s="131"/>
      <c r="L1378" s="131"/>
      <c r="M1378" s="131"/>
      <c r="N1378" s="131"/>
      <c r="O1378" s="131"/>
      <c r="P1378" s="152"/>
    </row>
    <row r="1379" spans="1:16" s="28" customFormat="1" x14ac:dyDescent="0.25">
      <c r="A1379" s="53"/>
      <c r="B1379" s="58"/>
      <c r="C1379" s="58"/>
      <c r="D1379" s="35"/>
      <c r="E1379" s="131"/>
      <c r="F1379" s="131"/>
      <c r="G1379" s="131"/>
      <c r="H1379" s="131"/>
      <c r="I1379" s="131"/>
      <c r="J1379" s="131"/>
      <c r="K1379" s="131"/>
      <c r="L1379" s="131"/>
      <c r="M1379" s="131"/>
      <c r="N1379" s="131"/>
      <c r="O1379" s="131"/>
      <c r="P1379" s="152"/>
    </row>
    <row r="1380" spans="1:16" s="28" customFormat="1" x14ac:dyDescent="0.25">
      <c r="A1380" s="53"/>
      <c r="B1380" s="58"/>
      <c r="C1380" s="58"/>
      <c r="D1380" s="35"/>
      <c r="E1380" s="131"/>
      <c r="F1380" s="131"/>
      <c r="G1380" s="131"/>
      <c r="H1380" s="131"/>
      <c r="I1380" s="131"/>
      <c r="J1380" s="131"/>
      <c r="K1380" s="131"/>
      <c r="L1380" s="131"/>
      <c r="M1380" s="131"/>
      <c r="N1380" s="131"/>
      <c r="O1380" s="131"/>
      <c r="P1380" s="152"/>
    </row>
    <row r="1381" spans="1:16" s="28" customFormat="1" x14ac:dyDescent="0.25">
      <c r="A1381" s="53"/>
      <c r="B1381" s="58"/>
      <c r="C1381" s="58"/>
      <c r="D1381" s="35"/>
      <c r="E1381" s="131"/>
      <c r="F1381" s="131"/>
      <c r="G1381" s="131"/>
      <c r="H1381" s="131"/>
      <c r="I1381" s="131"/>
      <c r="J1381" s="131"/>
      <c r="K1381" s="131"/>
      <c r="L1381" s="131"/>
      <c r="M1381" s="131"/>
      <c r="N1381" s="131"/>
      <c r="O1381" s="131"/>
      <c r="P1381" s="152"/>
    </row>
    <row r="1382" spans="1:16" s="28" customFormat="1" x14ac:dyDescent="0.25">
      <c r="A1382" s="53"/>
      <c r="B1382" s="58"/>
      <c r="C1382" s="58"/>
      <c r="D1382" s="35"/>
      <c r="E1382" s="131"/>
      <c r="F1382" s="131"/>
      <c r="G1382" s="131"/>
      <c r="H1382" s="131"/>
      <c r="I1382" s="131"/>
      <c r="J1382" s="131"/>
      <c r="K1382" s="131"/>
      <c r="L1382" s="131"/>
      <c r="M1382" s="131"/>
      <c r="N1382" s="131"/>
      <c r="O1382" s="131"/>
      <c r="P1382" s="152"/>
    </row>
    <row r="1383" spans="1:16" s="28" customFormat="1" x14ac:dyDescent="0.25">
      <c r="A1383" s="53"/>
      <c r="B1383" s="58"/>
      <c r="C1383" s="58"/>
      <c r="D1383" s="35"/>
      <c r="E1383" s="131"/>
      <c r="F1383" s="131"/>
      <c r="G1383" s="131"/>
      <c r="H1383" s="131"/>
      <c r="I1383" s="131"/>
      <c r="J1383" s="131"/>
      <c r="K1383" s="131"/>
      <c r="L1383" s="131"/>
      <c r="M1383" s="131"/>
      <c r="N1383" s="131"/>
      <c r="O1383" s="131"/>
      <c r="P1383" s="152"/>
    </row>
    <row r="1384" spans="1:16" s="28" customFormat="1" x14ac:dyDescent="0.25">
      <c r="A1384" s="53"/>
      <c r="B1384" s="58"/>
      <c r="C1384" s="58"/>
      <c r="D1384" s="35"/>
      <c r="E1384" s="131"/>
      <c r="F1384" s="131"/>
      <c r="G1384" s="131"/>
      <c r="H1384" s="131"/>
      <c r="I1384" s="131"/>
      <c r="J1384" s="131"/>
      <c r="K1384" s="131"/>
      <c r="L1384" s="131"/>
      <c r="M1384" s="131"/>
      <c r="N1384" s="131"/>
      <c r="O1384" s="131"/>
      <c r="P1384" s="152"/>
    </row>
    <row r="1385" spans="1:16" s="28" customFormat="1" x14ac:dyDescent="0.25">
      <c r="A1385" s="53"/>
      <c r="B1385" s="58"/>
      <c r="C1385" s="58"/>
      <c r="D1385" s="35"/>
      <c r="E1385" s="131"/>
      <c r="F1385" s="131"/>
      <c r="G1385" s="131"/>
      <c r="H1385" s="131"/>
      <c r="I1385" s="131"/>
      <c r="J1385" s="131"/>
      <c r="K1385" s="131"/>
      <c r="L1385" s="131"/>
      <c r="M1385" s="131"/>
      <c r="N1385" s="131"/>
      <c r="O1385" s="131"/>
      <c r="P1385" s="152"/>
    </row>
    <row r="1386" spans="1:16" s="28" customFormat="1" x14ac:dyDescent="0.25">
      <c r="A1386" s="53"/>
      <c r="B1386" s="58"/>
      <c r="C1386" s="58"/>
      <c r="D1386" s="35"/>
      <c r="E1386" s="131"/>
      <c r="F1386" s="131"/>
      <c r="G1386" s="131"/>
      <c r="H1386" s="131"/>
      <c r="I1386" s="131"/>
      <c r="J1386" s="131"/>
      <c r="K1386" s="131"/>
      <c r="L1386" s="131"/>
      <c r="M1386" s="131"/>
      <c r="N1386" s="131"/>
      <c r="O1386" s="131"/>
      <c r="P1386" s="152"/>
    </row>
    <row r="1387" spans="1:16" s="28" customFormat="1" x14ac:dyDescent="0.25">
      <c r="A1387" s="53"/>
      <c r="B1387" s="58"/>
      <c r="C1387" s="58"/>
      <c r="D1387" s="35"/>
      <c r="E1387" s="131"/>
      <c r="F1387" s="131"/>
      <c r="G1387" s="131"/>
      <c r="H1387" s="131"/>
      <c r="I1387" s="131"/>
      <c r="J1387" s="131"/>
      <c r="K1387" s="131"/>
      <c r="L1387" s="131"/>
      <c r="M1387" s="131"/>
      <c r="N1387" s="131"/>
      <c r="O1387" s="131"/>
      <c r="P1387" s="152"/>
    </row>
    <row r="1388" spans="1:16" s="28" customFormat="1" x14ac:dyDescent="0.25">
      <c r="A1388" s="53"/>
      <c r="B1388" s="58"/>
      <c r="C1388" s="58"/>
      <c r="D1388" s="35"/>
      <c r="E1388" s="131"/>
      <c r="F1388" s="131"/>
      <c r="G1388" s="131"/>
      <c r="H1388" s="131"/>
      <c r="I1388" s="131"/>
      <c r="J1388" s="131"/>
      <c r="K1388" s="131"/>
      <c r="L1388" s="131"/>
      <c r="M1388" s="131"/>
      <c r="N1388" s="131"/>
      <c r="O1388" s="131"/>
      <c r="P1388" s="152"/>
    </row>
    <row r="1389" spans="1:16" s="28" customFormat="1" x14ac:dyDescent="0.25">
      <c r="A1389" s="53"/>
      <c r="B1389" s="58"/>
      <c r="C1389" s="58"/>
      <c r="D1389" s="35"/>
      <c r="E1389" s="131"/>
      <c r="F1389" s="131"/>
      <c r="G1389" s="131"/>
      <c r="H1389" s="131"/>
      <c r="I1389" s="131"/>
      <c r="J1389" s="131"/>
      <c r="K1389" s="131"/>
      <c r="L1389" s="131"/>
      <c r="M1389" s="131"/>
      <c r="N1389" s="131"/>
      <c r="O1389" s="131"/>
      <c r="P1389" s="152"/>
    </row>
    <row r="1390" spans="1:16" s="28" customFormat="1" x14ac:dyDescent="0.25">
      <c r="A1390" s="53"/>
      <c r="B1390" s="58"/>
      <c r="C1390" s="58"/>
      <c r="D1390" s="35"/>
      <c r="E1390" s="131"/>
      <c r="F1390" s="131"/>
      <c r="G1390" s="131"/>
      <c r="H1390" s="131"/>
      <c r="I1390" s="131"/>
      <c r="J1390" s="131"/>
      <c r="K1390" s="131"/>
      <c r="L1390" s="131"/>
      <c r="M1390" s="131"/>
      <c r="N1390" s="131"/>
      <c r="O1390" s="131"/>
      <c r="P1390" s="152"/>
    </row>
    <row r="1391" spans="1:16" s="28" customFormat="1" x14ac:dyDescent="0.25">
      <c r="A1391" s="53"/>
      <c r="B1391" s="58"/>
      <c r="C1391" s="58"/>
      <c r="D1391" s="35"/>
      <c r="E1391" s="131"/>
      <c r="F1391" s="131"/>
      <c r="G1391" s="131"/>
      <c r="H1391" s="131"/>
      <c r="I1391" s="131"/>
      <c r="J1391" s="131"/>
      <c r="K1391" s="131"/>
      <c r="L1391" s="131"/>
      <c r="M1391" s="131"/>
      <c r="N1391" s="131"/>
      <c r="O1391" s="131"/>
      <c r="P1391" s="152"/>
    </row>
    <row r="1392" spans="1:16" s="28" customFormat="1" x14ac:dyDescent="0.25">
      <c r="A1392" s="53"/>
      <c r="B1392" s="58"/>
      <c r="C1392" s="58"/>
      <c r="D1392" s="35"/>
      <c r="E1392" s="131"/>
      <c r="F1392" s="131"/>
      <c r="G1392" s="131"/>
      <c r="H1392" s="131"/>
      <c r="I1392" s="131"/>
      <c r="J1392" s="131"/>
      <c r="K1392" s="131"/>
      <c r="L1392" s="131"/>
      <c r="M1392" s="131"/>
      <c r="N1392" s="131"/>
      <c r="O1392" s="131"/>
      <c r="P1392" s="152"/>
    </row>
    <row r="1393" spans="1:16" s="28" customFormat="1" x14ac:dyDescent="0.25">
      <c r="A1393" s="53"/>
      <c r="B1393" s="58"/>
      <c r="C1393" s="58"/>
      <c r="D1393" s="35"/>
      <c r="E1393" s="131"/>
      <c r="F1393" s="131"/>
      <c r="G1393" s="131"/>
      <c r="H1393" s="131"/>
      <c r="I1393" s="131"/>
      <c r="J1393" s="131"/>
      <c r="K1393" s="131"/>
      <c r="L1393" s="131"/>
      <c r="M1393" s="131"/>
      <c r="N1393" s="131"/>
      <c r="O1393" s="131"/>
      <c r="P1393" s="152"/>
    </row>
    <row r="1394" spans="1:16" s="28" customFormat="1" x14ac:dyDescent="0.25">
      <c r="A1394" s="53"/>
      <c r="B1394" s="58"/>
      <c r="C1394" s="58"/>
      <c r="D1394" s="35"/>
      <c r="E1394" s="131"/>
      <c r="F1394" s="131"/>
      <c r="G1394" s="131"/>
      <c r="H1394" s="131"/>
      <c r="I1394" s="131"/>
      <c r="J1394" s="131"/>
      <c r="K1394" s="131"/>
      <c r="L1394" s="131"/>
      <c r="M1394" s="131"/>
      <c r="N1394" s="131"/>
      <c r="O1394" s="131"/>
      <c r="P1394" s="152"/>
    </row>
    <row r="1395" spans="1:16" s="28" customFormat="1" x14ac:dyDescent="0.25">
      <c r="A1395" s="53"/>
      <c r="B1395" s="58"/>
      <c r="C1395" s="58"/>
      <c r="D1395" s="35"/>
      <c r="E1395" s="131"/>
      <c r="F1395" s="131"/>
      <c r="G1395" s="131"/>
      <c r="H1395" s="131"/>
      <c r="I1395" s="131"/>
      <c r="J1395" s="131"/>
      <c r="K1395" s="131"/>
      <c r="L1395" s="131"/>
      <c r="M1395" s="131"/>
      <c r="N1395" s="131"/>
      <c r="O1395" s="131"/>
      <c r="P1395" s="152"/>
    </row>
    <row r="1396" spans="1:16" s="28" customFormat="1" x14ac:dyDescent="0.25">
      <c r="A1396" s="53"/>
      <c r="B1396" s="58"/>
      <c r="C1396" s="58"/>
      <c r="D1396" s="35"/>
      <c r="E1396" s="131"/>
      <c r="F1396" s="131"/>
      <c r="G1396" s="131"/>
      <c r="H1396" s="131"/>
      <c r="I1396" s="131"/>
      <c r="J1396" s="131"/>
      <c r="K1396" s="131"/>
      <c r="L1396" s="131"/>
      <c r="M1396" s="131"/>
      <c r="N1396" s="131"/>
      <c r="O1396" s="131"/>
      <c r="P1396" s="152"/>
    </row>
    <row r="1397" spans="1:16" s="28" customFormat="1" x14ac:dyDescent="0.25">
      <c r="A1397" s="53"/>
      <c r="B1397" s="58"/>
      <c r="C1397" s="58"/>
      <c r="D1397" s="35"/>
      <c r="E1397" s="131"/>
      <c r="F1397" s="131"/>
      <c r="G1397" s="131"/>
      <c r="H1397" s="131"/>
      <c r="I1397" s="131"/>
      <c r="J1397" s="131"/>
      <c r="K1397" s="131"/>
      <c r="L1397" s="131"/>
      <c r="M1397" s="131"/>
      <c r="N1397" s="131"/>
      <c r="O1397" s="131"/>
      <c r="P1397" s="152"/>
    </row>
    <row r="1398" spans="1:16" s="28" customFormat="1" x14ac:dyDescent="0.25">
      <c r="A1398" s="53"/>
      <c r="B1398" s="58"/>
      <c r="C1398" s="58"/>
      <c r="D1398" s="35"/>
      <c r="E1398" s="131"/>
      <c r="F1398" s="131"/>
      <c r="G1398" s="131"/>
      <c r="H1398" s="131"/>
      <c r="I1398" s="131"/>
      <c r="J1398" s="131"/>
      <c r="K1398" s="131"/>
      <c r="L1398" s="131"/>
      <c r="M1398" s="131"/>
      <c r="N1398" s="131"/>
      <c r="O1398" s="131"/>
      <c r="P1398" s="152"/>
    </row>
    <row r="1399" spans="1:16" s="28" customFormat="1" x14ac:dyDescent="0.25">
      <c r="A1399" s="53"/>
      <c r="B1399" s="58"/>
      <c r="C1399" s="58"/>
      <c r="D1399" s="35"/>
      <c r="E1399" s="131"/>
      <c r="F1399" s="131"/>
      <c r="G1399" s="131"/>
      <c r="H1399" s="131"/>
      <c r="I1399" s="131"/>
      <c r="J1399" s="131"/>
      <c r="K1399" s="131"/>
      <c r="L1399" s="131"/>
      <c r="M1399" s="131"/>
      <c r="N1399" s="131"/>
      <c r="O1399" s="131"/>
      <c r="P1399" s="152"/>
    </row>
    <row r="1400" spans="1:16" s="28" customFormat="1" x14ac:dyDescent="0.25">
      <c r="A1400" s="53"/>
      <c r="B1400" s="58"/>
      <c r="C1400" s="58"/>
      <c r="D1400" s="35"/>
      <c r="E1400" s="131"/>
      <c r="F1400" s="131"/>
      <c r="G1400" s="131"/>
      <c r="H1400" s="131"/>
      <c r="I1400" s="131"/>
      <c r="J1400" s="131"/>
      <c r="K1400" s="131"/>
      <c r="L1400" s="131"/>
      <c r="M1400" s="131"/>
      <c r="N1400" s="131"/>
      <c r="O1400" s="131"/>
      <c r="P1400" s="152"/>
    </row>
    <row r="1401" spans="1:16" s="28" customFormat="1" x14ac:dyDescent="0.25">
      <c r="A1401" s="53"/>
      <c r="B1401" s="58"/>
      <c r="C1401" s="58"/>
      <c r="D1401" s="35"/>
      <c r="E1401" s="131"/>
      <c r="F1401" s="131"/>
      <c r="G1401" s="131"/>
      <c r="H1401" s="131"/>
      <c r="I1401" s="131"/>
      <c r="J1401" s="131"/>
      <c r="K1401" s="131"/>
      <c r="L1401" s="131"/>
      <c r="M1401" s="131"/>
      <c r="N1401" s="131"/>
      <c r="O1401" s="131"/>
      <c r="P1401" s="152"/>
    </row>
    <row r="1402" spans="1:16" s="28" customFormat="1" x14ac:dyDescent="0.25">
      <c r="A1402" s="53"/>
      <c r="B1402" s="58"/>
      <c r="C1402" s="58"/>
      <c r="D1402" s="35"/>
      <c r="E1402" s="131"/>
      <c r="F1402" s="131"/>
      <c r="G1402" s="131"/>
      <c r="H1402" s="131"/>
      <c r="I1402" s="131"/>
      <c r="J1402" s="131"/>
      <c r="K1402" s="131"/>
      <c r="L1402" s="131"/>
      <c r="M1402" s="131"/>
      <c r="N1402" s="131"/>
      <c r="O1402" s="131"/>
      <c r="P1402" s="152"/>
    </row>
    <row r="1403" spans="1:16" s="28" customFormat="1" x14ac:dyDescent="0.25">
      <c r="A1403" s="53"/>
      <c r="B1403" s="58"/>
      <c r="C1403" s="58"/>
      <c r="D1403" s="35"/>
      <c r="E1403" s="131"/>
      <c r="F1403" s="131"/>
      <c r="G1403" s="131"/>
      <c r="H1403" s="131"/>
      <c r="I1403" s="131"/>
      <c r="J1403" s="131"/>
      <c r="K1403" s="131"/>
      <c r="L1403" s="131"/>
      <c r="M1403" s="131"/>
      <c r="N1403" s="131"/>
      <c r="O1403" s="131"/>
      <c r="P1403" s="152"/>
    </row>
    <row r="1404" spans="1:16" s="28" customFormat="1" x14ac:dyDescent="0.25">
      <c r="A1404" s="53"/>
      <c r="B1404" s="58"/>
      <c r="C1404" s="58"/>
      <c r="D1404" s="35"/>
      <c r="E1404" s="131"/>
      <c r="F1404" s="131"/>
      <c r="G1404" s="131"/>
      <c r="H1404" s="131"/>
      <c r="I1404" s="131"/>
      <c r="J1404" s="131"/>
      <c r="K1404" s="131"/>
      <c r="L1404" s="131"/>
      <c r="M1404" s="131"/>
      <c r="N1404" s="131"/>
      <c r="O1404" s="131"/>
      <c r="P1404" s="152"/>
    </row>
    <row r="1405" spans="1:16" s="28" customFormat="1" x14ac:dyDescent="0.25">
      <c r="A1405" s="53"/>
      <c r="B1405" s="58"/>
      <c r="C1405" s="58"/>
      <c r="D1405" s="35"/>
      <c r="E1405" s="131"/>
      <c r="F1405" s="131"/>
      <c r="G1405" s="131"/>
      <c r="H1405" s="131"/>
      <c r="I1405" s="131"/>
      <c r="J1405" s="131"/>
      <c r="K1405" s="131"/>
      <c r="L1405" s="131"/>
      <c r="M1405" s="131"/>
      <c r="N1405" s="131"/>
      <c r="O1405" s="131"/>
      <c r="P1405" s="152"/>
    </row>
    <row r="1406" spans="1:16" s="28" customFormat="1" x14ac:dyDescent="0.25">
      <c r="A1406" s="53"/>
      <c r="B1406" s="58"/>
      <c r="C1406" s="58"/>
      <c r="D1406" s="35"/>
      <c r="E1406" s="131"/>
      <c r="F1406" s="131"/>
      <c r="G1406" s="131"/>
      <c r="H1406" s="131"/>
      <c r="I1406" s="131"/>
      <c r="J1406" s="131"/>
      <c r="K1406" s="131"/>
      <c r="L1406" s="131"/>
      <c r="M1406" s="131"/>
      <c r="N1406" s="131"/>
      <c r="O1406" s="131"/>
      <c r="P1406" s="152"/>
    </row>
    <row r="1407" spans="1:16" s="28" customFormat="1" x14ac:dyDescent="0.25">
      <c r="A1407" s="53"/>
      <c r="B1407" s="58"/>
      <c r="C1407" s="58"/>
      <c r="D1407" s="35"/>
      <c r="E1407" s="131"/>
      <c r="F1407" s="131"/>
      <c r="G1407" s="131"/>
      <c r="H1407" s="131"/>
      <c r="I1407" s="131"/>
      <c r="J1407" s="131"/>
      <c r="K1407" s="131"/>
      <c r="L1407" s="131"/>
      <c r="M1407" s="131"/>
      <c r="N1407" s="131"/>
      <c r="O1407" s="131"/>
      <c r="P1407" s="152"/>
    </row>
    <row r="1408" spans="1:16" s="28" customFormat="1" x14ac:dyDescent="0.25">
      <c r="A1408" s="53"/>
      <c r="B1408" s="58"/>
      <c r="C1408" s="58"/>
      <c r="D1408" s="35"/>
      <c r="E1408" s="131"/>
      <c r="F1408" s="131"/>
      <c r="G1408" s="131"/>
      <c r="H1408" s="131"/>
      <c r="I1408" s="131"/>
      <c r="J1408" s="131"/>
      <c r="K1408" s="131"/>
      <c r="L1408" s="131"/>
      <c r="M1408" s="131"/>
      <c r="N1408" s="131"/>
      <c r="O1408" s="131"/>
      <c r="P1408" s="152"/>
    </row>
    <row r="1409" spans="1:16" s="28" customFormat="1" x14ac:dyDescent="0.25">
      <c r="A1409" s="53"/>
      <c r="B1409" s="58"/>
      <c r="C1409" s="58"/>
      <c r="D1409" s="35"/>
      <c r="E1409" s="131"/>
      <c r="F1409" s="131"/>
      <c r="G1409" s="131"/>
      <c r="H1409" s="131"/>
      <c r="I1409" s="131"/>
      <c r="J1409" s="131"/>
      <c r="K1409" s="131"/>
      <c r="L1409" s="131"/>
      <c r="M1409" s="131"/>
      <c r="N1409" s="131"/>
      <c r="O1409" s="131"/>
      <c r="P1409" s="152"/>
    </row>
    <row r="1410" spans="1:16" s="28" customFormat="1" x14ac:dyDescent="0.25">
      <c r="A1410" s="53"/>
      <c r="B1410" s="58"/>
      <c r="C1410" s="58"/>
      <c r="D1410" s="35"/>
      <c r="E1410" s="131"/>
      <c r="F1410" s="131"/>
      <c r="G1410" s="131"/>
      <c r="H1410" s="131"/>
      <c r="I1410" s="131"/>
      <c r="J1410" s="131"/>
      <c r="K1410" s="131"/>
      <c r="L1410" s="131"/>
      <c r="M1410" s="131"/>
      <c r="N1410" s="131"/>
      <c r="O1410" s="131"/>
      <c r="P1410" s="152"/>
    </row>
    <row r="1411" spans="1:16" s="28" customFormat="1" x14ac:dyDescent="0.25">
      <c r="A1411" s="53"/>
      <c r="B1411" s="58"/>
      <c r="C1411" s="58"/>
      <c r="D1411" s="35"/>
      <c r="E1411" s="131"/>
      <c r="F1411" s="131"/>
      <c r="G1411" s="131"/>
      <c r="H1411" s="131"/>
      <c r="I1411" s="131"/>
      <c r="J1411" s="131"/>
      <c r="K1411" s="131"/>
      <c r="L1411" s="131"/>
      <c r="M1411" s="131"/>
      <c r="N1411" s="131"/>
      <c r="O1411" s="131"/>
      <c r="P1411" s="152"/>
    </row>
    <row r="1412" spans="1:16" s="28" customFormat="1" x14ac:dyDescent="0.25">
      <c r="A1412" s="53"/>
      <c r="B1412" s="58"/>
      <c r="C1412" s="58"/>
      <c r="D1412" s="35"/>
      <c r="E1412" s="131"/>
      <c r="F1412" s="131"/>
      <c r="G1412" s="131"/>
      <c r="H1412" s="131"/>
      <c r="I1412" s="131"/>
      <c r="J1412" s="131"/>
      <c r="K1412" s="131"/>
      <c r="L1412" s="131"/>
      <c r="M1412" s="131"/>
      <c r="N1412" s="131"/>
      <c r="O1412" s="131"/>
      <c r="P1412" s="152"/>
    </row>
    <row r="1413" spans="1:16" s="28" customFormat="1" x14ac:dyDescent="0.25">
      <c r="A1413" s="53"/>
      <c r="B1413" s="58"/>
      <c r="C1413" s="58"/>
      <c r="D1413" s="35"/>
      <c r="E1413" s="131"/>
      <c r="F1413" s="131"/>
      <c r="G1413" s="131"/>
      <c r="H1413" s="131"/>
      <c r="I1413" s="131"/>
      <c r="J1413" s="131"/>
      <c r="K1413" s="131"/>
      <c r="L1413" s="131"/>
      <c r="M1413" s="131"/>
      <c r="N1413" s="131"/>
      <c r="O1413" s="131"/>
      <c r="P1413" s="152"/>
    </row>
    <row r="1414" spans="1:16" s="28" customFormat="1" x14ac:dyDescent="0.25">
      <c r="A1414" s="53"/>
      <c r="B1414" s="58"/>
      <c r="C1414" s="58"/>
      <c r="D1414" s="35"/>
      <c r="E1414" s="131"/>
      <c r="F1414" s="131"/>
      <c r="G1414" s="131"/>
      <c r="H1414" s="131"/>
      <c r="I1414" s="131"/>
      <c r="J1414" s="131"/>
      <c r="K1414" s="131"/>
      <c r="L1414" s="131"/>
      <c r="M1414" s="131"/>
      <c r="N1414" s="131"/>
      <c r="O1414" s="131"/>
      <c r="P1414" s="152"/>
    </row>
    <row r="1415" spans="1:16" s="28" customFormat="1" x14ac:dyDescent="0.25">
      <c r="A1415" s="53"/>
      <c r="B1415" s="58"/>
      <c r="C1415" s="58"/>
      <c r="D1415" s="35"/>
      <c r="E1415" s="131"/>
      <c r="F1415" s="131"/>
      <c r="G1415" s="131"/>
      <c r="H1415" s="131"/>
      <c r="I1415" s="131"/>
      <c r="J1415" s="131"/>
      <c r="K1415" s="131"/>
      <c r="L1415" s="131"/>
      <c r="M1415" s="131"/>
      <c r="N1415" s="131"/>
      <c r="O1415" s="131"/>
      <c r="P1415" s="152"/>
    </row>
    <row r="1416" spans="1:16" s="28" customFormat="1" x14ac:dyDescent="0.25">
      <c r="A1416" s="53"/>
      <c r="B1416" s="58"/>
      <c r="C1416" s="58"/>
      <c r="D1416" s="35"/>
      <c r="E1416" s="131"/>
      <c r="F1416" s="131"/>
      <c r="G1416" s="131"/>
      <c r="H1416" s="131"/>
      <c r="I1416" s="131"/>
      <c r="J1416" s="131"/>
      <c r="K1416" s="131"/>
      <c r="L1416" s="131"/>
      <c r="M1416" s="131"/>
      <c r="N1416" s="131"/>
      <c r="O1416" s="131"/>
      <c r="P1416" s="152"/>
    </row>
    <row r="1417" spans="1:16" s="28" customFormat="1" x14ac:dyDescent="0.25">
      <c r="A1417" s="53"/>
      <c r="B1417" s="58"/>
      <c r="C1417" s="58"/>
      <c r="D1417" s="35"/>
      <c r="E1417" s="131"/>
      <c r="F1417" s="131"/>
      <c r="G1417" s="131"/>
      <c r="H1417" s="131"/>
      <c r="I1417" s="131"/>
      <c r="J1417" s="131"/>
      <c r="K1417" s="131"/>
      <c r="L1417" s="131"/>
      <c r="M1417" s="131"/>
      <c r="N1417" s="131"/>
      <c r="O1417" s="131"/>
      <c r="P1417" s="152"/>
    </row>
    <row r="1418" spans="1:16" s="28" customFormat="1" x14ac:dyDescent="0.25">
      <c r="A1418" s="53"/>
      <c r="B1418" s="58"/>
      <c r="C1418" s="58"/>
      <c r="D1418" s="35"/>
      <c r="E1418" s="131"/>
      <c r="F1418" s="131"/>
      <c r="G1418" s="131"/>
      <c r="H1418" s="131"/>
      <c r="I1418" s="131"/>
      <c r="J1418" s="131"/>
      <c r="K1418" s="131"/>
      <c r="L1418" s="131"/>
      <c r="M1418" s="131"/>
      <c r="N1418" s="131"/>
      <c r="O1418" s="131"/>
      <c r="P1418" s="152"/>
    </row>
    <row r="1419" spans="1:16" s="28" customFormat="1" x14ac:dyDescent="0.25">
      <c r="A1419" s="53"/>
      <c r="B1419" s="58"/>
      <c r="C1419" s="58"/>
      <c r="D1419" s="35"/>
      <c r="E1419" s="131"/>
      <c r="F1419" s="131"/>
      <c r="G1419" s="131"/>
      <c r="H1419" s="131"/>
      <c r="I1419" s="131"/>
      <c r="J1419" s="131"/>
      <c r="K1419" s="131"/>
      <c r="L1419" s="131"/>
      <c r="M1419" s="131"/>
      <c r="N1419" s="131"/>
      <c r="O1419" s="131"/>
      <c r="P1419" s="152"/>
    </row>
    <row r="1420" spans="1:16" s="28" customFormat="1" x14ac:dyDescent="0.25">
      <c r="A1420" s="53"/>
      <c r="B1420" s="58"/>
      <c r="C1420" s="58"/>
      <c r="D1420" s="35"/>
      <c r="E1420" s="131"/>
      <c r="F1420" s="131"/>
      <c r="G1420" s="131"/>
      <c r="H1420" s="131"/>
      <c r="I1420" s="131"/>
      <c r="J1420" s="131"/>
      <c r="K1420" s="131"/>
      <c r="L1420" s="131"/>
      <c r="M1420" s="131"/>
      <c r="N1420" s="131"/>
      <c r="O1420" s="131"/>
      <c r="P1420" s="152"/>
    </row>
    <row r="1421" spans="1:16" s="28" customFormat="1" x14ac:dyDescent="0.25">
      <c r="A1421" s="53"/>
      <c r="B1421" s="58"/>
      <c r="C1421" s="58"/>
      <c r="D1421" s="35"/>
      <c r="E1421" s="131"/>
      <c r="F1421" s="131"/>
      <c r="G1421" s="131"/>
      <c r="H1421" s="131"/>
      <c r="I1421" s="131"/>
      <c r="J1421" s="131"/>
      <c r="K1421" s="131"/>
      <c r="L1421" s="131"/>
      <c r="M1421" s="131"/>
      <c r="N1421" s="131"/>
      <c r="O1421" s="131"/>
      <c r="P1421" s="152"/>
    </row>
    <row r="1422" spans="1:16" s="28" customFormat="1" x14ac:dyDescent="0.25">
      <c r="A1422" s="53"/>
      <c r="B1422" s="58"/>
      <c r="C1422" s="58"/>
      <c r="D1422" s="35"/>
      <c r="E1422" s="131"/>
      <c r="F1422" s="131"/>
      <c r="G1422" s="131"/>
      <c r="H1422" s="131"/>
      <c r="I1422" s="131"/>
      <c r="J1422" s="131"/>
      <c r="K1422" s="131"/>
      <c r="L1422" s="131"/>
      <c r="M1422" s="131"/>
      <c r="N1422" s="131"/>
      <c r="O1422" s="131"/>
      <c r="P1422" s="152"/>
    </row>
    <row r="1423" spans="1:16" s="28" customFormat="1" x14ac:dyDescent="0.25">
      <c r="A1423" s="53"/>
      <c r="B1423" s="58"/>
      <c r="C1423" s="58"/>
      <c r="D1423" s="35"/>
      <c r="E1423" s="131"/>
      <c r="F1423" s="131"/>
      <c r="G1423" s="131"/>
      <c r="H1423" s="131"/>
      <c r="I1423" s="131"/>
      <c r="J1423" s="131"/>
      <c r="K1423" s="131"/>
      <c r="L1423" s="131"/>
      <c r="M1423" s="131"/>
      <c r="N1423" s="131"/>
      <c r="O1423" s="131"/>
      <c r="P1423" s="152"/>
    </row>
    <row r="1424" spans="1:16" s="28" customFormat="1" x14ac:dyDescent="0.25">
      <c r="A1424" s="53"/>
      <c r="B1424" s="58"/>
      <c r="C1424" s="58"/>
      <c r="D1424" s="35"/>
      <c r="E1424" s="131"/>
      <c r="F1424" s="131"/>
      <c r="G1424" s="131"/>
      <c r="H1424" s="131"/>
      <c r="I1424" s="131"/>
      <c r="J1424" s="131"/>
      <c r="K1424" s="131"/>
      <c r="L1424" s="131"/>
      <c r="M1424" s="131"/>
      <c r="N1424" s="131"/>
      <c r="O1424" s="131"/>
      <c r="P1424" s="152"/>
    </row>
    <row r="1425" spans="1:16" s="28" customFormat="1" x14ac:dyDescent="0.25">
      <c r="A1425" s="53"/>
      <c r="B1425" s="58"/>
      <c r="C1425" s="58"/>
      <c r="D1425" s="35"/>
      <c r="E1425" s="131"/>
      <c r="F1425" s="131"/>
      <c r="G1425" s="131"/>
      <c r="H1425" s="131"/>
      <c r="I1425" s="131"/>
      <c r="J1425" s="131"/>
      <c r="K1425" s="131"/>
      <c r="L1425" s="131"/>
      <c r="M1425" s="131"/>
      <c r="N1425" s="131"/>
      <c r="O1425" s="131"/>
      <c r="P1425" s="152"/>
    </row>
    <row r="1426" spans="1:16" s="28" customFormat="1" x14ac:dyDescent="0.25">
      <c r="A1426" s="53"/>
      <c r="B1426" s="58"/>
      <c r="C1426" s="58"/>
      <c r="D1426" s="35"/>
      <c r="E1426" s="131"/>
      <c r="F1426" s="131"/>
      <c r="G1426" s="131"/>
      <c r="H1426" s="131"/>
      <c r="I1426" s="131"/>
      <c r="J1426" s="131"/>
      <c r="K1426" s="131"/>
      <c r="L1426" s="131"/>
      <c r="M1426" s="131"/>
      <c r="N1426" s="131"/>
      <c r="O1426" s="131"/>
      <c r="P1426" s="152"/>
    </row>
    <row r="1427" spans="1:16" s="28" customFormat="1" x14ac:dyDescent="0.25">
      <c r="A1427" s="53"/>
      <c r="B1427" s="58"/>
      <c r="C1427" s="58"/>
      <c r="D1427" s="35"/>
      <c r="E1427" s="131"/>
      <c r="F1427" s="131"/>
      <c r="G1427" s="131"/>
      <c r="H1427" s="131"/>
      <c r="I1427" s="131"/>
      <c r="J1427" s="131"/>
      <c r="K1427" s="131"/>
      <c r="L1427" s="131"/>
      <c r="M1427" s="131"/>
      <c r="N1427" s="131"/>
      <c r="O1427" s="131"/>
      <c r="P1427" s="152"/>
    </row>
    <row r="1428" spans="1:16" s="28" customFormat="1" x14ac:dyDescent="0.25">
      <c r="A1428" s="53"/>
      <c r="B1428" s="58"/>
      <c r="C1428" s="58"/>
      <c r="D1428" s="35"/>
      <c r="E1428" s="131"/>
      <c r="F1428" s="131"/>
      <c r="G1428" s="131"/>
      <c r="H1428" s="131"/>
      <c r="I1428" s="131"/>
      <c r="J1428" s="131"/>
      <c r="K1428" s="131"/>
      <c r="L1428" s="131"/>
      <c r="M1428" s="131"/>
      <c r="N1428" s="131"/>
      <c r="O1428" s="131"/>
      <c r="P1428" s="152"/>
    </row>
    <row r="1429" spans="1:16" s="28" customFormat="1" x14ac:dyDescent="0.25">
      <c r="A1429" s="53"/>
      <c r="B1429" s="58"/>
      <c r="C1429" s="58"/>
      <c r="D1429" s="35"/>
      <c r="E1429" s="131"/>
      <c r="F1429" s="131"/>
      <c r="G1429" s="131"/>
      <c r="H1429" s="131"/>
      <c r="I1429" s="131"/>
      <c r="J1429" s="131"/>
      <c r="K1429" s="131"/>
      <c r="L1429" s="131"/>
      <c r="M1429" s="131"/>
      <c r="N1429" s="131"/>
      <c r="O1429" s="131"/>
      <c r="P1429" s="152"/>
    </row>
    <row r="1430" spans="1:16" s="28" customFormat="1" x14ac:dyDescent="0.25">
      <c r="A1430" s="53"/>
      <c r="B1430" s="58"/>
      <c r="C1430" s="58"/>
      <c r="D1430" s="35"/>
      <c r="E1430" s="131"/>
      <c r="F1430" s="131"/>
      <c r="G1430" s="131"/>
      <c r="H1430" s="131"/>
      <c r="I1430" s="131"/>
      <c r="J1430" s="131"/>
      <c r="K1430" s="131"/>
      <c r="L1430" s="131"/>
      <c r="M1430" s="131"/>
      <c r="N1430" s="131"/>
      <c r="O1430" s="131"/>
      <c r="P1430" s="152"/>
    </row>
    <row r="1431" spans="1:16" s="28" customFormat="1" x14ac:dyDescent="0.25">
      <c r="A1431" s="53"/>
      <c r="B1431" s="58"/>
      <c r="C1431" s="58"/>
      <c r="D1431" s="35"/>
      <c r="E1431" s="131"/>
      <c r="F1431" s="131"/>
      <c r="G1431" s="131"/>
      <c r="H1431" s="131"/>
      <c r="I1431" s="131"/>
      <c r="J1431" s="131"/>
      <c r="K1431" s="131"/>
      <c r="L1431" s="131"/>
      <c r="M1431" s="131"/>
      <c r="N1431" s="131"/>
      <c r="O1431" s="131"/>
      <c r="P1431" s="152"/>
    </row>
    <row r="1432" spans="1:16" s="28" customFormat="1" x14ac:dyDescent="0.25">
      <c r="A1432" s="53"/>
      <c r="B1432" s="58"/>
      <c r="C1432" s="58"/>
      <c r="D1432" s="35"/>
      <c r="E1432" s="131"/>
      <c r="F1432" s="131"/>
      <c r="G1432" s="131"/>
      <c r="H1432" s="131"/>
      <c r="I1432" s="131"/>
      <c r="J1432" s="131"/>
      <c r="K1432" s="131"/>
      <c r="L1432" s="131"/>
      <c r="M1432" s="131"/>
      <c r="N1432" s="131"/>
      <c r="O1432" s="131"/>
      <c r="P1432" s="152"/>
    </row>
    <row r="1433" spans="1:16" s="28" customFormat="1" x14ac:dyDescent="0.25">
      <c r="A1433" s="53"/>
      <c r="B1433" s="58"/>
      <c r="C1433" s="58"/>
      <c r="D1433" s="35"/>
      <c r="E1433" s="131"/>
      <c r="F1433" s="131"/>
      <c r="G1433" s="131"/>
      <c r="H1433" s="131"/>
      <c r="I1433" s="131"/>
      <c r="J1433" s="131"/>
      <c r="K1433" s="131"/>
      <c r="L1433" s="131"/>
      <c r="M1433" s="131"/>
      <c r="N1433" s="131"/>
      <c r="O1433" s="131"/>
      <c r="P1433" s="152"/>
    </row>
    <row r="1434" spans="1:16" s="28" customFormat="1" x14ac:dyDescent="0.25">
      <c r="A1434" s="53"/>
      <c r="B1434" s="58"/>
      <c r="C1434" s="58"/>
      <c r="D1434" s="35"/>
      <c r="E1434" s="131"/>
      <c r="F1434" s="131"/>
      <c r="G1434" s="131"/>
      <c r="H1434" s="131"/>
      <c r="I1434" s="131"/>
      <c r="J1434" s="131"/>
      <c r="K1434" s="131"/>
      <c r="L1434" s="131"/>
      <c r="M1434" s="131"/>
      <c r="N1434" s="131"/>
      <c r="O1434" s="131"/>
      <c r="P1434" s="152"/>
    </row>
    <row r="1435" spans="1:16" s="28" customFormat="1" x14ac:dyDescent="0.25">
      <c r="A1435" s="53"/>
      <c r="B1435" s="58"/>
      <c r="C1435" s="58"/>
      <c r="D1435" s="35"/>
      <c r="E1435" s="131"/>
      <c r="F1435" s="131"/>
      <c r="G1435" s="131"/>
      <c r="H1435" s="131"/>
      <c r="I1435" s="131"/>
      <c r="J1435" s="131"/>
      <c r="K1435" s="131"/>
      <c r="L1435" s="131"/>
      <c r="M1435" s="131"/>
      <c r="N1435" s="131"/>
      <c r="O1435" s="131"/>
      <c r="P1435" s="152"/>
    </row>
    <row r="1436" spans="1:16" s="28" customFormat="1" x14ac:dyDescent="0.25">
      <c r="A1436" s="53"/>
      <c r="B1436" s="58"/>
      <c r="C1436" s="58"/>
      <c r="D1436" s="35"/>
      <c r="E1436" s="131"/>
      <c r="F1436" s="131"/>
      <c r="G1436" s="131"/>
      <c r="H1436" s="131"/>
      <c r="I1436" s="131"/>
      <c r="J1436" s="131"/>
      <c r="K1436" s="131"/>
      <c r="L1436" s="131"/>
      <c r="M1436" s="131"/>
      <c r="N1436" s="131"/>
      <c r="O1436" s="131"/>
      <c r="P1436" s="152"/>
    </row>
    <row r="1437" spans="1:16" s="28" customFormat="1" x14ac:dyDescent="0.25">
      <c r="A1437" s="53"/>
      <c r="B1437" s="58"/>
      <c r="C1437" s="58"/>
      <c r="D1437" s="35"/>
      <c r="E1437" s="131"/>
      <c r="F1437" s="131"/>
      <c r="G1437" s="131"/>
      <c r="H1437" s="131"/>
      <c r="I1437" s="131"/>
      <c r="J1437" s="131"/>
      <c r="K1437" s="131"/>
      <c r="L1437" s="131"/>
      <c r="M1437" s="131"/>
      <c r="N1437" s="131"/>
      <c r="O1437" s="131"/>
      <c r="P1437" s="152"/>
    </row>
    <row r="1438" spans="1:16" s="28" customFormat="1" x14ac:dyDescent="0.25">
      <c r="A1438" s="53"/>
      <c r="B1438" s="58"/>
      <c r="C1438" s="58"/>
      <c r="D1438" s="35"/>
      <c r="E1438" s="131"/>
      <c r="F1438" s="131"/>
      <c r="G1438" s="131"/>
      <c r="H1438" s="131"/>
      <c r="I1438" s="131"/>
      <c r="J1438" s="131"/>
      <c r="K1438" s="131"/>
      <c r="L1438" s="131"/>
      <c r="M1438" s="131"/>
      <c r="N1438" s="131"/>
      <c r="O1438" s="131"/>
      <c r="P1438" s="152"/>
    </row>
    <row r="1439" spans="1:16" s="28" customFormat="1" x14ac:dyDescent="0.25">
      <c r="A1439" s="53"/>
      <c r="B1439" s="58"/>
      <c r="C1439" s="58"/>
      <c r="D1439" s="35"/>
      <c r="E1439" s="131"/>
      <c r="F1439" s="131"/>
      <c r="G1439" s="131"/>
      <c r="H1439" s="131"/>
      <c r="I1439" s="131"/>
      <c r="J1439" s="131"/>
      <c r="K1439" s="131"/>
      <c r="L1439" s="131"/>
      <c r="M1439" s="131"/>
      <c r="N1439" s="131"/>
      <c r="O1439" s="131"/>
      <c r="P1439" s="152"/>
    </row>
    <row r="1440" spans="1:16" s="28" customFormat="1" x14ac:dyDescent="0.25">
      <c r="A1440" s="53"/>
      <c r="B1440" s="58"/>
      <c r="C1440" s="58"/>
      <c r="D1440" s="35"/>
      <c r="E1440" s="131"/>
      <c r="F1440" s="131"/>
      <c r="G1440" s="131"/>
      <c r="H1440" s="131"/>
      <c r="I1440" s="131"/>
      <c r="J1440" s="131"/>
      <c r="K1440" s="131"/>
      <c r="L1440" s="131"/>
      <c r="M1440" s="131"/>
      <c r="N1440" s="131"/>
      <c r="O1440" s="131"/>
      <c r="P1440" s="152"/>
    </row>
    <row r="1441" spans="1:16" s="28" customFormat="1" x14ac:dyDescent="0.25">
      <c r="A1441" s="53"/>
      <c r="B1441" s="58"/>
      <c r="C1441" s="58"/>
      <c r="D1441" s="35"/>
      <c r="E1441" s="131"/>
      <c r="F1441" s="131"/>
      <c r="G1441" s="131"/>
      <c r="H1441" s="131"/>
      <c r="I1441" s="131"/>
      <c r="J1441" s="131"/>
      <c r="K1441" s="131"/>
      <c r="L1441" s="131"/>
      <c r="M1441" s="131"/>
      <c r="N1441" s="131"/>
      <c r="O1441" s="131"/>
      <c r="P1441" s="152"/>
    </row>
    <row r="1442" spans="1:16" s="28" customFormat="1" x14ac:dyDescent="0.25">
      <c r="A1442" s="53"/>
      <c r="B1442" s="58"/>
      <c r="C1442" s="58"/>
      <c r="D1442" s="35"/>
      <c r="E1442" s="131"/>
      <c r="F1442" s="131"/>
      <c r="G1442" s="131"/>
      <c r="H1442" s="131"/>
      <c r="I1442" s="131"/>
      <c r="J1442" s="131"/>
      <c r="K1442" s="131"/>
      <c r="L1442" s="131"/>
      <c r="M1442" s="131"/>
      <c r="N1442" s="131"/>
      <c r="O1442" s="131"/>
      <c r="P1442" s="152"/>
    </row>
    <row r="1443" spans="1:16" s="28" customFormat="1" x14ac:dyDescent="0.25">
      <c r="A1443" s="53"/>
      <c r="B1443" s="58"/>
      <c r="C1443" s="58"/>
      <c r="D1443" s="35"/>
      <c r="E1443" s="131"/>
      <c r="F1443" s="131"/>
      <c r="G1443" s="131"/>
      <c r="H1443" s="131"/>
      <c r="I1443" s="131"/>
      <c r="J1443" s="131"/>
      <c r="K1443" s="131"/>
      <c r="L1443" s="131"/>
      <c r="M1443" s="131"/>
      <c r="N1443" s="131"/>
      <c r="O1443" s="131"/>
      <c r="P1443" s="152"/>
    </row>
    <row r="1444" spans="1:16" s="28" customFormat="1" x14ac:dyDescent="0.25">
      <c r="A1444" s="53"/>
      <c r="B1444" s="58"/>
      <c r="C1444" s="58"/>
      <c r="D1444" s="35"/>
      <c r="E1444" s="131"/>
      <c r="F1444" s="131"/>
      <c r="G1444" s="131"/>
      <c r="H1444" s="131"/>
      <c r="I1444" s="131"/>
      <c r="J1444" s="131"/>
      <c r="K1444" s="131"/>
      <c r="L1444" s="131"/>
      <c r="M1444" s="131"/>
      <c r="N1444" s="131"/>
      <c r="O1444" s="131"/>
      <c r="P1444" s="152"/>
    </row>
    <row r="1445" spans="1:16" s="28" customFormat="1" x14ac:dyDescent="0.25">
      <c r="A1445" s="53"/>
      <c r="B1445" s="58"/>
      <c r="C1445" s="58"/>
      <c r="D1445" s="35"/>
      <c r="E1445" s="131"/>
      <c r="F1445" s="131"/>
      <c r="G1445" s="131"/>
      <c r="H1445" s="131"/>
      <c r="I1445" s="131"/>
      <c r="J1445" s="131"/>
      <c r="K1445" s="131"/>
      <c r="L1445" s="131"/>
      <c r="M1445" s="131"/>
      <c r="N1445" s="131"/>
      <c r="O1445" s="131"/>
      <c r="P1445" s="152"/>
    </row>
    <row r="1446" spans="1:16" s="28" customFormat="1" x14ac:dyDescent="0.25">
      <c r="A1446" s="53"/>
      <c r="B1446" s="58"/>
      <c r="C1446" s="58"/>
      <c r="D1446" s="35"/>
      <c r="E1446" s="131"/>
      <c r="F1446" s="131"/>
      <c r="G1446" s="131"/>
      <c r="H1446" s="131"/>
      <c r="I1446" s="131"/>
      <c r="J1446" s="131"/>
      <c r="K1446" s="131"/>
      <c r="L1446" s="131"/>
      <c r="M1446" s="131"/>
      <c r="N1446" s="131"/>
      <c r="O1446" s="131"/>
      <c r="P1446" s="152"/>
    </row>
    <row r="1447" spans="1:16" s="28" customFormat="1" x14ac:dyDescent="0.25">
      <c r="A1447" s="53"/>
      <c r="B1447" s="58"/>
      <c r="C1447" s="58"/>
      <c r="D1447" s="35"/>
      <c r="E1447" s="131"/>
      <c r="F1447" s="131"/>
      <c r="G1447" s="131"/>
      <c r="H1447" s="131"/>
      <c r="I1447" s="131"/>
      <c r="J1447" s="131"/>
      <c r="K1447" s="131"/>
      <c r="L1447" s="131"/>
      <c r="M1447" s="131"/>
      <c r="N1447" s="131"/>
      <c r="O1447" s="131"/>
      <c r="P1447" s="152"/>
    </row>
    <row r="1448" spans="1:16" s="28" customFormat="1" x14ac:dyDescent="0.25">
      <c r="A1448" s="53"/>
      <c r="B1448" s="58"/>
      <c r="C1448" s="58"/>
      <c r="D1448" s="35"/>
      <c r="E1448" s="131"/>
      <c r="F1448" s="131"/>
      <c r="G1448" s="131"/>
      <c r="H1448" s="131"/>
      <c r="I1448" s="131"/>
      <c r="J1448" s="131"/>
      <c r="K1448" s="131"/>
      <c r="L1448" s="131"/>
      <c r="M1448" s="131"/>
      <c r="N1448" s="131"/>
      <c r="O1448" s="131"/>
      <c r="P1448" s="152"/>
    </row>
    <row r="1449" spans="1:16" s="28" customFormat="1" x14ac:dyDescent="0.25">
      <c r="A1449" s="53"/>
      <c r="B1449" s="58"/>
      <c r="C1449" s="58"/>
      <c r="D1449" s="35"/>
      <c r="E1449" s="131"/>
      <c r="F1449" s="131"/>
      <c r="G1449" s="131"/>
      <c r="H1449" s="131"/>
      <c r="I1449" s="131"/>
      <c r="J1449" s="131"/>
      <c r="K1449" s="131"/>
      <c r="L1449" s="131"/>
      <c r="M1449" s="131"/>
      <c r="N1449" s="131"/>
      <c r="O1449" s="131"/>
      <c r="P1449" s="152"/>
    </row>
    <row r="1450" spans="1:16" s="28" customFormat="1" x14ac:dyDescent="0.25">
      <c r="A1450" s="53"/>
      <c r="B1450" s="58"/>
      <c r="C1450" s="58"/>
      <c r="D1450" s="35"/>
      <c r="E1450" s="131"/>
      <c r="F1450" s="131"/>
      <c r="G1450" s="131"/>
      <c r="H1450" s="131"/>
      <c r="I1450" s="131"/>
      <c r="J1450" s="131"/>
      <c r="K1450" s="131"/>
      <c r="L1450" s="131"/>
      <c r="M1450" s="131"/>
      <c r="N1450" s="131"/>
      <c r="O1450" s="131"/>
      <c r="P1450" s="152"/>
    </row>
    <row r="1451" spans="1:16" s="28" customFormat="1" x14ac:dyDescent="0.25">
      <c r="A1451" s="53"/>
      <c r="B1451" s="58"/>
      <c r="C1451" s="58"/>
      <c r="D1451" s="35"/>
      <c r="E1451" s="131"/>
      <c r="F1451" s="131"/>
      <c r="G1451" s="131"/>
      <c r="H1451" s="131"/>
      <c r="I1451" s="131"/>
      <c r="J1451" s="131"/>
      <c r="K1451" s="131"/>
      <c r="L1451" s="131"/>
      <c r="M1451" s="131"/>
      <c r="N1451" s="131"/>
      <c r="O1451" s="131"/>
      <c r="P1451" s="152"/>
    </row>
    <row r="1452" spans="1:16" s="28" customFormat="1" x14ac:dyDescent="0.25">
      <c r="A1452" s="53"/>
      <c r="B1452" s="58"/>
      <c r="C1452" s="58"/>
      <c r="D1452" s="35"/>
      <c r="E1452" s="131"/>
      <c r="F1452" s="131"/>
      <c r="G1452" s="131"/>
      <c r="H1452" s="131"/>
      <c r="I1452" s="131"/>
      <c r="J1452" s="131"/>
      <c r="K1452" s="131"/>
      <c r="L1452" s="131"/>
      <c r="M1452" s="131"/>
      <c r="N1452" s="131"/>
      <c r="O1452" s="131"/>
      <c r="P1452" s="152"/>
    </row>
    <row r="1453" spans="1:16" s="28" customFormat="1" x14ac:dyDescent="0.25">
      <c r="A1453" s="53"/>
      <c r="B1453" s="58"/>
      <c r="C1453" s="58"/>
      <c r="D1453" s="35"/>
      <c r="E1453" s="131"/>
      <c r="F1453" s="131"/>
      <c r="G1453" s="131"/>
      <c r="H1453" s="131"/>
      <c r="I1453" s="131"/>
      <c r="J1453" s="131"/>
      <c r="K1453" s="131"/>
      <c r="L1453" s="131"/>
      <c r="M1453" s="131"/>
      <c r="N1453" s="131"/>
      <c r="O1453" s="131"/>
      <c r="P1453" s="152"/>
    </row>
    <row r="1454" spans="1:16" s="28" customFormat="1" x14ac:dyDescent="0.25">
      <c r="A1454" s="53"/>
      <c r="B1454" s="58"/>
      <c r="C1454" s="58"/>
      <c r="D1454" s="35"/>
      <c r="E1454" s="131"/>
      <c r="F1454" s="131"/>
      <c r="G1454" s="131"/>
      <c r="H1454" s="131"/>
      <c r="I1454" s="131"/>
      <c r="J1454" s="131"/>
      <c r="K1454" s="131"/>
      <c r="L1454" s="131"/>
      <c r="M1454" s="131"/>
      <c r="N1454" s="131"/>
      <c r="O1454" s="131"/>
      <c r="P1454" s="152"/>
    </row>
    <row r="1455" spans="1:16" s="28" customFormat="1" x14ac:dyDescent="0.25">
      <c r="A1455" s="53"/>
      <c r="B1455" s="58"/>
      <c r="C1455" s="58"/>
      <c r="D1455" s="35"/>
      <c r="E1455" s="131"/>
      <c r="F1455" s="131"/>
      <c r="G1455" s="131"/>
      <c r="H1455" s="131"/>
      <c r="I1455" s="131"/>
      <c r="J1455" s="131"/>
      <c r="K1455" s="131"/>
      <c r="L1455" s="131"/>
      <c r="M1455" s="131"/>
      <c r="N1455" s="131"/>
      <c r="O1455" s="131"/>
      <c r="P1455" s="152"/>
    </row>
    <row r="1456" spans="1:16" s="28" customFormat="1" x14ac:dyDescent="0.25">
      <c r="A1456" s="53"/>
      <c r="B1456" s="58"/>
      <c r="C1456" s="58"/>
      <c r="D1456" s="35"/>
      <c r="E1456" s="131"/>
      <c r="F1456" s="131"/>
      <c r="G1456" s="131"/>
      <c r="H1456" s="131"/>
      <c r="I1456" s="131"/>
      <c r="J1456" s="131"/>
      <c r="K1456" s="131"/>
      <c r="L1456" s="131"/>
      <c r="M1456" s="131"/>
      <c r="N1456" s="131"/>
      <c r="O1456" s="131"/>
      <c r="P1456" s="152"/>
    </row>
    <row r="1457" spans="1:16" s="28" customFormat="1" x14ac:dyDescent="0.25">
      <c r="A1457" s="53"/>
      <c r="B1457" s="58"/>
      <c r="C1457" s="58"/>
      <c r="D1457" s="35"/>
      <c r="E1457" s="131"/>
      <c r="F1457" s="131"/>
      <c r="G1457" s="131"/>
      <c r="H1457" s="131"/>
      <c r="I1457" s="131"/>
      <c r="J1457" s="131"/>
      <c r="K1457" s="131"/>
      <c r="L1457" s="131"/>
      <c r="M1457" s="131"/>
      <c r="N1457" s="131"/>
      <c r="O1457" s="131"/>
      <c r="P1457" s="152"/>
    </row>
    <row r="1458" spans="1:16" s="28" customFormat="1" x14ac:dyDescent="0.25">
      <c r="A1458" s="53"/>
      <c r="B1458" s="58"/>
      <c r="C1458" s="58"/>
      <c r="D1458" s="35"/>
      <c r="E1458" s="131"/>
      <c r="F1458" s="131"/>
      <c r="G1458" s="131"/>
      <c r="H1458" s="131"/>
      <c r="I1458" s="131"/>
      <c r="J1458" s="131"/>
      <c r="K1458" s="131"/>
      <c r="L1458" s="131"/>
      <c r="M1458" s="131"/>
      <c r="N1458" s="131"/>
      <c r="O1458" s="131"/>
      <c r="P1458" s="152"/>
    </row>
    <row r="1459" spans="1:16" s="28" customFormat="1" x14ac:dyDescent="0.25">
      <c r="A1459" s="53"/>
      <c r="B1459" s="58"/>
      <c r="C1459" s="58"/>
      <c r="D1459" s="35"/>
      <c r="E1459" s="131"/>
      <c r="F1459" s="131"/>
      <c r="G1459" s="131"/>
      <c r="H1459" s="131"/>
      <c r="I1459" s="131"/>
      <c r="J1459" s="131"/>
      <c r="K1459" s="131"/>
      <c r="L1459" s="131"/>
      <c r="M1459" s="131"/>
      <c r="N1459" s="131"/>
      <c r="O1459" s="131"/>
      <c r="P1459" s="152"/>
    </row>
    <row r="1460" spans="1:16" s="28" customFormat="1" x14ac:dyDescent="0.25">
      <c r="A1460" s="53"/>
      <c r="B1460" s="58"/>
      <c r="C1460" s="58"/>
      <c r="D1460" s="35"/>
      <c r="E1460" s="131"/>
      <c r="F1460" s="131"/>
      <c r="G1460" s="131"/>
      <c r="H1460" s="131"/>
      <c r="I1460" s="131"/>
      <c r="J1460" s="131"/>
      <c r="K1460" s="131"/>
      <c r="L1460" s="131"/>
      <c r="M1460" s="131"/>
      <c r="N1460" s="131"/>
      <c r="O1460" s="131"/>
      <c r="P1460" s="152"/>
    </row>
    <row r="1461" spans="1:16" s="28" customFormat="1" x14ac:dyDescent="0.25">
      <c r="A1461" s="53"/>
      <c r="B1461" s="58"/>
      <c r="C1461" s="58"/>
      <c r="D1461" s="35"/>
      <c r="E1461" s="131"/>
      <c r="F1461" s="131"/>
      <c r="G1461" s="131"/>
      <c r="H1461" s="131"/>
      <c r="I1461" s="131"/>
      <c r="J1461" s="131"/>
      <c r="K1461" s="131"/>
      <c r="L1461" s="131"/>
      <c r="M1461" s="131"/>
      <c r="N1461" s="131"/>
      <c r="O1461" s="131"/>
      <c r="P1461" s="152"/>
    </row>
    <row r="1462" spans="1:16" s="28" customFormat="1" x14ac:dyDescent="0.25">
      <c r="A1462" s="53"/>
      <c r="B1462" s="58"/>
      <c r="C1462" s="58"/>
      <c r="D1462" s="35"/>
      <c r="E1462" s="131"/>
      <c r="F1462" s="131"/>
      <c r="G1462" s="131"/>
      <c r="H1462" s="131"/>
      <c r="I1462" s="131"/>
      <c r="J1462" s="131"/>
      <c r="K1462" s="131"/>
      <c r="L1462" s="131"/>
      <c r="M1462" s="131"/>
      <c r="N1462" s="131"/>
      <c r="O1462" s="131"/>
      <c r="P1462" s="152"/>
    </row>
    <row r="1463" spans="1:16" s="28" customFormat="1" x14ac:dyDescent="0.25">
      <c r="A1463" s="53"/>
      <c r="B1463" s="58"/>
      <c r="C1463" s="58"/>
      <c r="D1463" s="35"/>
      <c r="E1463" s="131"/>
      <c r="F1463" s="131"/>
      <c r="G1463" s="131"/>
      <c r="H1463" s="131"/>
      <c r="I1463" s="131"/>
      <c r="J1463" s="131"/>
      <c r="K1463" s="131"/>
      <c r="L1463" s="131"/>
      <c r="M1463" s="131"/>
      <c r="N1463" s="131"/>
      <c r="O1463" s="131"/>
      <c r="P1463" s="152"/>
    </row>
    <row r="1464" spans="1:16" s="28" customFormat="1" x14ac:dyDescent="0.25">
      <c r="A1464" s="53"/>
      <c r="B1464" s="58"/>
      <c r="C1464" s="58"/>
      <c r="D1464" s="35"/>
      <c r="E1464" s="131"/>
      <c r="F1464" s="131"/>
      <c r="G1464" s="131"/>
      <c r="H1464" s="131"/>
      <c r="I1464" s="131"/>
      <c r="J1464" s="131"/>
      <c r="K1464" s="131"/>
      <c r="L1464" s="131"/>
      <c r="M1464" s="131"/>
      <c r="N1464" s="131"/>
      <c r="O1464" s="131"/>
      <c r="P1464" s="152"/>
    </row>
    <row r="1465" spans="1:16" s="28" customFormat="1" x14ac:dyDescent="0.25">
      <c r="A1465" s="53"/>
      <c r="B1465" s="58"/>
      <c r="C1465" s="58"/>
      <c r="D1465" s="35"/>
      <c r="E1465" s="131"/>
      <c r="F1465" s="131"/>
      <c r="G1465" s="131"/>
      <c r="H1465" s="131"/>
      <c r="I1465" s="131"/>
      <c r="J1465" s="131"/>
      <c r="K1465" s="131"/>
      <c r="L1465" s="131"/>
      <c r="M1465" s="131"/>
      <c r="N1465" s="131"/>
      <c r="O1465" s="131"/>
      <c r="P1465" s="152"/>
    </row>
    <row r="1466" spans="1:16" s="28" customFormat="1" x14ac:dyDescent="0.25">
      <c r="A1466" s="53"/>
      <c r="B1466" s="58"/>
      <c r="C1466" s="58"/>
      <c r="D1466" s="35"/>
      <c r="E1466" s="131"/>
      <c r="F1466" s="131"/>
      <c r="G1466" s="131"/>
      <c r="H1466" s="131"/>
      <c r="I1466" s="131"/>
      <c r="J1466" s="131"/>
      <c r="K1466" s="131"/>
      <c r="L1466" s="131"/>
      <c r="M1466" s="131"/>
      <c r="N1466" s="131"/>
      <c r="O1466" s="131"/>
      <c r="P1466" s="152"/>
    </row>
    <row r="1467" spans="1:16" s="28" customFormat="1" x14ac:dyDescent="0.25">
      <c r="A1467" s="53"/>
      <c r="B1467" s="58"/>
      <c r="C1467" s="58"/>
      <c r="D1467" s="35"/>
      <c r="E1467" s="131"/>
      <c r="F1467" s="131"/>
      <c r="G1467" s="131"/>
      <c r="H1467" s="131"/>
      <c r="I1467" s="131"/>
      <c r="J1467" s="131"/>
      <c r="K1467" s="131"/>
      <c r="L1467" s="131"/>
      <c r="M1467" s="131"/>
      <c r="N1467" s="131"/>
      <c r="O1467" s="131"/>
      <c r="P1467" s="152"/>
    </row>
    <row r="1468" spans="1:16" s="28" customFormat="1" x14ac:dyDescent="0.25">
      <c r="A1468" s="53"/>
      <c r="B1468" s="58"/>
      <c r="C1468" s="58"/>
      <c r="D1468" s="35"/>
      <c r="E1468" s="131"/>
      <c r="F1468" s="131"/>
      <c r="G1468" s="131"/>
      <c r="H1468" s="131"/>
      <c r="I1468" s="131"/>
      <c r="J1468" s="131"/>
      <c r="K1468" s="131"/>
      <c r="L1468" s="131"/>
      <c r="M1468" s="131"/>
      <c r="N1468" s="131"/>
      <c r="O1468" s="131"/>
      <c r="P1468" s="152"/>
    </row>
    <row r="1469" spans="1:16" s="28" customFormat="1" x14ac:dyDescent="0.25">
      <c r="A1469" s="53"/>
      <c r="B1469" s="58"/>
      <c r="C1469" s="58"/>
      <c r="D1469" s="35"/>
      <c r="E1469" s="131"/>
      <c r="F1469" s="131"/>
      <c r="G1469" s="131"/>
      <c r="H1469" s="131"/>
      <c r="I1469" s="131"/>
      <c r="J1469" s="131"/>
      <c r="K1469" s="131"/>
      <c r="L1469" s="131"/>
      <c r="M1469" s="131"/>
      <c r="N1469" s="131"/>
      <c r="O1469" s="131"/>
      <c r="P1469" s="152"/>
    </row>
    <row r="1470" spans="1:16" s="28" customFormat="1" x14ac:dyDescent="0.25">
      <c r="A1470" s="53"/>
      <c r="B1470" s="58"/>
      <c r="C1470" s="58"/>
      <c r="D1470" s="35"/>
      <c r="E1470" s="131"/>
      <c r="F1470" s="131"/>
      <c r="G1470" s="131"/>
      <c r="H1470" s="131"/>
      <c r="I1470" s="131"/>
      <c r="J1470" s="131"/>
      <c r="K1470" s="131"/>
      <c r="L1470" s="131"/>
      <c r="M1470" s="131"/>
      <c r="N1470" s="131"/>
      <c r="O1470" s="131"/>
      <c r="P1470" s="152"/>
    </row>
    <row r="1471" spans="1:16" s="28" customFormat="1" x14ac:dyDescent="0.25">
      <c r="A1471" s="53"/>
      <c r="B1471" s="58"/>
      <c r="C1471" s="58"/>
      <c r="D1471" s="35"/>
      <c r="E1471" s="131"/>
      <c r="F1471" s="131"/>
      <c r="G1471" s="131"/>
      <c r="H1471" s="131"/>
      <c r="I1471" s="131"/>
      <c r="J1471" s="131"/>
      <c r="K1471" s="131"/>
      <c r="L1471" s="131"/>
      <c r="M1471" s="131"/>
      <c r="N1471" s="131"/>
      <c r="O1471" s="131"/>
      <c r="P1471" s="152"/>
    </row>
    <row r="1472" spans="1:16" s="28" customFormat="1" x14ac:dyDescent="0.25">
      <c r="A1472" s="53"/>
      <c r="B1472" s="58"/>
      <c r="C1472" s="58"/>
      <c r="D1472" s="35"/>
      <c r="E1472" s="131"/>
      <c r="F1472" s="131"/>
      <c r="G1472" s="131"/>
      <c r="H1472" s="131"/>
      <c r="I1472" s="131"/>
      <c r="J1472" s="131"/>
      <c r="K1472" s="131"/>
      <c r="L1472" s="131"/>
      <c r="M1472" s="131"/>
      <c r="N1472" s="131"/>
      <c r="O1472" s="131"/>
      <c r="P1472" s="152"/>
    </row>
    <row r="1473" spans="1:16" s="28" customFormat="1" x14ac:dyDescent="0.25">
      <c r="A1473" s="53"/>
      <c r="B1473" s="58"/>
      <c r="C1473" s="58"/>
      <c r="D1473" s="35"/>
      <c r="E1473" s="131"/>
      <c r="F1473" s="131"/>
      <c r="G1473" s="131"/>
      <c r="H1473" s="131"/>
      <c r="I1473" s="131"/>
      <c r="J1473" s="131"/>
      <c r="K1473" s="131"/>
      <c r="L1473" s="131"/>
      <c r="M1473" s="131"/>
      <c r="N1473" s="131"/>
      <c r="O1473" s="131"/>
      <c r="P1473" s="152"/>
    </row>
    <row r="1474" spans="1:16" s="28" customFormat="1" x14ac:dyDescent="0.25">
      <c r="A1474" s="53"/>
      <c r="B1474" s="58"/>
      <c r="C1474" s="58"/>
      <c r="D1474" s="35"/>
      <c r="E1474" s="131"/>
      <c r="F1474" s="131"/>
      <c r="G1474" s="131"/>
      <c r="H1474" s="131"/>
      <c r="I1474" s="131"/>
      <c r="J1474" s="131"/>
      <c r="K1474" s="131"/>
      <c r="L1474" s="131"/>
      <c r="M1474" s="131"/>
      <c r="N1474" s="131"/>
      <c r="O1474" s="131"/>
      <c r="P1474" s="152"/>
    </row>
    <row r="1475" spans="1:16" s="28" customFormat="1" x14ac:dyDescent="0.25">
      <c r="A1475" s="53"/>
      <c r="B1475" s="58"/>
      <c r="C1475" s="58"/>
      <c r="D1475" s="35"/>
      <c r="E1475" s="131"/>
      <c r="F1475" s="131"/>
      <c r="G1475" s="131"/>
      <c r="H1475" s="131"/>
      <c r="I1475" s="131"/>
      <c r="J1475" s="131"/>
      <c r="K1475" s="131"/>
      <c r="L1475" s="131"/>
      <c r="M1475" s="131"/>
      <c r="N1475" s="131"/>
      <c r="O1475" s="131"/>
      <c r="P1475" s="152"/>
    </row>
    <row r="1476" spans="1:16" s="28" customFormat="1" x14ac:dyDescent="0.25">
      <c r="A1476" s="53"/>
      <c r="B1476" s="58"/>
      <c r="C1476" s="58"/>
      <c r="D1476" s="35"/>
      <c r="E1476" s="131"/>
      <c r="F1476" s="131"/>
      <c r="G1476" s="131"/>
      <c r="H1476" s="131"/>
      <c r="I1476" s="131"/>
      <c r="J1476" s="131"/>
      <c r="K1476" s="131"/>
      <c r="L1476" s="131"/>
      <c r="M1476" s="131"/>
      <c r="N1476" s="131"/>
      <c r="O1476" s="131"/>
      <c r="P1476" s="152"/>
    </row>
    <row r="1477" spans="1:16" s="28" customFormat="1" x14ac:dyDescent="0.25">
      <c r="A1477" s="53"/>
      <c r="B1477" s="58"/>
      <c r="C1477" s="58"/>
      <c r="D1477" s="35"/>
      <c r="E1477" s="131"/>
      <c r="F1477" s="131"/>
      <c r="G1477" s="131"/>
      <c r="H1477" s="131"/>
      <c r="I1477" s="131"/>
      <c r="J1477" s="131"/>
      <c r="K1477" s="131"/>
      <c r="L1477" s="131"/>
      <c r="M1477" s="131"/>
      <c r="N1477" s="131"/>
      <c r="O1477" s="131"/>
      <c r="P1477" s="152"/>
    </row>
    <row r="1478" spans="1:16" s="28" customFormat="1" x14ac:dyDescent="0.25">
      <c r="A1478" s="53"/>
      <c r="B1478" s="58"/>
      <c r="C1478" s="58"/>
      <c r="D1478" s="35"/>
      <c r="E1478" s="131"/>
      <c r="F1478" s="131"/>
      <c r="G1478" s="131"/>
      <c r="H1478" s="131"/>
      <c r="I1478" s="131"/>
      <c r="J1478" s="131"/>
      <c r="K1478" s="131"/>
      <c r="L1478" s="131"/>
      <c r="M1478" s="131"/>
      <c r="N1478" s="131"/>
      <c r="O1478" s="131"/>
      <c r="P1478" s="152"/>
    </row>
    <row r="1479" spans="1:16" s="28" customFormat="1" x14ac:dyDescent="0.25">
      <c r="A1479" s="53"/>
      <c r="B1479" s="58"/>
      <c r="C1479" s="58"/>
      <c r="D1479" s="35"/>
      <c r="E1479" s="131"/>
      <c r="F1479" s="131"/>
      <c r="G1479" s="131"/>
      <c r="H1479" s="131"/>
      <c r="I1479" s="131"/>
      <c r="J1479" s="131"/>
      <c r="K1479" s="131"/>
      <c r="L1479" s="131"/>
      <c r="M1479" s="131"/>
      <c r="N1479" s="131"/>
      <c r="O1479" s="131"/>
      <c r="P1479" s="152"/>
    </row>
    <row r="1480" spans="1:16" s="28" customFormat="1" x14ac:dyDescent="0.25">
      <c r="A1480" s="53"/>
      <c r="B1480" s="58"/>
      <c r="C1480" s="58"/>
      <c r="D1480" s="35"/>
      <c r="E1480" s="131"/>
      <c r="F1480" s="131"/>
      <c r="G1480" s="131"/>
      <c r="H1480" s="131"/>
      <c r="I1480" s="131"/>
      <c r="J1480" s="131"/>
      <c r="K1480" s="131"/>
      <c r="L1480" s="131"/>
      <c r="M1480" s="131"/>
      <c r="N1480" s="131"/>
      <c r="O1480" s="131"/>
      <c r="P1480" s="152"/>
    </row>
    <row r="1481" spans="1:16" s="28" customFormat="1" x14ac:dyDescent="0.25">
      <c r="A1481" s="53"/>
      <c r="B1481" s="58"/>
      <c r="C1481" s="58"/>
      <c r="D1481" s="35"/>
      <c r="E1481" s="131"/>
      <c r="F1481" s="131"/>
      <c r="G1481" s="131"/>
      <c r="H1481" s="131"/>
      <c r="I1481" s="131"/>
      <c r="J1481" s="131"/>
      <c r="K1481" s="131"/>
      <c r="L1481" s="131"/>
      <c r="M1481" s="131"/>
      <c r="N1481" s="131"/>
      <c r="O1481" s="131"/>
      <c r="P1481" s="152"/>
    </row>
    <row r="1482" spans="1:16" s="28" customFormat="1" x14ac:dyDescent="0.25">
      <c r="A1482" s="53"/>
      <c r="B1482" s="58"/>
      <c r="C1482" s="58"/>
      <c r="D1482" s="35"/>
      <c r="E1482" s="131"/>
      <c r="F1482" s="131"/>
      <c r="G1482" s="131"/>
      <c r="H1482" s="131"/>
      <c r="I1482" s="131"/>
      <c r="J1482" s="131"/>
      <c r="K1482" s="131"/>
      <c r="L1482" s="131"/>
      <c r="M1482" s="131"/>
      <c r="N1482" s="131"/>
      <c r="O1482" s="131"/>
      <c r="P1482" s="152"/>
    </row>
    <row r="1483" spans="1:16" s="28" customFormat="1" x14ac:dyDescent="0.25">
      <c r="A1483" s="53"/>
      <c r="B1483" s="58"/>
      <c r="C1483" s="58"/>
      <c r="D1483" s="35"/>
      <c r="E1483" s="131"/>
      <c r="F1483" s="131"/>
      <c r="G1483" s="131"/>
      <c r="H1483" s="131"/>
      <c r="I1483" s="131"/>
      <c r="J1483" s="131"/>
      <c r="K1483" s="131"/>
      <c r="L1483" s="131"/>
      <c r="M1483" s="131"/>
      <c r="N1483" s="131"/>
      <c r="O1483" s="131"/>
      <c r="P1483" s="152"/>
    </row>
    <row r="1484" spans="1:16" s="28" customFormat="1" x14ac:dyDescent="0.25">
      <c r="A1484" s="53"/>
      <c r="B1484" s="58"/>
      <c r="C1484" s="58"/>
      <c r="D1484" s="35"/>
      <c r="E1484" s="131"/>
      <c r="F1484" s="131"/>
      <c r="G1484" s="131"/>
      <c r="H1484" s="131"/>
      <c r="I1484" s="131"/>
      <c r="J1484" s="131"/>
      <c r="K1484" s="131"/>
      <c r="L1484" s="131"/>
      <c r="M1484" s="131"/>
      <c r="N1484" s="131"/>
      <c r="O1484" s="131"/>
      <c r="P1484" s="152"/>
    </row>
    <row r="1485" spans="1:16" s="28" customFormat="1" x14ac:dyDescent="0.25">
      <c r="A1485" s="53"/>
      <c r="B1485" s="58"/>
      <c r="C1485" s="58"/>
      <c r="D1485" s="35"/>
      <c r="E1485" s="131"/>
      <c r="F1485" s="131"/>
      <c r="G1485" s="131"/>
      <c r="H1485" s="131"/>
      <c r="I1485" s="131"/>
      <c r="J1485" s="131"/>
      <c r="K1485" s="131"/>
      <c r="L1485" s="131"/>
      <c r="M1485" s="131"/>
      <c r="N1485" s="131"/>
      <c r="O1485" s="131"/>
      <c r="P1485" s="152"/>
    </row>
    <row r="1486" spans="1:16" s="28" customFormat="1" x14ac:dyDescent="0.25">
      <c r="A1486" s="53"/>
      <c r="B1486" s="58"/>
      <c r="C1486" s="58"/>
      <c r="D1486" s="35"/>
      <c r="E1486" s="131"/>
      <c r="F1486" s="131"/>
      <c r="G1486" s="131"/>
      <c r="H1486" s="131"/>
      <c r="I1486" s="131"/>
      <c r="J1486" s="131"/>
      <c r="K1486" s="131"/>
      <c r="L1486" s="131"/>
      <c r="M1486" s="131"/>
      <c r="N1486" s="131"/>
      <c r="O1486" s="131"/>
      <c r="P1486" s="152"/>
    </row>
    <row r="1487" spans="1:16" s="28" customFormat="1" x14ac:dyDescent="0.25">
      <c r="A1487" s="53"/>
      <c r="B1487" s="58"/>
      <c r="C1487" s="58"/>
      <c r="D1487" s="35"/>
      <c r="E1487" s="131"/>
      <c r="F1487" s="131"/>
      <c r="G1487" s="131"/>
      <c r="H1487" s="131"/>
      <c r="I1487" s="131"/>
      <c r="J1487" s="131"/>
      <c r="K1487" s="131"/>
      <c r="L1487" s="131"/>
      <c r="M1487" s="131"/>
      <c r="N1487" s="131"/>
      <c r="O1487" s="131"/>
      <c r="P1487" s="152"/>
    </row>
    <row r="1488" spans="1:16" s="28" customFormat="1" x14ac:dyDescent="0.25">
      <c r="A1488" s="53"/>
      <c r="B1488" s="58"/>
      <c r="C1488" s="58"/>
      <c r="D1488" s="35"/>
      <c r="E1488" s="131"/>
      <c r="F1488" s="131"/>
      <c r="G1488" s="131"/>
      <c r="H1488" s="131"/>
      <c r="I1488" s="131"/>
      <c r="J1488" s="131"/>
      <c r="K1488" s="131"/>
      <c r="L1488" s="131"/>
      <c r="M1488" s="131"/>
      <c r="N1488" s="131"/>
      <c r="O1488" s="131"/>
      <c r="P1488" s="152"/>
    </row>
    <row r="1489" spans="1:16" s="28" customFormat="1" x14ac:dyDescent="0.25">
      <c r="A1489" s="53"/>
      <c r="B1489" s="58"/>
      <c r="C1489" s="58"/>
      <c r="D1489" s="35"/>
      <c r="E1489" s="131"/>
      <c r="F1489" s="131"/>
      <c r="G1489" s="131"/>
      <c r="H1489" s="131"/>
      <c r="I1489" s="131"/>
      <c r="J1489" s="131"/>
      <c r="K1489" s="131"/>
      <c r="L1489" s="131"/>
      <c r="M1489" s="131"/>
      <c r="N1489" s="131"/>
      <c r="O1489" s="131"/>
      <c r="P1489" s="152"/>
    </row>
    <row r="1490" spans="1:16" s="28" customFormat="1" x14ac:dyDescent="0.25">
      <c r="A1490" s="53"/>
      <c r="B1490" s="58"/>
      <c r="C1490" s="58"/>
      <c r="D1490" s="35"/>
      <c r="E1490" s="131"/>
      <c r="F1490" s="131"/>
      <c r="G1490" s="131"/>
      <c r="H1490" s="131"/>
      <c r="I1490" s="131"/>
      <c r="J1490" s="131"/>
      <c r="K1490" s="131"/>
      <c r="L1490" s="131"/>
      <c r="M1490" s="131"/>
      <c r="N1490" s="131"/>
      <c r="O1490" s="131"/>
      <c r="P1490" s="152"/>
    </row>
    <row r="1491" spans="1:16" s="28" customFormat="1" x14ac:dyDescent="0.25">
      <c r="A1491" s="53"/>
      <c r="B1491" s="58"/>
      <c r="C1491" s="58"/>
      <c r="D1491" s="35"/>
      <c r="E1491" s="131"/>
      <c r="F1491" s="131"/>
      <c r="G1491" s="131"/>
      <c r="H1491" s="131"/>
      <c r="I1491" s="131"/>
      <c r="J1491" s="131"/>
      <c r="K1491" s="131"/>
      <c r="L1491" s="131"/>
      <c r="M1491" s="131"/>
      <c r="N1491" s="131"/>
      <c r="O1491" s="131"/>
      <c r="P1491" s="152"/>
    </row>
    <row r="1492" spans="1:16" s="28" customFormat="1" x14ac:dyDescent="0.25">
      <c r="A1492" s="53"/>
      <c r="B1492" s="58"/>
      <c r="C1492" s="58"/>
      <c r="D1492" s="35"/>
      <c r="E1492" s="131"/>
      <c r="F1492" s="131"/>
      <c r="G1492" s="131"/>
      <c r="H1492" s="131"/>
      <c r="I1492" s="131"/>
      <c r="J1492" s="131"/>
      <c r="K1492" s="131"/>
      <c r="L1492" s="131"/>
      <c r="M1492" s="131"/>
      <c r="N1492" s="131"/>
      <c r="O1492" s="131"/>
      <c r="P1492" s="152"/>
    </row>
    <row r="1493" spans="1:16" s="28" customFormat="1" x14ac:dyDescent="0.25">
      <c r="A1493" s="53"/>
      <c r="B1493" s="58"/>
      <c r="C1493" s="58"/>
      <c r="D1493" s="35"/>
      <c r="E1493" s="131"/>
      <c r="F1493" s="131"/>
      <c r="G1493" s="131"/>
      <c r="H1493" s="131"/>
      <c r="I1493" s="131"/>
      <c r="J1493" s="131"/>
      <c r="K1493" s="131"/>
      <c r="L1493" s="131"/>
      <c r="M1493" s="131"/>
      <c r="N1493" s="131"/>
      <c r="O1493" s="131"/>
      <c r="P1493" s="152"/>
    </row>
    <row r="1494" spans="1:16" s="28" customFormat="1" x14ac:dyDescent="0.25">
      <c r="A1494" s="53"/>
      <c r="B1494" s="58"/>
      <c r="C1494" s="58"/>
      <c r="D1494" s="35"/>
      <c r="E1494" s="131"/>
      <c r="F1494" s="131"/>
      <c r="G1494" s="131"/>
      <c r="H1494" s="131"/>
      <c r="I1494" s="131"/>
      <c r="J1494" s="131"/>
      <c r="K1494" s="131"/>
      <c r="L1494" s="131"/>
      <c r="M1494" s="131"/>
      <c r="N1494" s="131"/>
      <c r="O1494" s="131"/>
      <c r="P1494" s="152"/>
    </row>
    <row r="1495" spans="1:16" s="28" customFormat="1" x14ac:dyDescent="0.25">
      <c r="A1495" s="53"/>
      <c r="B1495" s="58"/>
      <c r="C1495" s="58"/>
      <c r="D1495" s="35"/>
      <c r="E1495" s="131"/>
      <c r="F1495" s="131"/>
      <c r="G1495" s="131"/>
      <c r="H1495" s="131"/>
      <c r="I1495" s="131"/>
      <c r="J1495" s="131"/>
      <c r="K1495" s="131"/>
      <c r="L1495" s="131"/>
      <c r="M1495" s="131"/>
      <c r="N1495" s="131"/>
      <c r="O1495" s="131"/>
      <c r="P1495" s="152"/>
    </row>
    <row r="1496" spans="1:16" s="28" customFormat="1" x14ac:dyDescent="0.25">
      <c r="A1496" s="53"/>
      <c r="B1496" s="58"/>
      <c r="C1496" s="58"/>
      <c r="D1496" s="35"/>
      <c r="E1496" s="131"/>
      <c r="F1496" s="131"/>
      <c r="G1496" s="131"/>
      <c r="H1496" s="131"/>
      <c r="I1496" s="131"/>
      <c r="J1496" s="131"/>
      <c r="K1496" s="131"/>
      <c r="L1496" s="131"/>
      <c r="M1496" s="131"/>
      <c r="N1496" s="131"/>
      <c r="O1496" s="131"/>
      <c r="P1496" s="152"/>
    </row>
    <row r="1497" spans="1:16" s="28" customFormat="1" x14ac:dyDescent="0.25">
      <c r="A1497" s="53"/>
      <c r="B1497" s="58"/>
      <c r="C1497" s="58"/>
      <c r="D1497" s="35"/>
      <c r="E1497" s="131"/>
      <c r="F1497" s="131"/>
      <c r="G1497" s="131"/>
      <c r="H1497" s="131"/>
      <c r="I1497" s="131"/>
      <c r="J1497" s="131"/>
      <c r="K1497" s="131"/>
      <c r="L1497" s="131"/>
      <c r="M1497" s="131"/>
      <c r="N1497" s="131"/>
      <c r="O1497" s="131"/>
      <c r="P1497" s="152"/>
    </row>
    <row r="1498" spans="1:16" s="28" customFormat="1" x14ac:dyDescent="0.25">
      <c r="A1498" s="53"/>
      <c r="B1498" s="58"/>
      <c r="C1498" s="58"/>
      <c r="D1498" s="35"/>
      <c r="E1498" s="131"/>
      <c r="F1498" s="131"/>
      <c r="G1498" s="131"/>
      <c r="H1498" s="131"/>
      <c r="I1498" s="131"/>
      <c r="J1498" s="131"/>
      <c r="K1498" s="131"/>
      <c r="L1498" s="131"/>
      <c r="M1498" s="131"/>
      <c r="N1498" s="131"/>
      <c r="O1498" s="131"/>
      <c r="P1498" s="152"/>
    </row>
    <row r="1499" spans="1:16" s="28" customFormat="1" x14ac:dyDescent="0.25">
      <c r="A1499" s="53"/>
      <c r="B1499" s="58"/>
      <c r="C1499" s="58"/>
      <c r="D1499" s="35"/>
      <c r="E1499" s="131"/>
      <c r="F1499" s="131"/>
      <c r="G1499" s="131"/>
      <c r="H1499" s="131"/>
      <c r="I1499" s="131"/>
      <c r="J1499" s="131"/>
      <c r="K1499" s="131"/>
      <c r="L1499" s="131"/>
      <c r="M1499" s="131"/>
      <c r="N1499" s="131"/>
      <c r="O1499" s="131"/>
      <c r="P1499" s="152"/>
    </row>
    <row r="1500" spans="1:16" s="28" customFormat="1" x14ac:dyDescent="0.25">
      <c r="A1500" s="53"/>
      <c r="B1500" s="58"/>
      <c r="C1500" s="58"/>
      <c r="D1500" s="35"/>
      <c r="E1500" s="131"/>
      <c r="F1500" s="131"/>
      <c r="G1500" s="131"/>
      <c r="H1500" s="131"/>
      <c r="I1500" s="131"/>
      <c r="J1500" s="131"/>
      <c r="K1500" s="131"/>
      <c r="L1500" s="131"/>
      <c r="M1500" s="131"/>
      <c r="N1500" s="131"/>
      <c r="O1500" s="131"/>
      <c r="P1500" s="152"/>
    </row>
    <row r="1501" spans="1:16" s="28" customFormat="1" x14ac:dyDescent="0.25">
      <c r="A1501" s="53"/>
      <c r="B1501" s="58"/>
      <c r="C1501" s="58"/>
      <c r="D1501" s="35"/>
      <c r="E1501" s="131"/>
      <c r="F1501" s="131"/>
      <c r="G1501" s="131"/>
      <c r="H1501" s="131"/>
      <c r="I1501" s="131"/>
      <c r="J1501" s="131"/>
      <c r="K1501" s="131"/>
      <c r="L1501" s="131"/>
      <c r="M1501" s="131"/>
      <c r="N1501" s="131"/>
      <c r="O1501" s="131"/>
      <c r="P1501" s="152"/>
    </row>
    <row r="1502" spans="1:16" s="28" customFormat="1" x14ac:dyDescent="0.25">
      <c r="A1502" s="53"/>
      <c r="B1502" s="58"/>
      <c r="C1502" s="58"/>
      <c r="D1502" s="35"/>
      <c r="E1502" s="131"/>
      <c r="F1502" s="131"/>
      <c r="G1502" s="131"/>
      <c r="H1502" s="131"/>
      <c r="I1502" s="131"/>
      <c r="J1502" s="131"/>
      <c r="K1502" s="131"/>
      <c r="L1502" s="131"/>
      <c r="M1502" s="131"/>
      <c r="N1502" s="131"/>
      <c r="O1502" s="131"/>
      <c r="P1502" s="152"/>
    </row>
    <row r="1503" spans="1:16" s="28" customFormat="1" x14ac:dyDescent="0.25">
      <c r="A1503" s="53"/>
      <c r="B1503" s="58"/>
      <c r="C1503" s="58"/>
      <c r="D1503" s="35"/>
      <c r="E1503" s="131"/>
      <c r="F1503" s="131"/>
      <c r="G1503" s="131"/>
      <c r="H1503" s="131"/>
      <c r="I1503" s="131"/>
      <c r="J1503" s="131"/>
      <c r="K1503" s="131"/>
      <c r="L1503" s="131"/>
      <c r="M1503" s="131"/>
      <c r="N1503" s="131"/>
      <c r="O1503" s="131"/>
      <c r="P1503" s="152"/>
    </row>
    <row r="1504" spans="1:16" s="28" customFormat="1" x14ac:dyDescent="0.25">
      <c r="A1504" s="53"/>
      <c r="B1504" s="58"/>
      <c r="C1504" s="58"/>
      <c r="D1504" s="35"/>
      <c r="E1504" s="131"/>
      <c r="F1504" s="131"/>
      <c r="G1504" s="131"/>
      <c r="H1504" s="131"/>
      <c r="I1504" s="131"/>
      <c r="J1504" s="131"/>
      <c r="K1504" s="131"/>
      <c r="L1504" s="131"/>
      <c r="M1504" s="131"/>
      <c r="N1504" s="131"/>
      <c r="O1504" s="131"/>
      <c r="P1504" s="152"/>
    </row>
    <row r="1505" spans="1:16" s="28" customFormat="1" x14ac:dyDescent="0.25">
      <c r="A1505" s="53"/>
      <c r="B1505" s="58"/>
      <c r="C1505" s="58"/>
      <c r="D1505" s="35"/>
      <c r="E1505" s="131"/>
      <c r="F1505" s="131"/>
      <c r="G1505" s="131"/>
      <c r="H1505" s="131"/>
      <c r="I1505" s="131"/>
      <c r="J1505" s="131"/>
      <c r="K1505" s="131"/>
      <c r="L1505" s="131"/>
      <c r="M1505" s="131"/>
      <c r="N1505" s="131"/>
      <c r="O1505" s="131"/>
      <c r="P1505" s="152"/>
    </row>
    <row r="1506" spans="1:16" s="28" customFormat="1" x14ac:dyDescent="0.25">
      <c r="A1506" s="53"/>
      <c r="B1506" s="58"/>
      <c r="C1506" s="58"/>
      <c r="D1506" s="35"/>
      <c r="E1506" s="131"/>
      <c r="F1506" s="131"/>
      <c r="G1506" s="131"/>
      <c r="H1506" s="131"/>
      <c r="I1506" s="131"/>
      <c r="J1506" s="131"/>
      <c r="K1506" s="131"/>
      <c r="L1506" s="131"/>
      <c r="M1506" s="131"/>
      <c r="N1506" s="131"/>
      <c r="O1506" s="131"/>
      <c r="P1506" s="152"/>
    </row>
    <row r="1507" spans="1:16" s="28" customFormat="1" x14ac:dyDescent="0.25">
      <c r="A1507" s="53"/>
      <c r="B1507" s="58"/>
      <c r="C1507" s="58"/>
      <c r="D1507" s="35"/>
      <c r="E1507" s="131"/>
      <c r="F1507" s="131"/>
      <c r="G1507" s="131"/>
      <c r="H1507" s="131"/>
      <c r="I1507" s="131"/>
      <c r="J1507" s="131"/>
      <c r="K1507" s="131"/>
      <c r="L1507" s="131"/>
      <c r="M1507" s="131"/>
      <c r="N1507" s="131"/>
      <c r="O1507" s="131"/>
      <c r="P1507" s="152"/>
    </row>
    <row r="1508" spans="1:16" s="28" customFormat="1" x14ac:dyDescent="0.25">
      <c r="A1508" s="53"/>
      <c r="B1508" s="58"/>
      <c r="C1508" s="58"/>
      <c r="D1508" s="35"/>
      <c r="E1508" s="131"/>
      <c r="F1508" s="131"/>
      <c r="G1508" s="131"/>
      <c r="H1508" s="131"/>
      <c r="I1508" s="131"/>
      <c r="J1508" s="131"/>
      <c r="K1508" s="131"/>
      <c r="L1508" s="131"/>
      <c r="M1508" s="131"/>
      <c r="N1508" s="131"/>
      <c r="O1508" s="131"/>
      <c r="P1508" s="152"/>
    </row>
    <row r="1509" spans="1:16" s="28" customFormat="1" x14ac:dyDescent="0.25">
      <c r="A1509" s="53"/>
      <c r="B1509" s="58"/>
      <c r="C1509" s="58"/>
      <c r="D1509" s="35"/>
      <c r="E1509" s="131"/>
      <c r="F1509" s="131"/>
      <c r="G1509" s="131"/>
      <c r="H1509" s="131"/>
      <c r="I1509" s="131"/>
      <c r="J1509" s="131"/>
      <c r="K1509" s="131"/>
      <c r="L1509" s="131"/>
      <c r="M1509" s="131"/>
      <c r="N1509" s="131"/>
      <c r="O1509" s="131"/>
      <c r="P1509" s="152"/>
    </row>
    <row r="1510" spans="1:16" s="28" customFormat="1" x14ac:dyDescent="0.25">
      <c r="A1510" s="53"/>
      <c r="B1510" s="58"/>
      <c r="C1510" s="58"/>
      <c r="D1510" s="35"/>
      <c r="E1510" s="131"/>
      <c r="F1510" s="131"/>
      <c r="G1510" s="131"/>
      <c r="H1510" s="131"/>
      <c r="I1510" s="131"/>
      <c r="J1510" s="131"/>
      <c r="K1510" s="131"/>
      <c r="L1510" s="131"/>
      <c r="M1510" s="131"/>
      <c r="N1510" s="131"/>
      <c r="O1510" s="131"/>
      <c r="P1510" s="152"/>
    </row>
    <row r="1511" spans="1:16" s="28" customFormat="1" x14ac:dyDescent="0.25">
      <c r="A1511" s="53"/>
      <c r="B1511" s="58"/>
      <c r="C1511" s="58"/>
      <c r="D1511" s="35"/>
      <c r="E1511" s="131"/>
      <c r="F1511" s="131"/>
      <c r="G1511" s="131"/>
      <c r="H1511" s="131"/>
      <c r="I1511" s="131"/>
      <c r="J1511" s="131"/>
      <c r="K1511" s="131"/>
      <c r="L1511" s="131"/>
      <c r="M1511" s="131"/>
      <c r="N1511" s="131"/>
      <c r="O1511" s="131"/>
      <c r="P1511" s="152"/>
    </row>
    <row r="1512" spans="1:16" s="28" customFormat="1" x14ac:dyDescent="0.25">
      <c r="A1512" s="53"/>
      <c r="B1512" s="58"/>
      <c r="C1512" s="58"/>
      <c r="D1512" s="35"/>
      <c r="E1512" s="131"/>
      <c r="F1512" s="131"/>
      <c r="G1512" s="131"/>
      <c r="H1512" s="131"/>
      <c r="I1512" s="131"/>
      <c r="J1512" s="131"/>
      <c r="K1512" s="131"/>
      <c r="L1512" s="131"/>
      <c r="M1512" s="131"/>
      <c r="N1512" s="131"/>
      <c r="O1512" s="131"/>
      <c r="P1512" s="152"/>
    </row>
    <row r="1513" spans="1:16" s="28" customFormat="1" x14ac:dyDescent="0.25">
      <c r="A1513" s="53"/>
      <c r="B1513" s="58"/>
      <c r="C1513" s="58"/>
      <c r="D1513" s="35"/>
      <c r="E1513" s="131"/>
      <c r="F1513" s="131"/>
      <c r="G1513" s="131"/>
      <c r="H1513" s="131"/>
      <c r="I1513" s="131"/>
      <c r="J1513" s="131"/>
      <c r="K1513" s="131"/>
      <c r="L1513" s="131"/>
      <c r="M1513" s="131"/>
      <c r="N1513" s="131"/>
      <c r="O1513" s="131"/>
      <c r="P1513" s="152"/>
    </row>
    <row r="1514" spans="1:16" s="28" customFormat="1" x14ac:dyDescent="0.25">
      <c r="A1514" s="53"/>
      <c r="B1514" s="58"/>
      <c r="C1514" s="58"/>
      <c r="D1514" s="35"/>
      <c r="E1514" s="131"/>
      <c r="F1514" s="131"/>
      <c r="G1514" s="131"/>
      <c r="H1514" s="131"/>
      <c r="I1514" s="131"/>
      <c r="J1514" s="131"/>
      <c r="K1514" s="131"/>
      <c r="L1514" s="131"/>
      <c r="M1514" s="131"/>
      <c r="N1514" s="131"/>
      <c r="O1514" s="131"/>
      <c r="P1514" s="152"/>
    </row>
    <row r="1515" spans="1:16" s="28" customFormat="1" x14ac:dyDescent="0.25">
      <c r="A1515" s="53"/>
      <c r="B1515" s="58"/>
      <c r="C1515" s="58"/>
      <c r="D1515" s="35"/>
      <c r="E1515" s="131"/>
      <c r="F1515" s="131"/>
      <c r="G1515" s="131"/>
      <c r="H1515" s="131"/>
      <c r="I1515" s="131"/>
      <c r="J1515" s="131"/>
      <c r="K1515" s="131"/>
      <c r="L1515" s="131"/>
      <c r="M1515" s="131"/>
      <c r="N1515" s="131"/>
      <c r="O1515" s="131"/>
      <c r="P1515" s="152"/>
    </row>
    <row r="1516" spans="1:16" s="28" customFormat="1" x14ac:dyDescent="0.25">
      <c r="A1516" s="53"/>
      <c r="B1516" s="58"/>
      <c r="C1516" s="58"/>
      <c r="D1516" s="35"/>
      <c r="E1516" s="131"/>
      <c r="F1516" s="131"/>
      <c r="G1516" s="131"/>
      <c r="H1516" s="131"/>
      <c r="I1516" s="131"/>
      <c r="J1516" s="131"/>
      <c r="K1516" s="131"/>
      <c r="L1516" s="131"/>
      <c r="M1516" s="131"/>
      <c r="N1516" s="131"/>
      <c r="O1516" s="131"/>
      <c r="P1516" s="152"/>
    </row>
    <row r="1517" spans="1:16" s="28" customFormat="1" x14ac:dyDescent="0.25">
      <c r="A1517" s="53"/>
      <c r="B1517" s="58"/>
      <c r="C1517" s="58"/>
      <c r="D1517" s="35"/>
      <c r="E1517" s="131"/>
      <c r="F1517" s="131"/>
      <c r="G1517" s="131"/>
      <c r="H1517" s="131"/>
      <c r="I1517" s="131"/>
      <c r="J1517" s="131"/>
      <c r="K1517" s="131"/>
      <c r="L1517" s="131"/>
      <c r="M1517" s="131"/>
      <c r="N1517" s="131"/>
      <c r="O1517" s="131"/>
      <c r="P1517" s="152"/>
    </row>
    <row r="1518" spans="1:16" s="28" customFormat="1" x14ac:dyDescent="0.25">
      <c r="A1518" s="53"/>
      <c r="B1518" s="58"/>
      <c r="C1518" s="58"/>
      <c r="D1518" s="35"/>
      <c r="E1518" s="131"/>
      <c r="F1518" s="131"/>
      <c r="G1518" s="131"/>
      <c r="H1518" s="131"/>
      <c r="I1518" s="131"/>
      <c r="J1518" s="131"/>
      <c r="K1518" s="131"/>
      <c r="L1518" s="131"/>
      <c r="M1518" s="131"/>
      <c r="N1518" s="131"/>
      <c r="O1518" s="131"/>
      <c r="P1518" s="152"/>
    </row>
    <row r="1519" spans="1:16" s="28" customFormat="1" x14ac:dyDescent="0.25">
      <c r="A1519" s="53"/>
      <c r="B1519" s="58"/>
      <c r="C1519" s="58"/>
      <c r="D1519" s="35"/>
      <c r="E1519" s="131"/>
      <c r="F1519" s="131"/>
      <c r="G1519" s="131"/>
      <c r="H1519" s="131"/>
      <c r="I1519" s="131"/>
      <c r="J1519" s="131"/>
      <c r="K1519" s="131"/>
      <c r="L1519" s="131"/>
      <c r="M1519" s="131"/>
      <c r="N1519" s="131"/>
      <c r="O1519" s="131"/>
      <c r="P1519" s="152"/>
    </row>
    <row r="1520" spans="1:16" s="28" customFormat="1" x14ac:dyDescent="0.25">
      <c r="A1520" s="53"/>
      <c r="B1520" s="58"/>
      <c r="C1520" s="58"/>
      <c r="D1520" s="35"/>
      <c r="E1520" s="131"/>
      <c r="F1520" s="131"/>
      <c r="G1520" s="131"/>
      <c r="H1520" s="131"/>
      <c r="I1520" s="131"/>
      <c r="J1520" s="131"/>
      <c r="K1520" s="131"/>
      <c r="L1520" s="131"/>
      <c r="M1520" s="131"/>
      <c r="N1520" s="131"/>
      <c r="O1520" s="131"/>
      <c r="P1520" s="152"/>
    </row>
    <row r="1521" spans="1:16" s="28" customFormat="1" x14ac:dyDescent="0.25">
      <c r="A1521" s="53"/>
      <c r="B1521" s="58"/>
      <c r="C1521" s="58"/>
      <c r="D1521" s="35"/>
      <c r="E1521" s="131"/>
      <c r="F1521" s="131"/>
      <c r="G1521" s="131"/>
      <c r="H1521" s="131"/>
      <c r="I1521" s="131"/>
      <c r="J1521" s="131"/>
      <c r="K1521" s="131"/>
      <c r="L1521" s="131"/>
      <c r="M1521" s="131"/>
      <c r="N1521" s="131"/>
      <c r="O1521" s="131"/>
      <c r="P1521" s="152"/>
    </row>
    <row r="1522" spans="1:16" s="28" customFormat="1" x14ac:dyDescent="0.25">
      <c r="A1522" s="53"/>
      <c r="B1522" s="58"/>
      <c r="C1522" s="58"/>
      <c r="D1522" s="35"/>
      <c r="E1522" s="131"/>
      <c r="F1522" s="131"/>
      <c r="G1522" s="131"/>
      <c r="H1522" s="131"/>
      <c r="I1522" s="131"/>
      <c r="J1522" s="131"/>
      <c r="K1522" s="131"/>
      <c r="L1522" s="131"/>
      <c r="M1522" s="131"/>
      <c r="N1522" s="131"/>
      <c r="O1522" s="131"/>
      <c r="P1522" s="152"/>
    </row>
    <row r="1523" spans="1:16" s="28" customFormat="1" x14ac:dyDescent="0.25">
      <c r="A1523" s="53"/>
      <c r="B1523" s="58"/>
      <c r="C1523" s="58"/>
      <c r="D1523" s="35"/>
      <c r="E1523" s="131"/>
      <c r="F1523" s="131"/>
      <c r="G1523" s="131"/>
      <c r="H1523" s="131"/>
      <c r="I1523" s="131"/>
      <c r="J1523" s="131"/>
      <c r="K1523" s="131"/>
      <c r="L1523" s="131"/>
      <c r="M1523" s="131"/>
      <c r="N1523" s="131"/>
      <c r="O1523" s="131"/>
      <c r="P1523" s="152"/>
    </row>
    <row r="1524" spans="1:16" s="28" customFormat="1" x14ac:dyDescent="0.25">
      <c r="A1524" s="53"/>
      <c r="B1524" s="58"/>
      <c r="C1524" s="58"/>
      <c r="D1524" s="35"/>
      <c r="E1524" s="131"/>
      <c r="F1524" s="131"/>
      <c r="G1524" s="131"/>
      <c r="H1524" s="131"/>
      <c r="I1524" s="131"/>
      <c r="J1524" s="131"/>
      <c r="K1524" s="131"/>
      <c r="L1524" s="131"/>
      <c r="M1524" s="131"/>
      <c r="N1524" s="131"/>
      <c r="O1524" s="131"/>
      <c r="P1524" s="152"/>
    </row>
    <row r="1525" spans="1:16" s="28" customFormat="1" x14ac:dyDescent="0.25">
      <c r="A1525" s="53"/>
      <c r="B1525" s="58"/>
      <c r="C1525" s="58"/>
      <c r="D1525" s="35"/>
      <c r="E1525" s="131"/>
      <c r="F1525" s="131"/>
      <c r="G1525" s="131"/>
      <c r="H1525" s="131"/>
      <c r="I1525" s="131"/>
      <c r="J1525" s="131"/>
      <c r="K1525" s="131"/>
      <c r="L1525" s="131"/>
      <c r="M1525" s="131"/>
      <c r="N1525" s="131"/>
      <c r="O1525" s="131"/>
      <c r="P1525" s="152"/>
    </row>
    <row r="1526" spans="1:16" s="28" customFormat="1" x14ac:dyDescent="0.25">
      <c r="A1526" s="53"/>
      <c r="B1526" s="58"/>
      <c r="C1526" s="58"/>
      <c r="D1526" s="35"/>
      <c r="E1526" s="131"/>
      <c r="F1526" s="131"/>
      <c r="G1526" s="131"/>
      <c r="H1526" s="131"/>
      <c r="I1526" s="131"/>
      <c r="J1526" s="131"/>
      <c r="K1526" s="131"/>
      <c r="L1526" s="131"/>
      <c r="M1526" s="131"/>
      <c r="N1526" s="131"/>
      <c r="O1526" s="131"/>
      <c r="P1526" s="152"/>
    </row>
    <row r="1527" spans="1:16" s="28" customFormat="1" x14ac:dyDescent="0.25">
      <c r="A1527" s="53"/>
      <c r="B1527" s="58"/>
      <c r="C1527" s="58"/>
      <c r="D1527" s="35"/>
      <c r="E1527" s="131"/>
      <c r="F1527" s="131"/>
      <c r="G1527" s="131"/>
      <c r="H1527" s="131"/>
      <c r="I1527" s="131"/>
      <c r="J1527" s="131"/>
      <c r="K1527" s="131"/>
      <c r="L1527" s="131"/>
      <c r="M1527" s="131"/>
      <c r="N1527" s="131"/>
      <c r="O1527" s="131"/>
      <c r="P1527" s="152"/>
    </row>
    <row r="1528" spans="1:16" s="28" customFormat="1" x14ac:dyDescent="0.25">
      <c r="A1528" s="53"/>
      <c r="B1528" s="58"/>
      <c r="C1528" s="58"/>
      <c r="D1528" s="35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52"/>
    </row>
    <row r="1529" spans="1:16" s="28" customFormat="1" x14ac:dyDescent="0.25">
      <c r="A1529" s="53"/>
      <c r="B1529" s="58"/>
      <c r="C1529" s="58"/>
      <c r="D1529" s="35"/>
      <c r="E1529" s="131"/>
      <c r="F1529" s="131"/>
      <c r="G1529" s="131"/>
      <c r="H1529" s="131"/>
      <c r="I1529" s="131"/>
      <c r="J1529" s="131"/>
      <c r="K1529" s="131"/>
      <c r="L1529" s="131"/>
      <c r="M1529" s="131"/>
      <c r="N1529" s="131"/>
      <c r="O1529" s="131"/>
      <c r="P1529" s="152"/>
    </row>
    <row r="1530" spans="1:16" s="28" customFormat="1" x14ac:dyDescent="0.25">
      <c r="A1530" s="53"/>
      <c r="B1530" s="58"/>
      <c r="C1530" s="58"/>
      <c r="D1530" s="35"/>
      <c r="E1530" s="131"/>
      <c r="F1530" s="131"/>
      <c r="G1530" s="131"/>
      <c r="H1530" s="131"/>
      <c r="I1530" s="131"/>
      <c r="J1530" s="131"/>
      <c r="K1530" s="131"/>
      <c r="L1530" s="131"/>
      <c r="M1530" s="131"/>
      <c r="N1530" s="131"/>
      <c r="O1530" s="131"/>
      <c r="P1530" s="152"/>
    </row>
    <row r="1531" spans="1:16" s="28" customFormat="1" x14ac:dyDescent="0.25">
      <c r="A1531" s="53"/>
      <c r="B1531" s="58"/>
      <c r="C1531" s="58"/>
      <c r="D1531" s="35"/>
      <c r="E1531" s="131"/>
      <c r="F1531" s="131"/>
      <c r="G1531" s="131"/>
      <c r="H1531" s="131"/>
      <c r="I1531" s="131"/>
      <c r="J1531" s="131"/>
      <c r="K1531" s="131"/>
      <c r="L1531" s="131"/>
      <c r="M1531" s="131"/>
      <c r="N1531" s="131"/>
      <c r="O1531" s="131"/>
      <c r="P1531" s="152"/>
    </row>
    <row r="1532" spans="1:16" s="28" customFormat="1" x14ac:dyDescent="0.25">
      <c r="A1532" s="53"/>
      <c r="B1532" s="58"/>
      <c r="C1532" s="58"/>
      <c r="D1532" s="35"/>
      <c r="E1532" s="131"/>
      <c r="F1532" s="131"/>
      <c r="G1532" s="131"/>
      <c r="H1532" s="131"/>
      <c r="I1532" s="131"/>
      <c r="J1532" s="131"/>
      <c r="K1532" s="131"/>
      <c r="L1532" s="131"/>
      <c r="M1532" s="131"/>
      <c r="N1532" s="131"/>
      <c r="O1532" s="131"/>
      <c r="P1532" s="152"/>
    </row>
    <row r="1533" spans="1:16" s="28" customFormat="1" x14ac:dyDescent="0.25">
      <c r="A1533" s="53"/>
      <c r="B1533" s="58"/>
      <c r="C1533" s="58"/>
      <c r="D1533" s="35"/>
      <c r="E1533" s="131"/>
      <c r="F1533" s="131"/>
      <c r="G1533" s="131"/>
      <c r="H1533" s="131"/>
      <c r="I1533" s="131"/>
      <c r="J1533" s="131"/>
      <c r="K1533" s="131"/>
      <c r="L1533" s="131"/>
      <c r="M1533" s="131"/>
      <c r="N1533" s="131"/>
      <c r="O1533" s="131"/>
      <c r="P1533" s="152"/>
    </row>
    <row r="1534" spans="1:16" s="28" customFormat="1" x14ac:dyDescent="0.25">
      <c r="A1534" s="53"/>
      <c r="B1534" s="58"/>
      <c r="C1534" s="58"/>
      <c r="D1534" s="35"/>
      <c r="E1534" s="131"/>
      <c r="F1534" s="131"/>
      <c r="G1534" s="131"/>
      <c r="H1534" s="131"/>
      <c r="I1534" s="131"/>
      <c r="J1534" s="131"/>
      <c r="K1534" s="131"/>
      <c r="L1534" s="131"/>
      <c r="M1534" s="131"/>
      <c r="N1534" s="131"/>
      <c r="O1534" s="131"/>
      <c r="P1534" s="152"/>
    </row>
    <row r="1535" spans="1:16" s="28" customFormat="1" x14ac:dyDescent="0.25">
      <c r="A1535" s="53"/>
      <c r="B1535" s="58"/>
      <c r="C1535" s="58"/>
      <c r="D1535" s="35"/>
      <c r="E1535" s="131"/>
      <c r="F1535" s="131"/>
      <c r="G1535" s="131"/>
      <c r="H1535" s="131"/>
      <c r="I1535" s="131"/>
      <c r="J1535" s="131"/>
      <c r="K1535" s="131"/>
      <c r="L1535" s="131"/>
      <c r="M1535" s="131"/>
      <c r="N1535" s="131"/>
      <c r="O1535" s="131"/>
      <c r="P1535" s="152"/>
    </row>
    <row r="1536" spans="1:16" s="28" customFormat="1" x14ac:dyDescent="0.25">
      <c r="A1536" s="53"/>
      <c r="B1536" s="58"/>
      <c r="C1536" s="58"/>
      <c r="D1536" s="35"/>
      <c r="E1536" s="131"/>
      <c r="F1536" s="131"/>
      <c r="G1536" s="131"/>
      <c r="H1536" s="131"/>
      <c r="I1536" s="131"/>
      <c r="J1536" s="131"/>
      <c r="K1536" s="131"/>
      <c r="L1536" s="131"/>
      <c r="M1536" s="131"/>
      <c r="N1536" s="131"/>
      <c r="O1536" s="131"/>
      <c r="P1536" s="152"/>
    </row>
    <row r="1537" spans="1:16" s="28" customFormat="1" x14ac:dyDescent="0.25">
      <c r="A1537" s="53"/>
      <c r="B1537" s="58"/>
      <c r="C1537" s="58"/>
      <c r="D1537" s="35"/>
      <c r="E1537" s="131"/>
      <c r="F1537" s="131"/>
      <c r="G1537" s="131"/>
      <c r="H1537" s="131"/>
      <c r="I1537" s="131"/>
      <c r="J1537" s="131"/>
      <c r="K1537" s="131"/>
      <c r="L1537" s="131"/>
      <c r="M1537" s="131"/>
      <c r="N1537" s="131"/>
      <c r="O1537" s="131"/>
      <c r="P1537" s="152"/>
    </row>
    <row r="1538" spans="1:16" s="28" customFormat="1" x14ac:dyDescent="0.25">
      <c r="A1538" s="53"/>
      <c r="B1538" s="58"/>
      <c r="C1538" s="58"/>
      <c r="D1538" s="35"/>
      <c r="E1538" s="131"/>
      <c r="F1538" s="131"/>
      <c r="G1538" s="131"/>
      <c r="H1538" s="131"/>
      <c r="I1538" s="131"/>
      <c r="J1538" s="131"/>
      <c r="K1538" s="131"/>
      <c r="L1538" s="131"/>
      <c r="M1538" s="131"/>
      <c r="N1538" s="131"/>
      <c r="O1538" s="131"/>
      <c r="P1538" s="152"/>
    </row>
    <row r="1539" spans="1:16" s="28" customFormat="1" x14ac:dyDescent="0.25">
      <c r="A1539" s="53"/>
      <c r="B1539" s="58"/>
      <c r="C1539" s="58"/>
      <c r="D1539" s="35"/>
      <c r="E1539" s="131"/>
      <c r="F1539" s="131"/>
      <c r="G1539" s="131"/>
      <c r="H1539" s="131"/>
      <c r="I1539" s="131"/>
      <c r="J1539" s="131"/>
      <c r="K1539" s="131"/>
      <c r="L1539" s="131"/>
      <c r="M1539" s="131"/>
      <c r="N1539" s="131"/>
      <c r="O1539" s="131"/>
      <c r="P1539" s="152"/>
    </row>
    <row r="1540" spans="1:16" s="28" customFormat="1" x14ac:dyDescent="0.25">
      <c r="A1540" s="53"/>
      <c r="B1540" s="58"/>
      <c r="C1540" s="58"/>
      <c r="D1540" s="35"/>
      <c r="E1540" s="131"/>
      <c r="F1540" s="131"/>
      <c r="G1540" s="131"/>
      <c r="H1540" s="131"/>
      <c r="I1540" s="131"/>
      <c r="J1540" s="131"/>
      <c r="K1540" s="131"/>
      <c r="L1540" s="131"/>
      <c r="M1540" s="131"/>
      <c r="N1540" s="131"/>
      <c r="O1540" s="131"/>
      <c r="P1540" s="152"/>
    </row>
    <row r="1541" spans="1:16" s="28" customFormat="1" x14ac:dyDescent="0.25">
      <c r="A1541" s="53"/>
      <c r="B1541" s="58"/>
      <c r="C1541" s="58"/>
      <c r="D1541" s="35"/>
      <c r="E1541" s="131"/>
      <c r="F1541" s="131"/>
      <c r="G1541" s="131"/>
      <c r="H1541" s="131"/>
      <c r="I1541" s="131"/>
      <c r="J1541" s="131"/>
      <c r="K1541" s="131"/>
      <c r="L1541" s="131"/>
      <c r="M1541" s="131"/>
      <c r="N1541" s="131"/>
      <c r="O1541" s="131"/>
      <c r="P1541" s="152"/>
    </row>
    <row r="1542" spans="1:16" s="28" customFormat="1" x14ac:dyDescent="0.25">
      <c r="A1542" s="53"/>
      <c r="B1542" s="58"/>
      <c r="C1542" s="58"/>
      <c r="D1542" s="35"/>
      <c r="E1542" s="131"/>
      <c r="F1542" s="131"/>
      <c r="G1542" s="131"/>
      <c r="H1542" s="131"/>
      <c r="I1542" s="131"/>
      <c r="J1542" s="131"/>
      <c r="K1542" s="131"/>
      <c r="L1542" s="131"/>
      <c r="M1542" s="131"/>
      <c r="N1542" s="131"/>
      <c r="O1542" s="131"/>
      <c r="P1542" s="152"/>
    </row>
    <row r="1543" spans="1:16" s="28" customFormat="1" x14ac:dyDescent="0.25">
      <c r="A1543" s="53"/>
      <c r="B1543" s="58"/>
      <c r="C1543" s="58"/>
      <c r="D1543" s="35"/>
      <c r="E1543" s="131"/>
      <c r="F1543" s="131"/>
      <c r="G1543" s="131"/>
      <c r="H1543" s="131"/>
      <c r="I1543" s="131"/>
      <c r="J1543" s="131"/>
      <c r="K1543" s="131"/>
      <c r="L1543" s="131"/>
      <c r="M1543" s="131"/>
      <c r="N1543" s="131"/>
      <c r="O1543" s="131"/>
      <c r="P1543" s="152"/>
    </row>
    <row r="1544" spans="1:16" s="28" customFormat="1" x14ac:dyDescent="0.25">
      <c r="A1544" s="53"/>
      <c r="B1544" s="58"/>
      <c r="C1544" s="58"/>
      <c r="D1544" s="35"/>
      <c r="E1544" s="131"/>
      <c r="F1544" s="131"/>
      <c r="G1544" s="131"/>
      <c r="H1544" s="131"/>
      <c r="I1544" s="131"/>
      <c r="J1544" s="131"/>
      <c r="K1544" s="131"/>
      <c r="L1544" s="131"/>
      <c r="M1544" s="131"/>
      <c r="N1544" s="131"/>
      <c r="O1544" s="131"/>
      <c r="P1544" s="152"/>
    </row>
    <row r="1545" spans="1:16" s="28" customFormat="1" x14ac:dyDescent="0.25">
      <c r="A1545" s="53"/>
      <c r="B1545" s="58"/>
      <c r="C1545" s="58"/>
      <c r="D1545" s="35"/>
      <c r="E1545" s="131"/>
      <c r="F1545" s="131"/>
      <c r="G1545" s="131"/>
      <c r="H1545" s="131"/>
      <c r="I1545" s="131"/>
      <c r="J1545" s="131"/>
      <c r="K1545" s="131"/>
      <c r="L1545" s="131"/>
      <c r="M1545" s="131"/>
      <c r="N1545" s="131"/>
      <c r="O1545" s="131"/>
      <c r="P1545" s="152"/>
    </row>
    <row r="1546" spans="1:16" s="28" customFormat="1" x14ac:dyDescent="0.25">
      <c r="A1546" s="53"/>
      <c r="B1546" s="58"/>
      <c r="C1546" s="58"/>
      <c r="D1546" s="35"/>
      <c r="E1546" s="131"/>
      <c r="F1546" s="131"/>
      <c r="G1546" s="131"/>
      <c r="H1546" s="131"/>
      <c r="I1546" s="131"/>
      <c r="J1546" s="131"/>
      <c r="K1546" s="131"/>
      <c r="L1546" s="131"/>
      <c r="M1546" s="131"/>
      <c r="N1546" s="131"/>
      <c r="O1546" s="131"/>
      <c r="P1546" s="152"/>
    </row>
    <row r="1547" spans="1:16" s="28" customFormat="1" x14ac:dyDescent="0.25">
      <c r="A1547" s="53"/>
      <c r="B1547" s="58"/>
      <c r="C1547" s="58"/>
      <c r="D1547" s="35"/>
      <c r="E1547" s="131"/>
      <c r="F1547" s="131"/>
      <c r="G1547" s="131"/>
      <c r="H1547" s="131"/>
      <c r="I1547" s="131"/>
      <c r="J1547" s="131"/>
      <c r="K1547" s="131"/>
      <c r="L1547" s="131"/>
      <c r="M1547" s="131"/>
      <c r="N1547" s="131"/>
      <c r="O1547" s="131"/>
      <c r="P1547" s="152"/>
    </row>
    <row r="1548" spans="1:16" s="28" customFormat="1" x14ac:dyDescent="0.25">
      <c r="A1548" s="53"/>
      <c r="B1548" s="58"/>
      <c r="C1548" s="58"/>
      <c r="D1548" s="35"/>
      <c r="E1548" s="131"/>
      <c r="F1548" s="131"/>
      <c r="G1548" s="131"/>
      <c r="H1548" s="131"/>
      <c r="I1548" s="131"/>
      <c r="J1548" s="131"/>
      <c r="K1548" s="131"/>
      <c r="L1548" s="131"/>
      <c r="M1548" s="131"/>
      <c r="N1548" s="131"/>
      <c r="O1548" s="131"/>
      <c r="P1548" s="152"/>
    </row>
    <row r="1549" spans="1:16" s="28" customFormat="1" x14ac:dyDescent="0.25">
      <c r="A1549" s="53"/>
      <c r="B1549" s="58"/>
      <c r="C1549" s="58"/>
      <c r="D1549" s="35"/>
      <c r="E1549" s="131"/>
      <c r="F1549" s="131"/>
      <c r="G1549" s="131"/>
      <c r="H1549" s="131"/>
      <c r="I1549" s="131"/>
      <c r="J1549" s="131"/>
      <c r="K1549" s="131"/>
      <c r="L1549" s="131"/>
      <c r="M1549" s="131"/>
      <c r="N1549" s="131"/>
      <c r="O1549" s="131"/>
      <c r="P1549" s="152"/>
    </row>
    <row r="1550" spans="1:16" s="28" customFormat="1" x14ac:dyDescent="0.25">
      <c r="A1550" s="53"/>
      <c r="B1550" s="58"/>
      <c r="C1550" s="58"/>
      <c r="D1550" s="35"/>
      <c r="E1550" s="131"/>
      <c r="F1550" s="131"/>
      <c r="G1550" s="131"/>
      <c r="H1550" s="131"/>
      <c r="I1550" s="131"/>
      <c r="J1550" s="131"/>
      <c r="K1550" s="131"/>
      <c r="L1550" s="131"/>
      <c r="M1550" s="131"/>
      <c r="N1550" s="131"/>
      <c r="O1550" s="131"/>
      <c r="P1550" s="152"/>
    </row>
    <row r="1551" spans="1:16" s="28" customFormat="1" x14ac:dyDescent="0.25">
      <c r="A1551" s="53"/>
      <c r="B1551" s="58"/>
      <c r="C1551" s="58"/>
      <c r="D1551" s="35"/>
      <c r="E1551" s="131"/>
      <c r="F1551" s="131"/>
      <c r="G1551" s="131"/>
      <c r="H1551" s="131"/>
      <c r="I1551" s="131"/>
      <c r="J1551" s="131"/>
      <c r="K1551" s="131"/>
      <c r="L1551" s="131"/>
      <c r="M1551" s="131"/>
      <c r="N1551" s="131"/>
      <c r="O1551" s="131"/>
      <c r="P1551" s="152"/>
    </row>
    <row r="1552" spans="1:16" s="28" customFormat="1" x14ac:dyDescent="0.25">
      <c r="A1552" s="53"/>
      <c r="B1552" s="58"/>
      <c r="C1552" s="58"/>
      <c r="D1552" s="35"/>
      <c r="E1552" s="131"/>
      <c r="F1552" s="131"/>
      <c r="G1552" s="131"/>
      <c r="H1552" s="131"/>
      <c r="I1552" s="131"/>
      <c r="J1552" s="131"/>
      <c r="K1552" s="131"/>
      <c r="L1552" s="131"/>
      <c r="M1552" s="131"/>
      <c r="N1552" s="131"/>
      <c r="O1552" s="131"/>
      <c r="P1552" s="152"/>
    </row>
    <row r="1553" spans="1:16" s="28" customFormat="1" x14ac:dyDescent="0.25">
      <c r="A1553" s="53"/>
      <c r="B1553" s="58"/>
      <c r="C1553" s="58"/>
      <c r="D1553" s="35"/>
      <c r="E1553" s="131"/>
      <c r="F1553" s="131"/>
      <c r="G1553" s="131"/>
      <c r="H1553" s="131"/>
      <c r="I1553" s="131"/>
      <c r="J1553" s="131"/>
      <c r="K1553" s="131"/>
      <c r="L1553" s="131"/>
      <c r="M1553" s="131"/>
      <c r="N1553" s="131"/>
      <c r="O1553" s="131"/>
      <c r="P1553" s="152"/>
    </row>
    <row r="1554" spans="1:16" s="28" customFormat="1" x14ac:dyDescent="0.25">
      <c r="A1554" s="53"/>
      <c r="B1554" s="58"/>
      <c r="C1554" s="58"/>
      <c r="D1554" s="35"/>
      <c r="E1554" s="131"/>
      <c r="F1554" s="131"/>
      <c r="G1554" s="131"/>
      <c r="H1554" s="131"/>
      <c r="I1554" s="131"/>
      <c r="J1554" s="131"/>
      <c r="K1554" s="131"/>
      <c r="L1554" s="131"/>
      <c r="M1554" s="131"/>
      <c r="N1554" s="131"/>
      <c r="O1554" s="131"/>
      <c r="P1554" s="152"/>
    </row>
    <row r="1555" spans="1:16" s="28" customFormat="1" x14ac:dyDescent="0.25">
      <c r="A1555" s="53"/>
      <c r="B1555" s="58"/>
      <c r="C1555" s="58"/>
      <c r="D1555" s="35"/>
      <c r="E1555" s="131"/>
      <c r="F1555" s="131"/>
      <c r="G1555" s="131"/>
      <c r="H1555" s="131"/>
      <c r="I1555" s="131"/>
      <c r="J1555" s="131"/>
      <c r="K1555" s="131"/>
      <c r="L1555" s="131"/>
      <c r="M1555" s="131"/>
      <c r="N1555" s="131"/>
      <c r="O1555" s="131"/>
      <c r="P1555" s="152"/>
    </row>
    <row r="1556" spans="1:16" s="28" customFormat="1" x14ac:dyDescent="0.25">
      <c r="A1556" s="53"/>
      <c r="B1556" s="58"/>
      <c r="C1556" s="58"/>
      <c r="D1556" s="35"/>
      <c r="E1556" s="131"/>
      <c r="F1556" s="131"/>
      <c r="G1556" s="131"/>
      <c r="H1556" s="131"/>
      <c r="I1556" s="131"/>
      <c r="J1556" s="131"/>
      <c r="K1556" s="131"/>
      <c r="L1556" s="131"/>
      <c r="M1556" s="131"/>
      <c r="N1556" s="131"/>
      <c r="O1556" s="131"/>
      <c r="P1556" s="152"/>
    </row>
    <row r="1557" spans="1:16" s="28" customFormat="1" x14ac:dyDescent="0.25">
      <c r="A1557" s="53"/>
      <c r="B1557" s="58"/>
      <c r="C1557" s="58"/>
      <c r="D1557" s="35"/>
      <c r="E1557" s="131"/>
      <c r="F1557" s="131"/>
      <c r="G1557" s="131"/>
      <c r="H1557" s="131"/>
      <c r="I1557" s="131"/>
      <c r="J1557" s="131"/>
      <c r="K1557" s="131"/>
      <c r="L1557" s="131"/>
      <c r="M1557" s="131"/>
      <c r="N1557" s="131"/>
      <c r="O1557" s="131"/>
      <c r="P1557" s="152"/>
    </row>
    <row r="1558" spans="1:16" s="28" customFormat="1" x14ac:dyDescent="0.25">
      <c r="A1558" s="53"/>
      <c r="B1558" s="58"/>
      <c r="C1558" s="58"/>
      <c r="D1558" s="35"/>
      <c r="E1558" s="131"/>
      <c r="F1558" s="131"/>
      <c r="G1558" s="131"/>
      <c r="H1558" s="131"/>
      <c r="I1558" s="131"/>
      <c r="J1558" s="131"/>
      <c r="K1558" s="131"/>
      <c r="L1558" s="131"/>
      <c r="M1558" s="131"/>
      <c r="N1558" s="131"/>
      <c r="O1558" s="131"/>
      <c r="P1558" s="152"/>
    </row>
    <row r="1559" spans="1:16" s="28" customFormat="1" x14ac:dyDescent="0.25">
      <c r="A1559" s="53"/>
      <c r="B1559" s="58"/>
      <c r="C1559" s="58"/>
      <c r="D1559" s="35"/>
      <c r="E1559" s="131"/>
      <c r="F1559" s="131"/>
      <c r="G1559" s="131"/>
      <c r="H1559" s="131"/>
      <c r="I1559" s="131"/>
      <c r="J1559" s="131"/>
      <c r="K1559" s="131"/>
      <c r="L1559" s="131"/>
      <c r="M1559" s="131"/>
      <c r="N1559" s="131"/>
      <c r="O1559" s="131"/>
      <c r="P1559" s="152"/>
    </row>
    <row r="1560" spans="1:16" s="28" customFormat="1" x14ac:dyDescent="0.25">
      <c r="A1560" s="53"/>
      <c r="B1560" s="58"/>
      <c r="C1560" s="58"/>
      <c r="D1560" s="35"/>
      <c r="E1560" s="131"/>
      <c r="F1560" s="131"/>
      <c r="G1560" s="131"/>
      <c r="H1560" s="131"/>
      <c r="I1560" s="131"/>
      <c r="J1560" s="131"/>
      <c r="K1560" s="131"/>
      <c r="L1560" s="131"/>
      <c r="M1560" s="131"/>
      <c r="N1560" s="131"/>
      <c r="O1560" s="131"/>
      <c r="P1560" s="152"/>
    </row>
    <row r="1561" spans="1:16" s="28" customFormat="1" x14ac:dyDescent="0.25">
      <c r="A1561" s="53"/>
      <c r="B1561" s="58"/>
      <c r="C1561" s="58"/>
      <c r="D1561" s="35"/>
      <c r="E1561" s="131"/>
      <c r="F1561" s="131"/>
      <c r="G1561" s="131"/>
      <c r="H1561" s="131"/>
      <c r="I1561" s="131"/>
      <c r="J1561" s="131"/>
      <c r="K1561" s="131"/>
      <c r="L1561" s="131"/>
      <c r="M1561" s="131"/>
      <c r="N1561" s="131"/>
      <c r="O1561" s="131"/>
      <c r="P1561" s="152"/>
    </row>
    <row r="1562" spans="1:16" s="28" customFormat="1" x14ac:dyDescent="0.25">
      <c r="A1562" s="53"/>
      <c r="B1562" s="58"/>
      <c r="C1562" s="58"/>
      <c r="D1562" s="35"/>
      <c r="E1562" s="131"/>
      <c r="F1562" s="131"/>
      <c r="G1562" s="131"/>
      <c r="H1562" s="131"/>
      <c r="I1562" s="131"/>
      <c r="J1562" s="131"/>
      <c r="K1562" s="131"/>
      <c r="L1562" s="131"/>
      <c r="M1562" s="131"/>
      <c r="N1562" s="131"/>
      <c r="O1562" s="131"/>
      <c r="P1562" s="152"/>
    </row>
    <row r="1563" spans="1:16" s="28" customFormat="1" x14ac:dyDescent="0.25">
      <c r="A1563" s="53"/>
      <c r="B1563" s="58"/>
      <c r="C1563" s="58"/>
      <c r="D1563" s="35"/>
      <c r="E1563" s="131"/>
      <c r="F1563" s="131"/>
      <c r="G1563" s="131"/>
      <c r="H1563" s="131"/>
      <c r="I1563" s="131"/>
      <c r="J1563" s="131"/>
      <c r="K1563" s="131"/>
      <c r="L1563" s="131"/>
      <c r="M1563" s="131"/>
      <c r="N1563" s="131"/>
      <c r="O1563" s="131"/>
      <c r="P1563" s="152"/>
    </row>
    <row r="1564" spans="1:16" s="28" customFormat="1" x14ac:dyDescent="0.25">
      <c r="A1564" s="53"/>
      <c r="B1564" s="58"/>
      <c r="C1564" s="58"/>
      <c r="D1564" s="35"/>
      <c r="E1564" s="131"/>
      <c r="F1564" s="131"/>
      <c r="G1564" s="131"/>
      <c r="H1564" s="131"/>
      <c r="I1564" s="131"/>
      <c r="J1564" s="131"/>
      <c r="K1564" s="131"/>
      <c r="L1564" s="131"/>
      <c r="M1564" s="131"/>
      <c r="N1564" s="131"/>
      <c r="O1564" s="131"/>
      <c r="P1564" s="152"/>
    </row>
    <row r="1565" spans="1:16" s="28" customFormat="1" x14ac:dyDescent="0.25">
      <c r="A1565" s="53"/>
      <c r="B1565" s="58"/>
      <c r="C1565" s="58"/>
      <c r="D1565" s="35"/>
      <c r="E1565" s="131"/>
      <c r="F1565" s="131"/>
      <c r="G1565" s="131"/>
      <c r="H1565" s="131"/>
      <c r="I1565" s="131"/>
      <c r="J1565" s="131"/>
      <c r="K1565" s="131"/>
      <c r="L1565" s="131"/>
      <c r="M1565" s="131"/>
      <c r="N1565" s="131"/>
      <c r="O1565" s="131"/>
      <c r="P1565" s="152"/>
    </row>
    <row r="1566" spans="1:16" s="28" customFormat="1" x14ac:dyDescent="0.25">
      <c r="A1566" s="53"/>
      <c r="B1566" s="58"/>
      <c r="C1566" s="58"/>
      <c r="D1566" s="35"/>
      <c r="E1566" s="131"/>
      <c r="F1566" s="131"/>
      <c r="G1566" s="131"/>
      <c r="H1566" s="131"/>
      <c r="I1566" s="131"/>
      <c r="J1566" s="131"/>
      <c r="K1566" s="131"/>
      <c r="L1566" s="131"/>
      <c r="M1566" s="131"/>
      <c r="N1566" s="131"/>
      <c r="O1566" s="131"/>
      <c r="P1566" s="152"/>
    </row>
    <row r="1567" spans="1:16" s="28" customFormat="1" x14ac:dyDescent="0.25">
      <c r="A1567" s="53"/>
      <c r="B1567" s="58"/>
      <c r="C1567" s="58"/>
      <c r="D1567" s="35"/>
      <c r="E1567" s="131"/>
      <c r="F1567" s="131"/>
      <c r="G1567" s="131"/>
      <c r="H1567" s="131"/>
      <c r="I1567" s="131"/>
      <c r="J1567" s="131"/>
      <c r="K1567" s="131"/>
      <c r="L1567" s="131"/>
      <c r="M1567" s="131"/>
      <c r="N1567" s="131"/>
      <c r="O1567" s="131"/>
      <c r="P1567" s="152"/>
    </row>
    <row r="1568" spans="1:16" s="28" customFormat="1" x14ac:dyDescent="0.25">
      <c r="A1568" s="53"/>
      <c r="B1568" s="58"/>
      <c r="C1568" s="58"/>
      <c r="D1568" s="35"/>
      <c r="E1568" s="131"/>
      <c r="F1568" s="131"/>
      <c r="G1568" s="131"/>
      <c r="H1568" s="131"/>
      <c r="I1568" s="131"/>
      <c r="J1568" s="131"/>
      <c r="K1568" s="131"/>
      <c r="L1568" s="131"/>
      <c r="M1568" s="131"/>
      <c r="N1568" s="131"/>
      <c r="O1568" s="131"/>
      <c r="P1568" s="152"/>
    </row>
    <row r="1569" spans="1:16" s="28" customFormat="1" x14ac:dyDescent="0.25">
      <c r="A1569" s="53"/>
      <c r="B1569" s="58"/>
      <c r="C1569" s="58"/>
      <c r="D1569" s="35"/>
      <c r="E1569" s="131"/>
      <c r="F1569" s="131"/>
      <c r="G1569" s="131"/>
      <c r="H1569" s="131"/>
      <c r="I1569" s="131"/>
      <c r="J1569" s="131"/>
      <c r="K1569" s="131"/>
      <c r="L1569" s="131"/>
      <c r="M1569" s="131"/>
      <c r="N1569" s="131"/>
      <c r="O1569" s="131"/>
      <c r="P1569" s="152"/>
    </row>
    <row r="1570" spans="1:16" s="28" customFormat="1" x14ac:dyDescent="0.25">
      <c r="A1570" s="53"/>
      <c r="B1570" s="58"/>
      <c r="C1570" s="58"/>
      <c r="D1570" s="35"/>
      <c r="E1570" s="131"/>
      <c r="F1570" s="131"/>
      <c r="G1570" s="131"/>
      <c r="H1570" s="131"/>
      <c r="I1570" s="131"/>
      <c r="J1570" s="131"/>
      <c r="K1570" s="131"/>
      <c r="L1570" s="131"/>
      <c r="M1570" s="131"/>
      <c r="N1570" s="131"/>
      <c r="O1570" s="131"/>
      <c r="P1570" s="152"/>
    </row>
    <row r="1571" spans="1:16" s="28" customFormat="1" x14ac:dyDescent="0.25">
      <c r="A1571" s="53"/>
      <c r="B1571" s="58"/>
      <c r="C1571" s="58"/>
      <c r="D1571" s="35"/>
      <c r="E1571" s="131"/>
      <c r="F1571" s="131"/>
      <c r="G1571" s="131"/>
      <c r="H1571" s="131"/>
      <c r="I1571" s="131"/>
      <c r="J1571" s="131"/>
      <c r="K1571" s="131"/>
      <c r="L1571" s="131"/>
      <c r="M1571" s="131"/>
      <c r="N1571" s="131"/>
      <c r="O1571" s="131"/>
      <c r="P1571" s="152"/>
    </row>
    <row r="1572" spans="1:16" s="28" customFormat="1" x14ac:dyDescent="0.25">
      <c r="A1572" s="53"/>
      <c r="B1572" s="58"/>
      <c r="C1572" s="58"/>
      <c r="D1572" s="35"/>
      <c r="E1572" s="131"/>
      <c r="F1572" s="131"/>
      <c r="G1572" s="131"/>
      <c r="H1572" s="131"/>
      <c r="I1572" s="131"/>
      <c r="J1572" s="131"/>
      <c r="K1572" s="131"/>
      <c r="L1572" s="131"/>
      <c r="M1572" s="131"/>
      <c r="N1572" s="131"/>
      <c r="O1572" s="131"/>
      <c r="P1572" s="152"/>
    </row>
    <row r="1573" spans="1:16" s="28" customFormat="1" x14ac:dyDescent="0.25">
      <c r="A1573" s="53"/>
      <c r="B1573" s="58"/>
      <c r="C1573" s="58"/>
      <c r="D1573" s="35"/>
      <c r="E1573" s="131"/>
      <c r="F1573" s="131"/>
      <c r="G1573" s="131"/>
      <c r="H1573" s="131"/>
      <c r="I1573" s="131"/>
      <c r="J1573" s="131"/>
      <c r="K1573" s="131"/>
      <c r="L1573" s="131"/>
      <c r="M1573" s="131"/>
      <c r="N1573" s="131"/>
      <c r="O1573" s="131"/>
      <c r="P1573" s="152"/>
    </row>
    <row r="1574" spans="1:16" s="28" customFormat="1" x14ac:dyDescent="0.25">
      <c r="A1574" s="53"/>
      <c r="B1574" s="58"/>
      <c r="C1574" s="58"/>
      <c r="D1574" s="35"/>
      <c r="E1574" s="131"/>
      <c r="F1574" s="131"/>
      <c r="G1574" s="131"/>
      <c r="H1574" s="131"/>
      <c r="I1574" s="131"/>
      <c r="J1574" s="131"/>
      <c r="K1574" s="131"/>
      <c r="L1574" s="131"/>
      <c r="M1574" s="131"/>
      <c r="N1574" s="131"/>
      <c r="O1574" s="131"/>
      <c r="P1574" s="152"/>
    </row>
    <row r="1575" spans="1:16" s="28" customFormat="1" x14ac:dyDescent="0.25">
      <c r="A1575" s="53"/>
      <c r="B1575" s="58"/>
      <c r="C1575" s="58"/>
      <c r="D1575" s="35"/>
      <c r="E1575" s="131"/>
      <c r="F1575" s="131"/>
      <c r="G1575" s="131"/>
      <c r="H1575" s="131"/>
      <c r="I1575" s="131"/>
      <c r="J1575" s="131"/>
      <c r="K1575" s="131"/>
      <c r="L1575" s="131"/>
      <c r="M1575" s="131"/>
      <c r="N1575" s="131"/>
      <c r="O1575" s="131"/>
      <c r="P1575" s="152"/>
    </row>
    <row r="1576" spans="1:16" s="28" customFormat="1" x14ac:dyDescent="0.25">
      <c r="A1576" s="53"/>
      <c r="B1576" s="58"/>
      <c r="C1576" s="58"/>
      <c r="D1576" s="35"/>
      <c r="E1576" s="131"/>
      <c r="F1576" s="131"/>
      <c r="G1576" s="131"/>
      <c r="H1576" s="131"/>
      <c r="I1576" s="131"/>
      <c r="J1576" s="131"/>
      <c r="K1576" s="131"/>
      <c r="L1576" s="131"/>
      <c r="M1576" s="131"/>
      <c r="N1576" s="131"/>
      <c r="O1576" s="131"/>
      <c r="P1576" s="152"/>
    </row>
    <row r="1577" spans="1:16" s="28" customFormat="1" x14ac:dyDescent="0.25">
      <c r="A1577" s="53"/>
      <c r="B1577" s="58"/>
      <c r="C1577" s="58"/>
      <c r="D1577" s="35"/>
      <c r="E1577" s="131"/>
      <c r="F1577" s="131"/>
      <c r="G1577" s="131"/>
      <c r="H1577" s="131"/>
      <c r="I1577" s="131"/>
      <c r="J1577" s="131"/>
      <c r="K1577" s="131"/>
      <c r="L1577" s="131"/>
      <c r="M1577" s="131"/>
      <c r="N1577" s="131"/>
      <c r="O1577" s="131"/>
      <c r="P1577" s="152"/>
    </row>
    <row r="1578" spans="1:16" s="28" customFormat="1" x14ac:dyDescent="0.25">
      <c r="A1578" s="53"/>
      <c r="B1578" s="58"/>
      <c r="C1578" s="58"/>
      <c r="D1578" s="35"/>
      <c r="E1578" s="131"/>
      <c r="F1578" s="131"/>
      <c r="G1578" s="131"/>
      <c r="H1578" s="131"/>
      <c r="I1578" s="131"/>
      <c r="J1578" s="131"/>
      <c r="K1578" s="131"/>
      <c r="L1578" s="131"/>
      <c r="M1578" s="131"/>
      <c r="N1578" s="131"/>
      <c r="O1578" s="131"/>
      <c r="P1578" s="152"/>
    </row>
    <row r="1579" spans="1:16" s="28" customFormat="1" x14ac:dyDescent="0.25">
      <c r="A1579" s="53"/>
      <c r="B1579" s="58"/>
      <c r="C1579" s="58"/>
      <c r="D1579" s="35"/>
      <c r="E1579" s="131"/>
      <c r="F1579" s="131"/>
      <c r="G1579" s="131"/>
      <c r="H1579" s="131"/>
      <c r="I1579" s="131"/>
      <c r="J1579" s="131"/>
      <c r="K1579" s="131"/>
      <c r="L1579" s="131"/>
      <c r="M1579" s="131"/>
      <c r="N1579" s="131"/>
      <c r="O1579" s="131"/>
      <c r="P1579" s="152"/>
    </row>
    <row r="1580" spans="1:16" s="28" customFormat="1" x14ac:dyDescent="0.25">
      <c r="A1580" s="53"/>
      <c r="B1580" s="58"/>
      <c r="C1580" s="58"/>
      <c r="D1580" s="35"/>
      <c r="E1580" s="131"/>
      <c r="F1580" s="131"/>
      <c r="G1580" s="131"/>
      <c r="H1580" s="131"/>
      <c r="I1580" s="131"/>
      <c r="J1580" s="131"/>
      <c r="K1580" s="131"/>
      <c r="L1580" s="131"/>
      <c r="M1580" s="131"/>
      <c r="N1580" s="131"/>
      <c r="O1580" s="131"/>
      <c r="P1580" s="152"/>
    </row>
    <row r="1581" spans="1:16" s="28" customFormat="1" x14ac:dyDescent="0.25">
      <c r="A1581" s="53"/>
      <c r="B1581" s="58"/>
      <c r="C1581" s="58"/>
      <c r="D1581" s="35"/>
      <c r="E1581" s="131"/>
      <c r="F1581" s="131"/>
      <c r="G1581" s="131"/>
      <c r="H1581" s="131"/>
      <c r="I1581" s="131"/>
      <c r="J1581" s="131"/>
      <c r="K1581" s="131"/>
      <c r="L1581" s="131"/>
      <c r="M1581" s="131"/>
      <c r="N1581" s="131"/>
      <c r="O1581" s="131"/>
      <c r="P1581" s="152"/>
    </row>
    <row r="1582" spans="1:16" s="28" customFormat="1" x14ac:dyDescent="0.25">
      <c r="A1582" s="53"/>
      <c r="B1582" s="58"/>
      <c r="C1582" s="58"/>
      <c r="D1582" s="35"/>
      <c r="E1582" s="131"/>
      <c r="F1582" s="131"/>
      <c r="G1582" s="131"/>
      <c r="H1582" s="131"/>
      <c r="I1582" s="131"/>
      <c r="J1582" s="131"/>
      <c r="K1582" s="131"/>
      <c r="L1582" s="131"/>
      <c r="M1582" s="131"/>
      <c r="N1582" s="131"/>
      <c r="O1582" s="131"/>
      <c r="P1582" s="152"/>
    </row>
    <row r="1583" spans="1:16" s="28" customFormat="1" x14ac:dyDescent="0.25">
      <c r="A1583" s="53"/>
      <c r="B1583" s="58"/>
      <c r="C1583" s="58"/>
      <c r="D1583" s="35"/>
      <c r="E1583" s="131"/>
      <c r="F1583" s="131"/>
      <c r="G1583" s="131"/>
      <c r="H1583" s="131"/>
      <c r="I1583" s="131"/>
      <c r="J1583" s="131"/>
      <c r="K1583" s="131"/>
      <c r="L1583" s="131"/>
      <c r="M1583" s="131"/>
      <c r="N1583" s="131"/>
      <c r="O1583" s="131"/>
      <c r="P1583" s="152"/>
    </row>
    <row r="1584" spans="1:16" s="28" customFormat="1" x14ac:dyDescent="0.25">
      <c r="A1584" s="53"/>
      <c r="B1584" s="58"/>
      <c r="C1584" s="58"/>
      <c r="D1584" s="35"/>
      <c r="E1584" s="131"/>
      <c r="F1584" s="131"/>
      <c r="G1584" s="131"/>
      <c r="H1584" s="131"/>
      <c r="I1584" s="131"/>
      <c r="J1584" s="131"/>
      <c r="K1584" s="131"/>
      <c r="L1584" s="131"/>
      <c r="M1584" s="131"/>
      <c r="N1584" s="131"/>
      <c r="O1584" s="131"/>
      <c r="P1584" s="152"/>
    </row>
    <row r="1585" spans="1:16" s="28" customFormat="1" x14ac:dyDescent="0.25">
      <c r="A1585" s="53"/>
      <c r="B1585" s="58"/>
      <c r="C1585" s="58"/>
      <c r="D1585" s="35"/>
      <c r="E1585" s="131"/>
      <c r="F1585" s="131"/>
      <c r="G1585" s="131"/>
      <c r="H1585" s="131"/>
      <c r="I1585" s="131"/>
      <c r="J1585" s="131"/>
      <c r="K1585" s="131"/>
      <c r="L1585" s="131"/>
      <c r="M1585" s="131"/>
      <c r="N1585" s="131"/>
      <c r="O1585" s="131"/>
      <c r="P1585" s="152"/>
    </row>
    <row r="1586" spans="1:16" s="28" customFormat="1" x14ac:dyDescent="0.25">
      <c r="A1586" s="53"/>
      <c r="B1586" s="58"/>
      <c r="C1586" s="58"/>
      <c r="D1586" s="35"/>
      <c r="E1586" s="131"/>
      <c r="F1586" s="131"/>
      <c r="G1586" s="131"/>
      <c r="H1586" s="131"/>
      <c r="I1586" s="131"/>
      <c r="J1586" s="131"/>
      <c r="K1586" s="131"/>
      <c r="L1586" s="131"/>
      <c r="M1586" s="131"/>
      <c r="N1586" s="131"/>
      <c r="O1586" s="131"/>
      <c r="P1586" s="152"/>
    </row>
    <row r="1587" spans="1:16" s="28" customFormat="1" x14ac:dyDescent="0.25">
      <c r="A1587" s="53"/>
      <c r="B1587" s="58"/>
      <c r="C1587" s="58"/>
      <c r="D1587" s="35"/>
      <c r="E1587" s="131"/>
      <c r="F1587" s="131"/>
      <c r="G1587" s="131"/>
      <c r="H1587" s="131"/>
      <c r="I1587" s="131"/>
      <c r="J1587" s="131"/>
      <c r="K1587" s="131"/>
      <c r="L1587" s="131"/>
      <c r="M1587" s="131"/>
      <c r="N1587" s="131"/>
      <c r="O1587" s="131"/>
      <c r="P1587" s="152"/>
    </row>
    <row r="1588" spans="1:16" s="28" customFormat="1" x14ac:dyDescent="0.25">
      <c r="A1588" s="53"/>
      <c r="B1588" s="58"/>
      <c r="C1588" s="58"/>
      <c r="D1588" s="35"/>
      <c r="E1588" s="131"/>
      <c r="F1588" s="131"/>
      <c r="G1588" s="131"/>
      <c r="H1588" s="131"/>
      <c r="I1588" s="131"/>
      <c r="J1588" s="131"/>
      <c r="K1588" s="131"/>
      <c r="L1588" s="131"/>
      <c r="M1588" s="131"/>
      <c r="N1588" s="131"/>
      <c r="O1588" s="131"/>
      <c r="P1588" s="152"/>
    </row>
    <row r="1589" spans="1:16" s="28" customFormat="1" x14ac:dyDescent="0.25">
      <c r="A1589" s="53"/>
      <c r="B1589" s="58"/>
      <c r="C1589" s="58"/>
      <c r="D1589" s="35"/>
      <c r="E1589" s="131"/>
      <c r="F1589" s="131"/>
      <c r="G1589" s="131"/>
      <c r="H1589" s="131"/>
      <c r="I1589" s="131"/>
      <c r="J1589" s="131"/>
      <c r="K1589" s="131"/>
      <c r="L1589" s="131"/>
      <c r="M1589" s="131"/>
      <c r="N1589" s="131"/>
      <c r="O1589" s="131"/>
      <c r="P1589" s="152"/>
    </row>
    <row r="1590" spans="1:16" s="28" customFormat="1" x14ac:dyDescent="0.25">
      <c r="A1590" s="53"/>
      <c r="B1590" s="58"/>
      <c r="C1590" s="58"/>
      <c r="D1590" s="35"/>
      <c r="E1590" s="131"/>
      <c r="F1590" s="131"/>
      <c r="G1590" s="131"/>
      <c r="H1590" s="131"/>
      <c r="I1590" s="131"/>
      <c r="J1590" s="131"/>
      <c r="K1590" s="131"/>
      <c r="L1590" s="131"/>
      <c r="M1590" s="131"/>
      <c r="N1590" s="131"/>
      <c r="O1590" s="131"/>
      <c r="P1590" s="152"/>
    </row>
    <row r="1591" spans="1:16" s="28" customFormat="1" x14ac:dyDescent="0.25">
      <c r="A1591" s="53"/>
      <c r="B1591" s="58"/>
      <c r="C1591" s="58"/>
      <c r="D1591" s="35"/>
      <c r="E1591" s="131"/>
      <c r="F1591" s="131"/>
      <c r="G1591" s="131"/>
      <c r="H1591" s="131"/>
      <c r="I1591" s="131"/>
      <c r="J1591" s="131"/>
      <c r="K1591" s="131"/>
      <c r="L1591" s="131"/>
      <c r="M1591" s="131"/>
      <c r="N1591" s="131"/>
      <c r="O1591" s="131"/>
      <c r="P1591" s="152"/>
    </row>
    <row r="1592" spans="1:16" s="28" customFormat="1" x14ac:dyDescent="0.25">
      <c r="A1592" s="53"/>
      <c r="B1592" s="58"/>
      <c r="C1592" s="58"/>
      <c r="D1592" s="35"/>
      <c r="E1592" s="131"/>
      <c r="F1592" s="131"/>
      <c r="G1592" s="131"/>
      <c r="H1592" s="131"/>
      <c r="I1592" s="131"/>
      <c r="J1592" s="131"/>
      <c r="K1592" s="131"/>
      <c r="L1592" s="131"/>
      <c r="M1592" s="131"/>
      <c r="N1592" s="131"/>
      <c r="O1592" s="131"/>
      <c r="P1592" s="152"/>
    </row>
    <row r="1593" spans="1:16" s="28" customFormat="1" x14ac:dyDescent="0.25">
      <c r="A1593" s="53"/>
      <c r="B1593" s="58"/>
      <c r="C1593" s="58"/>
      <c r="D1593" s="35"/>
      <c r="E1593" s="131"/>
      <c r="F1593" s="131"/>
      <c r="G1593" s="131"/>
      <c r="H1593" s="131"/>
      <c r="I1593" s="131"/>
      <c r="J1593" s="131"/>
      <c r="K1593" s="131"/>
      <c r="L1593" s="131"/>
      <c r="M1593" s="131"/>
      <c r="N1593" s="131"/>
      <c r="O1593" s="131"/>
      <c r="P1593" s="152"/>
    </row>
    <row r="1594" spans="1:16" s="28" customFormat="1" x14ac:dyDescent="0.25">
      <c r="A1594" s="53"/>
      <c r="B1594" s="58"/>
      <c r="C1594" s="58"/>
      <c r="D1594" s="35"/>
      <c r="E1594" s="131"/>
      <c r="F1594" s="131"/>
      <c r="G1594" s="131"/>
      <c r="H1594" s="131"/>
      <c r="I1594" s="131"/>
      <c r="J1594" s="131"/>
      <c r="K1594" s="131"/>
      <c r="L1594" s="131"/>
      <c r="M1594" s="131"/>
      <c r="N1594" s="131"/>
      <c r="O1594" s="131"/>
      <c r="P1594" s="152"/>
    </row>
    <row r="1595" spans="1:16" s="28" customFormat="1" x14ac:dyDescent="0.25">
      <c r="A1595" s="53"/>
      <c r="B1595" s="58"/>
      <c r="C1595" s="58"/>
      <c r="D1595" s="35"/>
      <c r="E1595" s="131"/>
      <c r="F1595" s="131"/>
      <c r="G1595" s="131"/>
      <c r="H1595" s="131"/>
      <c r="I1595" s="131"/>
      <c r="J1595" s="131"/>
      <c r="K1595" s="131"/>
      <c r="L1595" s="131"/>
      <c r="M1595" s="131"/>
      <c r="N1595" s="131"/>
      <c r="O1595" s="131"/>
      <c r="P1595" s="152"/>
    </row>
    <row r="1596" spans="1:16" s="28" customFormat="1" x14ac:dyDescent="0.25">
      <c r="A1596" s="53"/>
      <c r="B1596" s="58"/>
      <c r="C1596" s="58"/>
      <c r="D1596" s="35"/>
      <c r="E1596" s="131"/>
      <c r="F1596" s="131"/>
      <c r="G1596" s="131"/>
      <c r="H1596" s="131"/>
      <c r="I1596" s="131"/>
      <c r="J1596" s="131"/>
      <c r="K1596" s="131"/>
      <c r="L1596" s="131"/>
      <c r="M1596" s="131"/>
      <c r="N1596" s="131"/>
      <c r="O1596" s="131"/>
      <c r="P1596" s="152"/>
    </row>
    <row r="1597" spans="1:16" s="28" customFormat="1" x14ac:dyDescent="0.25">
      <c r="A1597" s="53"/>
      <c r="B1597" s="58"/>
      <c r="C1597" s="58"/>
      <c r="D1597" s="35"/>
      <c r="E1597" s="131"/>
      <c r="F1597" s="131"/>
      <c r="G1597" s="131"/>
      <c r="H1597" s="131"/>
      <c r="I1597" s="131"/>
      <c r="J1597" s="131"/>
      <c r="K1597" s="131"/>
      <c r="L1597" s="131"/>
      <c r="M1597" s="131"/>
      <c r="N1597" s="131"/>
      <c r="O1597" s="131"/>
      <c r="P1597" s="152"/>
    </row>
    <row r="1598" spans="1:16" s="28" customFormat="1" x14ac:dyDescent="0.25">
      <c r="A1598" s="53"/>
      <c r="B1598" s="58"/>
      <c r="C1598" s="58"/>
      <c r="D1598" s="35"/>
      <c r="E1598" s="131"/>
      <c r="F1598" s="131"/>
      <c r="G1598" s="131"/>
      <c r="H1598" s="131"/>
      <c r="I1598" s="131"/>
      <c r="J1598" s="131"/>
      <c r="K1598" s="131"/>
      <c r="L1598" s="131"/>
      <c r="M1598" s="131"/>
      <c r="N1598" s="131"/>
      <c r="O1598" s="131"/>
      <c r="P1598" s="152"/>
    </row>
    <row r="1599" spans="1:16" s="28" customFormat="1" x14ac:dyDescent="0.25">
      <c r="A1599" s="53"/>
      <c r="B1599" s="58"/>
      <c r="C1599" s="58"/>
      <c r="D1599" s="35"/>
      <c r="E1599" s="131"/>
      <c r="F1599" s="131"/>
      <c r="G1599" s="131"/>
      <c r="H1599" s="131"/>
      <c r="I1599" s="131"/>
      <c r="J1599" s="131"/>
      <c r="K1599" s="131"/>
      <c r="L1599" s="131"/>
      <c r="M1599" s="131"/>
      <c r="N1599" s="131"/>
      <c r="O1599" s="131"/>
      <c r="P1599" s="152"/>
    </row>
    <row r="1600" spans="1:16" s="28" customFormat="1" x14ac:dyDescent="0.25">
      <c r="A1600" s="53"/>
      <c r="B1600" s="58"/>
      <c r="C1600" s="58"/>
      <c r="D1600" s="35"/>
      <c r="E1600" s="131"/>
      <c r="F1600" s="131"/>
      <c r="G1600" s="131"/>
      <c r="H1600" s="131"/>
      <c r="I1600" s="131"/>
      <c r="J1600" s="131"/>
      <c r="K1600" s="131"/>
      <c r="L1600" s="131"/>
      <c r="M1600" s="131"/>
      <c r="N1600" s="131"/>
      <c r="O1600" s="131"/>
      <c r="P1600" s="152"/>
    </row>
    <row r="1601" spans="1:16" s="28" customFormat="1" x14ac:dyDescent="0.25">
      <c r="A1601" s="53"/>
      <c r="B1601" s="58"/>
      <c r="C1601" s="58"/>
      <c r="D1601" s="35"/>
      <c r="E1601" s="131"/>
      <c r="F1601" s="131"/>
      <c r="G1601" s="131"/>
      <c r="H1601" s="131"/>
      <c r="I1601" s="131"/>
      <c r="J1601" s="131"/>
      <c r="K1601" s="131"/>
      <c r="L1601" s="131"/>
      <c r="M1601" s="131"/>
      <c r="N1601" s="131"/>
      <c r="O1601" s="131"/>
      <c r="P1601" s="152"/>
    </row>
    <row r="1602" spans="1:16" s="28" customFormat="1" x14ac:dyDescent="0.25">
      <c r="A1602" s="53"/>
      <c r="B1602" s="58"/>
      <c r="C1602" s="58"/>
      <c r="D1602" s="35"/>
      <c r="E1602" s="131"/>
      <c r="F1602" s="131"/>
      <c r="G1602" s="131"/>
      <c r="H1602" s="131"/>
      <c r="I1602" s="131"/>
      <c r="J1602" s="131"/>
      <c r="K1602" s="131"/>
      <c r="L1602" s="131"/>
      <c r="M1602" s="131"/>
      <c r="N1602" s="131"/>
      <c r="O1602" s="131"/>
      <c r="P1602" s="152"/>
    </row>
    <row r="1603" spans="1:16" s="28" customFormat="1" x14ac:dyDescent="0.25">
      <c r="A1603" s="53"/>
      <c r="B1603" s="58"/>
      <c r="C1603" s="58"/>
      <c r="D1603" s="35"/>
      <c r="E1603" s="131"/>
      <c r="F1603" s="131"/>
      <c r="G1603" s="131"/>
      <c r="H1603" s="131"/>
      <c r="I1603" s="131"/>
      <c r="J1603" s="131"/>
      <c r="K1603" s="131"/>
      <c r="L1603" s="131"/>
      <c r="M1603" s="131"/>
      <c r="N1603" s="131"/>
      <c r="O1603" s="131"/>
      <c r="P1603" s="152"/>
    </row>
    <row r="1604" spans="1:16" s="28" customFormat="1" x14ac:dyDescent="0.25">
      <c r="A1604" s="53"/>
      <c r="B1604" s="58"/>
      <c r="C1604" s="58"/>
      <c r="D1604" s="35"/>
      <c r="E1604" s="131"/>
      <c r="F1604" s="131"/>
      <c r="G1604" s="131"/>
      <c r="H1604" s="131"/>
      <c r="I1604" s="131"/>
      <c r="J1604" s="131"/>
      <c r="K1604" s="131"/>
      <c r="L1604" s="131"/>
      <c r="M1604" s="131"/>
      <c r="N1604" s="131"/>
      <c r="O1604" s="131"/>
      <c r="P1604" s="152"/>
    </row>
    <row r="1605" spans="1:16" s="28" customFormat="1" x14ac:dyDescent="0.25">
      <c r="A1605" s="53"/>
      <c r="B1605" s="58"/>
      <c r="C1605" s="58"/>
      <c r="D1605" s="35"/>
      <c r="E1605" s="131"/>
      <c r="F1605" s="131"/>
      <c r="G1605" s="131"/>
      <c r="H1605" s="131"/>
      <c r="I1605" s="131"/>
      <c r="J1605" s="131"/>
      <c r="K1605" s="131"/>
      <c r="L1605" s="131"/>
      <c r="M1605" s="131"/>
      <c r="N1605" s="131"/>
      <c r="O1605" s="131"/>
      <c r="P1605" s="152"/>
    </row>
    <row r="1606" spans="1:16" s="28" customFormat="1" x14ac:dyDescent="0.25">
      <c r="A1606" s="53"/>
      <c r="B1606" s="58"/>
      <c r="C1606" s="58"/>
      <c r="D1606" s="35"/>
      <c r="E1606" s="131"/>
      <c r="F1606" s="131"/>
      <c r="G1606" s="131"/>
      <c r="H1606" s="131"/>
      <c r="I1606" s="131"/>
      <c r="J1606" s="131"/>
      <c r="K1606" s="131"/>
      <c r="L1606" s="131"/>
      <c r="M1606" s="131"/>
      <c r="N1606" s="131"/>
      <c r="O1606" s="131"/>
      <c r="P1606" s="152"/>
    </row>
    <row r="1607" spans="1:16" s="28" customFormat="1" x14ac:dyDescent="0.25">
      <c r="A1607" s="53"/>
      <c r="B1607" s="58"/>
      <c r="C1607" s="58"/>
      <c r="D1607" s="35"/>
      <c r="E1607" s="131"/>
      <c r="F1607" s="131"/>
      <c r="G1607" s="131"/>
      <c r="H1607" s="131"/>
      <c r="I1607" s="131"/>
      <c r="J1607" s="131"/>
      <c r="K1607" s="131"/>
      <c r="L1607" s="131"/>
      <c r="M1607" s="131"/>
      <c r="N1607" s="131"/>
      <c r="O1607" s="131"/>
      <c r="P1607" s="152"/>
    </row>
    <row r="1608" spans="1:16" s="28" customFormat="1" x14ac:dyDescent="0.25">
      <c r="A1608" s="53"/>
      <c r="B1608" s="58"/>
      <c r="C1608" s="58"/>
      <c r="D1608" s="35"/>
      <c r="E1608" s="131"/>
      <c r="F1608" s="131"/>
      <c r="G1608" s="131"/>
      <c r="H1608" s="131"/>
      <c r="I1608" s="131"/>
      <c r="J1608" s="131"/>
      <c r="K1608" s="131"/>
      <c r="L1608" s="131"/>
      <c r="M1608" s="131"/>
      <c r="N1608" s="131"/>
      <c r="O1608" s="131"/>
      <c r="P1608" s="152"/>
    </row>
    <row r="1609" spans="1:16" s="28" customFormat="1" x14ac:dyDescent="0.25">
      <c r="A1609" s="53"/>
      <c r="B1609" s="58"/>
      <c r="C1609" s="58"/>
      <c r="D1609" s="35"/>
      <c r="E1609" s="131"/>
      <c r="F1609" s="131"/>
      <c r="G1609" s="131"/>
      <c r="H1609" s="131"/>
      <c r="I1609" s="131"/>
      <c r="J1609" s="131"/>
      <c r="K1609" s="131"/>
      <c r="L1609" s="131"/>
      <c r="M1609" s="131"/>
      <c r="N1609" s="131"/>
      <c r="O1609" s="131"/>
      <c r="P1609" s="152"/>
    </row>
    <row r="1610" spans="1:16" s="28" customFormat="1" x14ac:dyDescent="0.25">
      <c r="A1610" s="53"/>
      <c r="B1610" s="58"/>
      <c r="C1610" s="58"/>
      <c r="D1610" s="35"/>
      <c r="E1610" s="131"/>
      <c r="F1610" s="131"/>
      <c r="G1610" s="131"/>
      <c r="H1610" s="131"/>
      <c r="I1610" s="131"/>
      <c r="J1610" s="131"/>
      <c r="K1610" s="131"/>
      <c r="L1610" s="131"/>
      <c r="M1610" s="131"/>
      <c r="N1610" s="131"/>
      <c r="O1610" s="131"/>
      <c r="P1610" s="152"/>
    </row>
    <row r="1611" spans="1:16" s="28" customFormat="1" x14ac:dyDescent="0.25">
      <c r="A1611" s="53"/>
      <c r="B1611" s="58"/>
      <c r="C1611" s="58"/>
      <c r="D1611" s="35"/>
      <c r="E1611" s="131"/>
      <c r="F1611" s="131"/>
      <c r="G1611" s="131"/>
      <c r="H1611" s="131"/>
      <c r="I1611" s="131"/>
      <c r="J1611" s="131"/>
      <c r="K1611" s="131"/>
      <c r="L1611" s="131"/>
      <c r="M1611" s="131"/>
      <c r="N1611" s="131"/>
      <c r="O1611" s="131"/>
      <c r="P1611" s="152"/>
    </row>
    <row r="1612" spans="1:16" s="28" customFormat="1" x14ac:dyDescent="0.25">
      <c r="A1612" s="53"/>
      <c r="B1612" s="58"/>
      <c r="C1612" s="58"/>
      <c r="D1612" s="35"/>
      <c r="E1612" s="131"/>
      <c r="F1612" s="131"/>
      <c r="G1612" s="131"/>
      <c r="H1612" s="131"/>
      <c r="I1612" s="131"/>
      <c r="J1612" s="131"/>
      <c r="K1612" s="131"/>
      <c r="L1612" s="131"/>
      <c r="M1612" s="131"/>
      <c r="N1612" s="131"/>
      <c r="O1612" s="131"/>
      <c r="P1612" s="152"/>
    </row>
    <row r="1613" spans="1:16" s="28" customFormat="1" x14ac:dyDescent="0.25">
      <c r="A1613" s="53"/>
      <c r="B1613" s="58"/>
      <c r="C1613" s="58"/>
      <c r="D1613" s="35"/>
      <c r="E1613" s="131"/>
      <c r="F1613" s="131"/>
      <c r="G1613" s="131"/>
      <c r="H1613" s="131"/>
      <c r="I1613" s="131"/>
      <c r="J1613" s="131"/>
      <c r="K1613" s="131"/>
      <c r="L1613" s="131"/>
      <c r="M1613" s="131"/>
      <c r="N1613" s="131"/>
      <c r="O1613" s="131"/>
      <c r="P1613" s="152"/>
    </row>
    <row r="1614" spans="1:16" s="28" customFormat="1" x14ac:dyDescent="0.25">
      <c r="A1614" s="53"/>
      <c r="B1614" s="58"/>
      <c r="C1614" s="58"/>
      <c r="D1614" s="35"/>
      <c r="E1614" s="131"/>
      <c r="F1614" s="131"/>
      <c r="G1614" s="131"/>
      <c r="H1614" s="131"/>
      <c r="I1614" s="131"/>
      <c r="J1614" s="131"/>
      <c r="K1614" s="131"/>
      <c r="L1614" s="131"/>
      <c r="M1614" s="131"/>
      <c r="N1614" s="131"/>
      <c r="O1614" s="131"/>
      <c r="P1614" s="152"/>
    </row>
    <row r="1615" spans="1:16" s="28" customFormat="1" x14ac:dyDescent="0.25">
      <c r="A1615" s="53"/>
      <c r="B1615" s="58"/>
      <c r="C1615" s="58"/>
      <c r="D1615" s="35"/>
      <c r="E1615" s="131"/>
      <c r="F1615" s="131"/>
      <c r="G1615" s="131"/>
      <c r="H1615" s="131"/>
      <c r="I1615" s="131"/>
      <c r="J1615" s="131"/>
      <c r="K1615" s="131"/>
      <c r="L1615" s="131"/>
      <c r="M1615" s="131"/>
      <c r="N1615" s="131"/>
      <c r="O1615" s="131"/>
      <c r="P1615" s="152"/>
    </row>
    <row r="1616" spans="1:16" s="28" customFormat="1" x14ac:dyDescent="0.25">
      <c r="A1616" s="53"/>
      <c r="B1616" s="58"/>
      <c r="C1616" s="58"/>
      <c r="D1616" s="35"/>
      <c r="E1616" s="131"/>
      <c r="F1616" s="131"/>
      <c r="G1616" s="131"/>
      <c r="H1616" s="131"/>
      <c r="I1616" s="131"/>
      <c r="J1616" s="131"/>
      <c r="K1616" s="131"/>
      <c r="L1616" s="131"/>
      <c r="M1616" s="131"/>
      <c r="N1616" s="131"/>
      <c r="O1616" s="131"/>
      <c r="P1616" s="152"/>
    </row>
    <row r="1617" spans="1:16" s="28" customFormat="1" x14ac:dyDescent="0.25">
      <c r="A1617" s="53"/>
      <c r="B1617" s="58"/>
      <c r="C1617" s="58"/>
      <c r="D1617" s="35"/>
      <c r="E1617" s="131"/>
      <c r="F1617" s="131"/>
      <c r="G1617" s="131"/>
      <c r="H1617" s="131"/>
      <c r="I1617" s="131"/>
      <c r="J1617" s="131"/>
      <c r="K1617" s="131"/>
      <c r="L1617" s="131"/>
      <c r="M1617" s="131"/>
      <c r="N1617" s="131"/>
      <c r="O1617" s="131"/>
      <c r="P1617" s="152"/>
    </row>
    <row r="1618" spans="1:16" s="28" customFormat="1" x14ac:dyDescent="0.25">
      <c r="A1618" s="53"/>
      <c r="B1618" s="58"/>
      <c r="C1618" s="58"/>
      <c r="D1618" s="35"/>
      <c r="E1618" s="131"/>
      <c r="F1618" s="131"/>
      <c r="G1618" s="131"/>
      <c r="H1618" s="131"/>
      <c r="I1618" s="131"/>
      <c r="J1618" s="131"/>
      <c r="K1618" s="131"/>
      <c r="L1618" s="131"/>
      <c r="M1618" s="131"/>
      <c r="N1618" s="131"/>
      <c r="O1618" s="131"/>
      <c r="P1618" s="152"/>
    </row>
    <row r="1619" spans="1:16" s="28" customFormat="1" x14ac:dyDescent="0.25">
      <c r="A1619" s="53"/>
      <c r="B1619" s="58"/>
      <c r="C1619" s="58"/>
      <c r="D1619" s="35"/>
      <c r="E1619" s="131"/>
      <c r="F1619" s="131"/>
      <c r="G1619" s="131"/>
      <c r="H1619" s="131"/>
      <c r="I1619" s="131"/>
      <c r="J1619" s="131"/>
      <c r="K1619" s="131"/>
      <c r="L1619" s="131"/>
      <c r="M1619" s="131"/>
      <c r="N1619" s="131"/>
      <c r="O1619" s="131"/>
      <c r="P1619" s="152"/>
    </row>
    <row r="1620" spans="1:16" s="28" customFormat="1" x14ac:dyDescent="0.25">
      <c r="A1620" s="53"/>
      <c r="B1620" s="58"/>
      <c r="C1620" s="58"/>
      <c r="D1620" s="35"/>
      <c r="E1620" s="131"/>
      <c r="F1620" s="131"/>
      <c r="G1620" s="131"/>
      <c r="H1620" s="131"/>
      <c r="I1620" s="131"/>
      <c r="J1620" s="131"/>
      <c r="K1620" s="131"/>
      <c r="L1620" s="131"/>
      <c r="M1620" s="131"/>
      <c r="N1620" s="131"/>
      <c r="O1620" s="131"/>
      <c r="P1620" s="152"/>
    </row>
    <row r="1621" spans="1:16" s="28" customFormat="1" x14ac:dyDescent="0.25">
      <c r="A1621" s="53"/>
      <c r="B1621" s="58"/>
      <c r="C1621" s="58"/>
      <c r="D1621" s="35"/>
      <c r="E1621" s="131"/>
      <c r="F1621" s="131"/>
      <c r="G1621" s="131"/>
      <c r="H1621" s="131"/>
      <c r="I1621" s="131"/>
      <c r="J1621" s="131"/>
      <c r="K1621" s="131"/>
      <c r="L1621" s="131"/>
      <c r="M1621" s="131"/>
      <c r="N1621" s="131"/>
      <c r="O1621" s="131"/>
      <c r="P1621" s="152"/>
    </row>
    <row r="1622" spans="1:16" s="28" customFormat="1" x14ac:dyDescent="0.25">
      <c r="A1622" s="53"/>
      <c r="B1622" s="58"/>
      <c r="C1622" s="58"/>
      <c r="D1622" s="35"/>
      <c r="E1622" s="131"/>
      <c r="F1622" s="131"/>
      <c r="G1622" s="131"/>
      <c r="H1622" s="131"/>
      <c r="I1622" s="131"/>
      <c r="J1622" s="131"/>
      <c r="K1622" s="131"/>
      <c r="L1622" s="131"/>
      <c r="M1622" s="131"/>
      <c r="N1622" s="131"/>
      <c r="O1622" s="131"/>
      <c r="P1622" s="152"/>
    </row>
    <row r="1623" spans="1:16" s="28" customFormat="1" x14ac:dyDescent="0.25">
      <c r="A1623" s="53"/>
      <c r="B1623" s="58"/>
      <c r="C1623" s="58"/>
      <c r="D1623" s="35"/>
      <c r="E1623" s="131"/>
      <c r="F1623" s="131"/>
      <c r="G1623" s="131"/>
      <c r="H1623" s="131"/>
      <c r="I1623" s="131"/>
      <c r="J1623" s="131"/>
      <c r="K1623" s="131"/>
      <c r="L1623" s="131"/>
      <c r="M1623" s="131"/>
      <c r="N1623" s="131"/>
      <c r="O1623" s="131"/>
      <c r="P1623" s="152"/>
    </row>
    <row r="1624" spans="1:16" s="28" customFormat="1" x14ac:dyDescent="0.25">
      <c r="A1624" s="53"/>
      <c r="B1624" s="58"/>
      <c r="C1624" s="58"/>
      <c r="D1624" s="35"/>
      <c r="E1624" s="131"/>
      <c r="F1624" s="131"/>
      <c r="G1624" s="131"/>
      <c r="H1624" s="131"/>
      <c r="I1624" s="131"/>
      <c r="J1624" s="131"/>
      <c r="K1624" s="131"/>
      <c r="L1624" s="131"/>
      <c r="M1624" s="131"/>
      <c r="N1624" s="131"/>
      <c r="O1624" s="131"/>
      <c r="P1624" s="152"/>
    </row>
    <row r="1625" spans="1:16" s="28" customFormat="1" x14ac:dyDescent="0.25">
      <c r="A1625" s="53"/>
      <c r="B1625" s="58"/>
      <c r="C1625" s="58"/>
      <c r="D1625" s="35"/>
      <c r="E1625" s="131"/>
      <c r="F1625" s="131"/>
      <c r="G1625" s="131"/>
      <c r="H1625" s="131"/>
      <c r="I1625" s="131"/>
      <c r="J1625" s="131"/>
      <c r="K1625" s="131"/>
      <c r="L1625" s="131"/>
      <c r="M1625" s="131"/>
      <c r="N1625" s="131"/>
      <c r="O1625" s="131"/>
      <c r="P1625" s="152"/>
    </row>
    <row r="1626" spans="1:16" s="28" customFormat="1" x14ac:dyDescent="0.25">
      <c r="A1626" s="53"/>
      <c r="B1626" s="58"/>
      <c r="C1626" s="58"/>
      <c r="D1626" s="35"/>
      <c r="E1626" s="131"/>
      <c r="F1626" s="131"/>
      <c r="G1626" s="131"/>
      <c r="H1626" s="131"/>
      <c r="I1626" s="131"/>
      <c r="J1626" s="131"/>
      <c r="K1626" s="131"/>
      <c r="L1626" s="131"/>
      <c r="M1626" s="131"/>
      <c r="N1626" s="131"/>
      <c r="O1626" s="131"/>
      <c r="P1626" s="152"/>
    </row>
    <row r="1627" spans="1:16" s="28" customFormat="1" x14ac:dyDescent="0.25">
      <c r="A1627" s="53"/>
      <c r="B1627" s="58"/>
      <c r="C1627" s="58"/>
      <c r="D1627" s="35"/>
      <c r="E1627" s="131"/>
      <c r="F1627" s="131"/>
      <c r="G1627" s="131"/>
      <c r="H1627" s="131"/>
      <c r="I1627" s="131"/>
      <c r="J1627" s="131"/>
      <c r="K1627" s="131"/>
      <c r="L1627" s="131"/>
      <c r="M1627" s="131"/>
      <c r="N1627" s="131"/>
      <c r="O1627" s="131"/>
      <c r="P1627" s="152"/>
    </row>
    <row r="1628" spans="1:16" s="28" customFormat="1" x14ac:dyDescent="0.25">
      <c r="A1628" s="53"/>
      <c r="B1628" s="58"/>
      <c r="C1628" s="58"/>
      <c r="D1628" s="35"/>
      <c r="E1628" s="131"/>
      <c r="F1628" s="131"/>
      <c r="G1628" s="131"/>
      <c r="H1628" s="131"/>
      <c r="I1628" s="131"/>
      <c r="J1628" s="131"/>
      <c r="K1628" s="131"/>
      <c r="L1628" s="131"/>
      <c r="M1628" s="131"/>
      <c r="N1628" s="131"/>
      <c r="O1628" s="131"/>
      <c r="P1628" s="152"/>
    </row>
    <row r="1629" spans="1:16" s="28" customFormat="1" x14ac:dyDescent="0.25">
      <c r="A1629" s="53"/>
      <c r="B1629" s="58"/>
      <c r="C1629" s="58"/>
      <c r="D1629" s="35"/>
      <c r="E1629" s="131"/>
      <c r="F1629" s="131"/>
      <c r="G1629" s="131"/>
      <c r="H1629" s="131"/>
      <c r="I1629" s="131"/>
      <c r="J1629" s="131"/>
      <c r="K1629" s="131"/>
      <c r="L1629" s="131"/>
      <c r="M1629" s="131"/>
      <c r="N1629" s="131"/>
      <c r="O1629" s="131"/>
      <c r="P1629" s="152"/>
    </row>
    <row r="1630" spans="1:16" s="28" customFormat="1" x14ac:dyDescent="0.25">
      <c r="A1630" s="53"/>
      <c r="B1630" s="58"/>
      <c r="C1630" s="58"/>
      <c r="D1630" s="35"/>
      <c r="E1630" s="131"/>
      <c r="F1630" s="131"/>
      <c r="G1630" s="131"/>
      <c r="H1630" s="131"/>
      <c r="I1630" s="131"/>
      <c r="J1630" s="131"/>
      <c r="K1630" s="131"/>
      <c r="L1630" s="131"/>
      <c r="M1630" s="131"/>
      <c r="N1630" s="131"/>
      <c r="O1630" s="131"/>
      <c r="P1630" s="152"/>
    </row>
    <row r="1631" spans="1:16" s="28" customFormat="1" x14ac:dyDescent="0.25">
      <c r="A1631" s="53"/>
      <c r="B1631" s="58"/>
      <c r="C1631" s="58"/>
      <c r="D1631" s="35"/>
      <c r="E1631" s="131"/>
      <c r="F1631" s="131"/>
      <c r="G1631" s="131"/>
      <c r="H1631" s="131"/>
      <c r="I1631" s="131"/>
      <c r="J1631" s="131"/>
      <c r="K1631" s="131"/>
      <c r="L1631" s="131"/>
      <c r="M1631" s="131"/>
      <c r="N1631" s="131"/>
      <c r="O1631" s="131"/>
      <c r="P1631" s="152"/>
    </row>
    <row r="1632" spans="1:16" s="28" customFormat="1" x14ac:dyDescent="0.25">
      <c r="A1632" s="53"/>
      <c r="B1632" s="58"/>
      <c r="C1632" s="58"/>
      <c r="D1632" s="35"/>
      <c r="E1632" s="131"/>
      <c r="F1632" s="131"/>
      <c r="G1632" s="131"/>
      <c r="H1632" s="131"/>
      <c r="I1632" s="131"/>
      <c r="J1632" s="131"/>
      <c r="K1632" s="131"/>
      <c r="L1632" s="131"/>
      <c r="M1632" s="131"/>
      <c r="N1632" s="131"/>
      <c r="O1632" s="131"/>
      <c r="P1632" s="152"/>
    </row>
    <row r="1633" spans="1:16" s="28" customFormat="1" x14ac:dyDescent="0.25">
      <c r="A1633" s="53"/>
      <c r="B1633" s="58"/>
      <c r="C1633" s="58"/>
      <c r="D1633" s="35"/>
      <c r="E1633" s="131"/>
      <c r="F1633" s="131"/>
      <c r="G1633" s="131"/>
      <c r="H1633" s="131"/>
      <c r="I1633" s="131"/>
      <c r="J1633" s="131"/>
      <c r="K1633" s="131"/>
      <c r="L1633" s="131"/>
      <c r="M1633" s="131"/>
      <c r="N1633" s="131"/>
      <c r="O1633" s="131"/>
      <c r="P1633" s="152"/>
    </row>
    <row r="1634" spans="1:16" s="28" customFormat="1" x14ac:dyDescent="0.25">
      <c r="A1634" s="53"/>
      <c r="B1634" s="58"/>
      <c r="C1634" s="58"/>
      <c r="D1634" s="35"/>
      <c r="E1634" s="131"/>
      <c r="F1634" s="131"/>
      <c r="G1634" s="131"/>
      <c r="H1634" s="131"/>
      <c r="I1634" s="131"/>
      <c r="J1634" s="131"/>
      <c r="K1634" s="131"/>
      <c r="L1634" s="131"/>
      <c r="M1634" s="131"/>
      <c r="N1634" s="131"/>
      <c r="O1634" s="131"/>
      <c r="P1634" s="152"/>
    </row>
    <row r="1635" spans="1:16" s="28" customFormat="1" x14ac:dyDescent="0.25">
      <c r="A1635" s="53"/>
      <c r="B1635" s="58"/>
      <c r="C1635" s="58"/>
      <c r="D1635" s="35"/>
      <c r="E1635" s="131"/>
      <c r="F1635" s="131"/>
      <c r="G1635" s="131"/>
      <c r="H1635" s="131"/>
      <c r="I1635" s="131"/>
      <c r="J1635" s="131"/>
      <c r="K1635" s="131"/>
      <c r="L1635" s="131"/>
      <c r="M1635" s="131"/>
      <c r="N1635" s="131"/>
      <c r="O1635" s="131"/>
      <c r="P1635" s="152"/>
    </row>
    <row r="1636" spans="1:16" s="28" customFormat="1" x14ac:dyDescent="0.25">
      <c r="A1636" s="53"/>
      <c r="B1636" s="58"/>
      <c r="C1636" s="58"/>
      <c r="D1636" s="35"/>
      <c r="E1636" s="131"/>
      <c r="F1636" s="131"/>
      <c r="G1636" s="131"/>
      <c r="H1636" s="131"/>
      <c r="I1636" s="131"/>
      <c r="J1636" s="131"/>
      <c r="K1636" s="131"/>
      <c r="L1636" s="131"/>
      <c r="M1636" s="131"/>
      <c r="N1636" s="131"/>
      <c r="O1636" s="131"/>
      <c r="P1636" s="152"/>
    </row>
    <row r="1637" spans="1:16" s="28" customFormat="1" x14ac:dyDescent="0.25">
      <c r="A1637" s="53"/>
      <c r="B1637" s="58"/>
      <c r="C1637" s="58"/>
      <c r="D1637" s="35"/>
      <c r="E1637" s="131"/>
      <c r="F1637" s="131"/>
      <c r="G1637" s="131"/>
      <c r="H1637" s="131"/>
      <c r="I1637" s="131"/>
      <c r="J1637" s="131"/>
      <c r="K1637" s="131"/>
      <c r="L1637" s="131"/>
      <c r="M1637" s="131"/>
      <c r="N1637" s="131"/>
      <c r="O1637" s="131"/>
      <c r="P1637" s="152"/>
    </row>
    <row r="1638" spans="1:16" s="28" customFormat="1" x14ac:dyDescent="0.25">
      <c r="A1638" s="53"/>
      <c r="B1638" s="58"/>
      <c r="C1638" s="58"/>
      <c r="D1638" s="35"/>
      <c r="E1638" s="131"/>
      <c r="F1638" s="131"/>
      <c r="G1638" s="131"/>
      <c r="H1638" s="131"/>
      <c r="I1638" s="131"/>
      <c r="J1638" s="131"/>
      <c r="K1638" s="131"/>
      <c r="L1638" s="131"/>
      <c r="M1638" s="131"/>
      <c r="N1638" s="131"/>
      <c r="O1638" s="131"/>
      <c r="P1638" s="152"/>
    </row>
    <row r="1639" spans="1:16" s="28" customFormat="1" x14ac:dyDescent="0.25">
      <c r="A1639" s="53"/>
      <c r="B1639" s="58"/>
      <c r="C1639" s="58"/>
      <c r="D1639" s="35"/>
      <c r="E1639" s="131"/>
      <c r="F1639" s="131"/>
      <c r="G1639" s="131"/>
      <c r="H1639" s="131"/>
      <c r="I1639" s="131"/>
      <c r="J1639" s="131"/>
      <c r="K1639" s="131"/>
      <c r="L1639" s="131"/>
      <c r="M1639" s="131"/>
      <c r="N1639" s="131"/>
      <c r="O1639" s="131"/>
      <c r="P1639" s="152"/>
    </row>
    <row r="1640" spans="1:16" s="28" customFormat="1" x14ac:dyDescent="0.25">
      <c r="A1640" s="53"/>
      <c r="B1640" s="58"/>
      <c r="C1640" s="58"/>
      <c r="D1640" s="35"/>
      <c r="E1640" s="131"/>
      <c r="F1640" s="131"/>
      <c r="G1640" s="131"/>
      <c r="H1640" s="131"/>
      <c r="I1640" s="131"/>
      <c r="J1640" s="131"/>
      <c r="K1640" s="131"/>
      <c r="L1640" s="131"/>
      <c r="M1640" s="131"/>
      <c r="N1640" s="131"/>
      <c r="O1640" s="131"/>
      <c r="P1640" s="152"/>
    </row>
    <row r="1641" spans="1:16" s="28" customFormat="1" x14ac:dyDescent="0.25">
      <c r="A1641" s="53"/>
      <c r="B1641" s="58"/>
      <c r="C1641" s="58"/>
      <c r="D1641" s="35"/>
      <c r="E1641" s="131"/>
      <c r="F1641" s="131"/>
      <c r="G1641" s="131"/>
      <c r="H1641" s="131"/>
      <c r="I1641" s="131"/>
      <c r="J1641" s="131"/>
      <c r="K1641" s="131"/>
      <c r="L1641" s="131"/>
      <c r="M1641" s="131"/>
      <c r="N1641" s="131"/>
      <c r="O1641" s="131"/>
      <c r="P1641" s="152"/>
    </row>
    <row r="1642" spans="1:16" s="28" customFormat="1" x14ac:dyDescent="0.25">
      <c r="A1642" s="53"/>
      <c r="B1642" s="58"/>
      <c r="C1642" s="58"/>
      <c r="D1642" s="35"/>
      <c r="E1642" s="131"/>
      <c r="F1642" s="131"/>
      <c r="G1642" s="131"/>
      <c r="H1642" s="131"/>
      <c r="I1642" s="131"/>
      <c r="J1642" s="131"/>
      <c r="K1642" s="131"/>
      <c r="L1642" s="131"/>
      <c r="M1642" s="131"/>
      <c r="N1642" s="131"/>
      <c r="O1642" s="131"/>
      <c r="P1642" s="152"/>
    </row>
    <row r="1643" spans="1:16" s="28" customFormat="1" x14ac:dyDescent="0.25">
      <c r="A1643" s="53"/>
      <c r="B1643" s="58"/>
      <c r="C1643" s="58"/>
      <c r="D1643" s="35"/>
      <c r="E1643" s="131"/>
      <c r="F1643" s="131"/>
      <c r="G1643" s="131"/>
      <c r="H1643" s="131"/>
      <c r="I1643" s="131"/>
      <c r="J1643" s="131"/>
      <c r="K1643" s="131"/>
      <c r="L1643" s="131"/>
      <c r="M1643" s="131"/>
      <c r="N1643" s="131"/>
      <c r="O1643" s="131"/>
      <c r="P1643" s="152"/>
    </row>
    <row r="1644" spans="1:16" s="28" customFormat="1" x14ac:dyDescent="0.25">
      <c r="A1644" s="53"/>
      <c r="B1644" s="58"/>
      <c r="C1644" s="58"/>
      <c r="D1644" s="35"/>
      <c r="E1644" s="131"/>
      <c r="F1644" s="131"/>
      <c r="G1644" s="131"/>
      <c r="H1644" s="131"/>
      <c r="I1644" s="131"/>
      <c r="J1644" s="131"/>
      <c r="K1644" s="131"/>
      <c r="L1644" s="131"/>
      <c r="M1644" s="131"/>
      <c r="N1644" s="131"/>
      <c r="O1644" s="131"/>
      <c r="P1644" s="152"/>
    </row>
    <row r="1645" spans="1:16" s="28" customFormat="1" x14ac:dyDescent="0.25">
      <c r="A1645" s="53"/>
      <c r="B1645" s="58"/>
      <c r="C1645" s="58"/>
      <c r="D1645" s="35"/>
      <c r="E1645" s="131"/>
      <c r="F1645" s="131"/>
      <c r="G1645" s="131"/>
      <c r="H1645" s="131"/>
      <c r="I1645" s="131"/>
      <c r="J1645" s="131"/>
      <c r="K1645" s="131"/>
      <c r="L1645" s="131"/>
      <c r="M1645" s="131"/>
      <c r="N1645" s="131"/>
      <c r="O1645" s="131"/>
      <c r="P1645" s="152"/>
    </row>
    <row r="1646" spans="1:16" s="28" customFormat="1" x14ac:dyDescent="0.25">
      <c r="A1646" s="53"/>
      <c r="B1646" s="58"/>
      <c r="C1646" s="58"/>
      <c r="D1646" s="35"/>
      <c r="E1646" s="131"/>
      <c r="F1646" s="131"/>
      <c r="G1646" s="131"/>
      <c r="H1646" s="131"/>
      <c r="I1646" s="131"/>
      <c r="J1646" s="131"/>
      <c r="K1646" s="131"/>
      <c r="L1646" s="131"/>
      <c r="M1646" s="131"/>
      <c r="N1646" s="131"/>
      <c r="O1646" s="131"/>
      <c r="P1646" s="152"/>
    </row>
    <row r="1647" spans="1:16" s="28" customFormat="1" x14ac:dyDescent="0.25">
      <c r="A1647" s="53"/>
      <c r="B1647" s="58"/>
      <c r="C1647" s="58"/>
      <c r="D1647" s="35"/>
      <c r="E1647" s="131"/>
      <c r="F1647" s="131"/>
      <c r="G1647" s="131"/>
      <c r="H1647" s="131"/>
      <c r="I1647" s="131"/>
      <c r="J1647" s="131"/>
      <c r="K1647" s="131"/>
      <c r="L1647" s="131"/>
      <c r="M1647" s="131"/>
      <c r="N1647" s="131"/>
      <c r="O1647" s="131"/>
      <c r="P1647" s="152"/>
    </row>
    <row r="1648" spans="1:16" s="28" customFormat="1" x14ac:dyDescent="0.25">
      <c r="A1648" s="53"/>
      <c r="B1648" s="58"/>
      <c r="C1648" s="58"/>
      <c r="D1648" s="35"/>
      <c r="E1648" s="131"/>
      <c r="F1648" s="131"/>
      <c r="G1648" s="131"/>
      <c r="H1648" s="131"/>
      <c r="I1648" s="131"/>
      <c r="J1648" s="131"/>
      <c r="K1648" s="131"/>
      <c r="L1648" s="131"/>
      <c r="M1648" s="131"/>
      <c r="N1648" s="131"/>
      <c r="O1648" s="131"/>
      <c r="P1648" s="152"/>
    </row>
    <row r="1649" spans="1:16" s="28" customFormat="1" x14ac:dyDescent="0.25">
      <c r="A1649" s="53"/>
      <c r="B1649" s="58"/>
      <c r="C1649" s="58"/>
      <c r="D1649" s="35"/>
      <c r="E1649" s="131"/>
      <c r="F1649" s="131"/>
      <c r="G1649" s="131"/>
      <c r="H1649" s="131"/>
      <c r="I1649" s="131"/>
      <c r="J1649" s="131"/>
      <c r="K1649" s="131"/>
      <c r="L1649" s="131"/>
      <c r="M1649" s="131"/>
      <c r="N1649" s="131"/>
      <c r="O1649" s="131"/>
      <c r="P1649" s="152"/>
    </row>
    <row r="1650" spans="1:16" s="28" customFormat="1" x14ac:dyDescent="0.25">
      <c r="A1650" s="53"/>
      <c r="B1650" s="58"/>
      <c r="C1650" s="58"/>
      <c r="D1650" s="35"/>
      <c r="E1650" s="131"/>
      <c r="F1650" s="131"/>
      <c r="G1650" s="131"/>
      <c r="H1650" s="131"/>
      <c r="I1650" s="131"/>
      <c r="J1650" s="131"/>
      <c r="K1650" s="131"/>
      <c r="L1650" s="131"/>
      <c r="M1650" s="131"/>
      <c r="N1650" s="131"/>
      <c r="O1650" s="131"/>
      <c r="P1650" s="152"/>
    </row>
    <row r="1651" spans="1:16" s="28" customFormat="1" x14ac:dyDescent="0.25">
      <c r="A1651" s="53"/>
      <c r="B1651" s="58"/>
      <c r="C1651" s="58"/>
      <c r="D1651" s="35"/>
      <c r="E1651" s="131"/>
      <c r="F1651" s="131"/>
      <c r="G1651" s="131"/>
      <c r="H1651" s="131"/>
      <c r="I1651" s="131"/>
      <c r="J1651" s="131"/>
      <c r="K1651" s="131"/>
      <c r="L1651" s="131"/>
      <c r="M1651" s="131"/>
      <c r="N1651" s="131"/>
      <c r="O1651" s="131"/>
      <c r="P1651" s="152"/>
    </row>
    <row r="1652" spans="1:16" s="28" customFormat="1" x14ac:dyDescent="0.25">
      <c r="A1652" s="53"/>
      <c r="B1652" s="58"/>
      <c r="C1652" s="58"/>
      <c r="D1652" s="35"/>
      <c r="E1652" s="131"/>
      <c r="F1652" s="131"/>
      <c r="G1652" s="131"/>
      <c r="H1652" s="131"/>
      <c r="I1652" s="131"/>
      <c r="J1652" s="131"/>
      <c r="K1652" s="131"/>
      <c r="L1652" s="131"/>
      <c r="M1652" s="131"/>
      <c r="N1652" s="131"/>
      <c r="O1652" s="131"/>
      <c r="P1652" s="152"/>
    </row>
    <row r="1653" spans="1:16" s="28" customFormat="1" x14ac:dyDescent="0.25">
      <c r="A1653" s="53"/>
      <c r="B1653" s="58"/>
      <c r="C1653" s="58"/>
      <c r="D1653" s="35"/>
      <c r="E1653" s="131"/>
      <c r="F1653" s="131"/>
      <c r="G1653" s="131"/>
      <c r="H1653" s="131"/>
      <c r="I1653" s="131"/>
      <c r="J1653" s="131"/>
      <c r="K1653" s="131"/>
      <c r="L1653" s="131"/>
      <c r="M1653" s="131"/>
      <c r="N1653" s="131"/>
      <c r="O1653" s="131"/>
      <c r="P1653" s="152"/>
    </row>
    <row r="1654" spans="1:16" s="28" customFormat="1" x14ac:dyDescent="0.25">
      <c r="A1654" s="53"/>
      <c r="B1654" s="58"/>
      <c r="C1654" s="58"/>
      <c r="D1654" s="35"/>
      <c r="E1654" s="131"/>
      <c r="F1654" s="131"/>
      <c r="G1654" s="131"/>
      <c r="H1654" s="131"/>
      <c r="I1654" s="131"/>
      <c r="J1654" s="131"/>
      <c r="K1654" s="131"/>
      <c r="L1654" s="131"/>
      <c r="M1654" s="131"/>
      <c r="N1654" s="131"/>
      <c r="O1654" s="131"/>
      <c r="P1654" s="152"/>
    </row>
    <row r="1655" spans="1:16" s="28" customFormat="1" x14ac:dyDescent="0.25">
      <c r="A1655" s="53"/>
      <c r="B1655" s="58"/>
      <c r="C1655" s="58"/>
      <c r="D1655" s="35"/>
      <c r="E1655" s="131"/>
      <c r="F1655" s="131"/>
      <c r="G1655" s="131"/>
      <c r="H1655" s="131"/>
      <c r="I1655" s="131"/>
      <c r="J1655" s="131"/>
      <c r="K1655" s="131"/>
      <c r="L1655" s="131"/>
      <c r="M1655" s="131"/>
      <c r="N1655" s="131"/>
      <c r="O1655" s="131"/>
      <c r="P1655" s="152"/>
    </row>
    <row r="1656" spans="1:16" s="28" customFormat="1" x14ac:dyDescent="0.25">
      <c r="A1656" s="53"/>
      <c r="B1656" s="58"/>
      <c r="C1656" s="58"/>
      <c r="D1656" s="35"/>
      <c r="E1656" s="131"/>
      <c r="F1656" s="131"/>
      <c r="G1656" s="131"/>
      <c r="H1656" s="131"/>
      <c r="I1656" s="131"/>
      <c r="J1656" s="131"/>
      <c r="K1656" s="131"/>
      <c r="L1656" s="131"/>
      <c r="M1656" s="131"/>
      <c r="N1656" s="131"/>
      <c r="O1656" s="131"/>
      <c r="P1656" s="152"/>
    </row>
    <row r="1657" spans="1:16" s="28" customFormat="1" x14ac:dyDescent="0.25">
      <c r="A1657" s="53"/>
      <c r="B1657" s="58"/>
      <c r="C1657" s="58"/>
      <c r="D1657" s="35"/>
      <c r="E1657" s="131"/>
      <c r="F1657" s="131"/>
      <c r="G1657" s="131"/>
      <c r="H1657" s="131"/>
      <c r="I1657" s="131"/>
      <c r="J1657" s="131"/>
      <c r="K1657" s="131"/>
      <c r="L1657" s="131"/>
      <c r="M1657" s="131"/>
      <c r="N1657" s="131"/>
      <c r="O1657" s="131"/>
      <c r="P1657" s="152"/>
    </row>
    <row r="1658" spans="1:16" s="28" customFormat="1" x14ac:dyDescent="0.25">
      <c r="A1658" s="53"/>
      <c r="B1658" s="58"/>
      <c r="C1658" s="58"/>
      <c r="D1658" s="35"/>
      <c r="E1658" s="131"/>
      <c r="F1658" s="131"/>
      <c r="G1658" s="131"/>
      <c r="H1658" s="131"/>
      <c r="I1658" s="131"/>
      <c r="J1658" s="131"/>
      <c r="K1658" s="131"/>
      <c r="L1658" s="131"/>
      <c r="M1658" s="131"/>
      <c r="N1658" s="131"/>
      <c r="O1658" s="131"/>
      <c r="P1658" s="152"/>
    </row>
    <row r="1659" spans="1:16" s="28" customFormat="1" x14ac:dyDescent="0.25">
      <c r="A1659" s="53"/>
      <c r="B1659" s="58"/>
      <c r="C1659" s="58"/>
      <c r="D1659" s="35"/>
      <c r="E1659" s="131"/>
      <c r="F1659" s="131"/>
      <c r="G1659" s="131"/>
      <c r="H1659" s="131"/>
      <c r="I1659" s="131"/>
      <c r="J1659" s="131"/>
      <c r="K1659" s="131"/>
      <c r="L1659" s="131"/>
      <c r="M1659" s="131"/>
      <c r="N1659" s="131"/>
      <c r="O1659" s="131"/>
      <c r="P1659" s="152"/>
    </row>
    <row r="1660" spans="1:16" s="28" customFormat="1" x14ac:dyDescent="0.25">
      <c r="A1660" s="53"/>
      <c r="B1660" s="58"/>
      <c r="C1660" s="58"/>
      <c r="D1660" s="35"/>
      <c r="E1660" s="131"/>
      <c r="F1660" s="131"/>
      <c r="G1660" s="131"/>
      <c r="H1660" s="131"/>
      <c r="I1660" s="131"/>
      <c r="J1660" s="131"/>
      <c r="K1660" s="131"/>
      <c r="L1660" s="131"/>
      <c r="M1660" s="131"/>
      <c r="N1660" s="131"/>
      <c r="O1660" s="131"/>
      <c r="P1660" s="152"/>
    </row>
    <row r="1661" spans="1:16" s="28" customFormat="1" x14ac:dyDescent="0.25">
      <c r="A1661" s="53"/>
      <c r="B1661" s="58"/>
      <c r="C1661" s="58"/>
      <c r="D1661" s="35"/>
      <c r="E1661" s="131"/>
      <c r="F1661" s="131"/>
      <c r="G1661" s="131"/>
      <c r="H1661" s="131"/>
      <c r="I1661" s="131"/>
      <c r="J1661" s="131"/>
      <c r="K1661" s="131"/>
      <c r="L1661" s="131"/>
      <c r="M1661" s="131"/>
      <c r="N1661" s="131"/>
      <c r="O1661" s="131"/>
      <c r="P1661" s="152"/>
    </row>
    <row r="1662" spans="1:16" s="28" customFormat="1" x14ac:dyDescent="0.25">
      <c r="A1662" s="53"/>
      <c r="B1662" s="58"/>
      <c r="C1662" s="58"/>
      <c r="D1662" s="35"/>
      <c r="E1662" s="131"/>
      <c r="F1662" s="131"/>
      <c r="G1662" s="131"/>
      <c r="H1662" s="131"/>
      <c r="I1662" s="131"/>
      <c r="J1662" s="131"/>
      <c r="K1662" s="131"/>
      <c r="L1662" s="131"/>
      <c r="M1662" s="131"/>
      <c r="N1662" s="131"/>
      <c r="O1662" s="131"/>
      <c r="P1662" s="152"/>
    </row>
    <row r="1663" spans="1:16" s="28" customFormat="1" x14ac:dyDescent="0.25">
      <c r="A1663" s="53"/>
      <c r="B1663" s="58"/>
      <c r="C1663" s="58"/>
      <c r="D1663" s="35"/>
      <c r="E1663" s="131"/>
      <c r="F1663" s="131"/>
      <c r="G1663" s="131"/>
      <c r="H1663" s="131"/>
      <c r="I1663" s="131"/>
      <c r="J1663" s="131"/>
      <c r="K1663" s="131"/>
      <c r="L1663" s="131"/>
      <c r="M1663" s="131"/>
      <c r="N1663" s="131"/>
      <c r="O1663" s="131"/>
      <c r="P1663" s="152"/>
    </row>
    <row r="1664" spans="1:16" s="28" customFormat="1" x14ac:dyDescent="0.25">
      <c r="A1664" s="53"/>
      <c r="B1664" s="58"/>
      <c r="C1664" s="58"/>
      <c r="D1664" s="35"/>
      <c r="E1664" s="131"/>
      <c r="F1664" s="131"/>
      <c r="G1664" s="131"/>
      <c r="H1664" s="131"/>
      <c r="I1664" s="131"/>
      <c r="J1664" s="131"/>
      <c r="K1664" s="131"/>
      <c r="L1664" s="131"/>
      <c r="M1664" s="131"/>
      <c r="N1664" s="131"/>
      <c r="O1664" s="131"/>
      <c r="P1664" s="152"/>
    </row>
    <row r="1665" spans="1:16" s="28" customFormat="1" x14ac:dyDescent="0.25">
      <c r="A1665" s="53"/>
      <c r="B1665" s="58"/>
      <c r="C1665" s="58"/>
      <c r="D1665" s="35"/>
      <c r="E1665" s="131"/>
      <c r="F1665" s="131"/>
      <c r="G1665" s="131"/>
      <c r="H1665" s="131"/>
      <c r="I1665" s="131"/>
      <c r="J1665" s="131"/>
      <c r="K1665" s="131"/>
      <c r="L1665" s="131"/>
      <c r="M1665" s="131"/>
      <c r="N1665" s="131"/>
      <c r="O1665" s="131"/>
      <c r="P1665" s="152"/>
    </row>
    <row r="1666" spans="1:16" s="28" customFormat="1" x14ac:dyDescent="0.25">
      <c r="A1666" s="53"/>
      <c r="B1666" s="58"/>
      <c r="C1666" s="58"/>
      <c r="D1666" s="35"/>
      <c r="E1666" s="131"/>
      <c r="F1666" s="131"/>
      <c r="G1666" s="131"/>
      <c r="H1666" s="131"/>
      <c r="I1666" s="131"/>
      <c r="J1666" s="131"/>
      <c r="K1666" s="131"/>
      <c r="L1666" s="131"/>
      <c r="M1666" s="131"/>
      <c r="N1666" s="131"/>
      <c r="O1666" s="131"/>
      <c r="P1666" s="152"/>
    </row>
    <row r="1667" spans="1:16" s="28" customFormat="1" x14ac:dyDescent="0.25">
      <c r="A1667" s="53"/>
      <c r="B1667" s="58"/>
      <c r="C1667" s="58"/>
      <c r="D1667" s="35"/>
      <c r="E1667" s="131"/>
      <c r="F1667" s="131"/>
      <c r="G1667" s="131"/>
      <c r="H1667" s="131"/>
      <c r="I1667" s="131"/>
      <c r="J1667" s="131"/>
      <c r="K1667" s="131"/>
      <c r="L1667" s="131"/>
      <c r="M1667" s="131"/>
      <c r="N1667" s="131"/>
      <c r="O1667" s="131"/>
      <c r="P1667" s="152"/>
    </row>
    <row r="1668" spans="1:16" s="28" customFormat="1" x14ac:dyDescent="0.25">
      <c r="A1668" s="53"/>
      <c r="B1668" s="58"/>
      <c r="C1668" s="58"/>
      <c r="D1668" s="35"/>
      <c r="E1668" s="131"/>
      <c r="F1668" s="131"/>
      <c r="G1668" s="131"/>
      <c r="H1668" s="131"/>
      <c r="I1668" s="131"/>
      <c r="J1668" s="131"/>
      <c r="K1668" s="131"/>
      <c r="L1668" s="131"/>
      <c r="M1668" s="131"/>
      <c r="N1668" s="131"/>
      <c r="O1668" s="131"/>
      <c r="P1668" s="152"/>
    </row>
    <row r="1669" spans="1:16" s="28" customFormat="1" x14ac:dyDescent="0.25">
      <c r="A1669" s="53"/>
      <c r="B1669" s="58"/>
      <c r="C1669" s="58"/>
      <c r="D1669" s="35"/>
      <c r="E1669" s="131"/>
      <c r="F1669" s="131"/>
      <c r="G1669" s="131"/>
      <c r="H1669" s="131"/>
      <c r="I1669" s="131"/>
      <c r="J1669" s="131"/>
      <c r="K1669" s="131"/>
      <c r="L1669" s="131"/>
      <c r="M1669" s="131"/>
      <c r="N1669" s="131"/>
      <c r="O1669" s="131"/>
      <c r="P1669" s="152"/>
    </row>
    <row r="1670" spans="1:16" s="28" customFormat="1" x14ac:dyDescent="0.25">
      <c r="A1670" s="53"/>
      <c r="B1670" s="58"/>
      <c r="C1670" s="58"/>
      <c r="D1670" s="35"/>
      <c r="E1670" s="131"/>
      <c r="F1670" s="131"/>
      <c r="G1670" s="131"/>
      <c r="H1670" s="131"/>
      <c r="I1670" s="131"/>
      <c r="J1670" s="131"/>
      <c r="K1670" s="131"/>
      <c r="L1670" s="131"/>
      <c r="M1670" s="131"/>
      <c r="N1670" s="131"/>
      <c r="O1670" s="131"/>
      <c r="P1670" s="152"/>
    </row>
    <row r="1671" spans="1:16" s="28" customFormat="1" x14ac:dyDescent="0.25">
      <c r="A1671" s="53"/>
      <c r="B1671" s="58"/>
      <c r="C1671" s="58"/>
      <c r="D1671" s="35"/>
      <c r="E1671" s="131"/>
      <c r="F1671" s="131"/>
      <c r="G1671" s="131"/>
      <c r="H1671" s="131"/>
      <c r="I1671" s="131"/>
      <c r="J1671" s="131"/>
      <c r="K1671" s="131"/>
      <c r="L1671" s="131"/>
      <c r="M1671" s="131"/>
      <c r="N1671" s="131"/>
      <c r="O1671" s="131"/>
      <c r="P1671" s="152"/>
    </row>
    <row r="1672" spans="1:16" s="28" customFormat="1" x14ac:dyDescent="0.25">
      <c r="A1672" s="53"/>
      <c r="B1672" s="58"/>
      <c r="C1672" s="58"/>
      <c r="D1672" s="35"/>
      <c r="E1672" s="131"/>
      <c r="F1672" s="131"/>
      <c r="G1672" s="131"/>
      <c r="H1672" s="131"/>
      <c r="I1672" s="131"/>
      <c r="J1672" s="131"/>
      <c r="K1672" s="131"/>
      <c r="L1672" s="131"/>
      <c r="M1672" s="131"/>
      <c r="N1672" s="131"/>
      <c r="O1672" s="131"/>
      <c r="P1672" s="152"/>
    </row>
    <row r="1673" spans="1:16" s="28" customFormat="1" x14ac:dyDescent="0.25">
      <c r="A1673" s="53"/>
      <c r="B1673" s="58"/>
      <c r="C1673" s="58"/>
      <c r="D1673" s="35"/>
      <c r="E1673" s="131"/>
      <c r="F1673" s="131"/>
      <c r="G1673" s="131"/>
      <c r="H1673" s="131"/>
      <c r="I1673" s="131"/>
      <c r="J1673" s="131"/>
      <c r="K1673" s="131"/>
      <c r="L1673" s="131"/>
      <c r="M1673" s="131"/>
      <c r="N1673" s="131"/>
      <c r="O1673" s="131"/>
      <c r="P1673" s="152"/>
    </row>
    <row r="1674" spans="1:16" s="28" customFormat="1" x14ac:dyDescent="0.25">
      <c r="A1674" s="53"/>
      <c r="B1674" s="58"/>
      <c r="C1674" s="58"/>
      <c r="D1674" s="35"/>
      <c r="E1674" s="131"/>
      <c r="F1674" s="131"/>
      <c r="G1674" s="131"/>
      <c r="H1674" s="131"/>
      <c r="I1674" s="131"/>
      <c r="J1674" s="131"/>
      <c r="K1674" s="131"/>
      <c r="L1674" s="131"/>
      <c r="M1674" s="131"/>
      <c r="N1674" s="131"/>
      <c r="O1674" s="131"/>
      <c r="P1674" s="152"/>
    </row>
    <row r="1675" spans="1:16" s="28" customFormat="1" x14ac:dyDescent="0.25">
      <c r="A1675" s="53"/>
      <c r="B1675" s="58"/>
      <c r="C1675" s="58"/>
      <c r="D1675" s="35"/>
      <c r="E1675" s="131"/>
      <c r="F1675" s="131"/>
      <c r="G1675" s="131"/>
      <c r="H1675" s="131"/>
      <c r="I1675" s="131"/>
      <c r="J1675" s="131"/>
      <c r="K1675" s="131"/>
      <c r="L1675" s="131"/>
      <c r="M1675" s="131"/>
      <c r="N1675" s="131"/>
      <c r="O1675" s="131"/>
      <c r="P1675" s="152"/>
    </row>
    <row r="1676" spans="1:16" s="28" customFormat="1" x14ac:dyDescent="0.25">
      <c r="A1676" s="53"/>
      <c r="B1676" s="58"/>
      <c r="C1676" s="58"/>
      <c r="D1676" s="35"/>
      <c r="E1676" s="131"/>
      <c r="F1676" s="131"/>
      <c r="G1676" s="131"/>
      <c r="H1676" s="131"/>
      <c r="I1676" s="131"/>
      <c r="J1676" s="131"/>
      <c r="K1676" s="131"/>
      <c r="L1676" s="131"/>
      <c r="M1676" s="131"/>
      <c r="N1676" s="131"/>
      <c r="O1676" s="131"/>
      <c r="P1676" s="152"/>
    </row>
    <row r="1677" spans="1:16" s="28" customFormat="1" x14ac:dyDescent="0.25">
      <c r="A1677" s="53"/>
      <c r="B1677" s="58"/>
      <c r="C1677" s="58"/>
      <c r="D1677" s="35"/>
      <c r="E1677" s="131"/>
      <c r="F1677" s="131"/>
      <c r="G1677" s="131"/>
      <c r="H1677" s="131"/>
      <c r="I1677" s="131"/>
      <c r="J1677" s="131"/>
      <c r="K1677" s="131"/>
      <c r="L1677" s="131"/>
      <c r="M1677" s="131"/>
      <c r="N1677" s="131"/>
      <c r="O1677" s="131"/>
      <c r="P1677" s="152"/>
    </row>
    <row r="1678" spans="1:16" s="28" customFormat="1" x14ac:dyDescent="0.25">
      <c r="A1678" s="53"/>
      <c r="B1678" s="58"/>
      <c r="C1678" s="58"/>
      <c r="D1678" s="35"/>
      <c r="E1678" s="131"/>
      <c r="F1678" s="131"/>
      <c r="G1678" s="131"/>
      <c r="H1678" s="131"/>
      <c r="I1678" s="131"/>
      <c r="J1678" s="131"/>
      <c r="K1678" s="131"/>
      <c r="L1678" s="131"/>
      <c r="M1678" s="131"/>
      <c r="N1678" s="131"/>
      <c r="O1678" s="131"/>
      <c r="P1678" s="152"/>
    </row>
    <row r="1679" spans="1:16" s="28" customFormat="1" x14ac:dyDescent="0.25">
      <c r="A1679" s="53"/>
      <c r="B1679" s="58"/>
      <c r="C1679" s="58"/>
      <c r="D1679" s="35"/>
      <c r="E1679" s="131"/>
      <c r="F1679" s="131"/>
      <c r="G1679" s="131"/>
      <c r="H1679" s="131"/>
      <c r="I1679" s="131"/>
      <c r="J1679" s="131"/>
      <c r="K1679" s="131"/>
      <c r="L1679" s="131"/>
      <c r="M1679" s="131"/>
      <c r="N1679" s="131"/>
      <c r="O1679" s="131"/>
      <c r="P1679" s="152"/>
    </row>
    <row r="1680" spans="1:16" s="28" customFormat="1" x14ac:dyDescent="0.25">
      <c r="A1680" s="53"/>
      <c r="B1680" s="58"/>
      <c r="C1680" s="58"/>
      <c r="D1680" s="35"/>
      <c r="E1680" s="131"/>
      <c r="F1680" s="131"/>
      <c r="G1680" s="131"/>
      <c r="H1680" s="131"/>
      <c r="I1680" s="131"/>
      <c r="J1680" s="131"/>
      <c r="K1680" s="131"/>
      <c r="L1680" s="131"/>
      <c r="M1680" s="131"/>
      <c r="N1680" s="131"/>
      <c r="O1680" s="131"/>
      <c r="P1680" s="152"/>
    </row>
    <row r="1681" spans="1:16" s="28" customFormat="1" x14ac:dyDescent="0.25">
      <c r="A1681" s="53"/>
      <c r="B1681" s="58"/>
      <c r="C1681" s="58"/>
      <c r="D1681" s="35"/>
      <c r="E1681" s="131"/>
      <c r="F1681" s="131"/>
      <c r="G1681" s="131"/>
      <c r="H1681" s="131"/>
      <c r="I1681" s="131"/>
      <c r="J1681" s="131"/>
      <c r="K1681" s="131"/>
      <c r="L1681" s="131"/>
      <c r="M1681" s="131"/>
      <c r="N1681" s="131"/>
      <c r="O1681" s="131"/>
      <c r="P1681" s="152"/>
    </row>
    <row r="1682" spans="1:16" s="28" customFormat="1" x14ac:dyDescent="0.25">
      <c r="A1682" s="53"/>
      <c r="B1682" s="58"/>
      <c r="C1682" s="58"/>
      <c r="D1682" s="35"/>
      <c r="E1682" s="131"/>
      <c r="F1682" s="131"/>
      <c r="G1682" s="131"/>
      <c r="H1682" s="131"/>
      <c r="I1682" s="131"/>
      <c r="J1682" s="131"/>
      <c r="K1682" s="131"/>
      <c r="L1682" s="131"/>
      <c r="M1682" s="131"/>
      <c r="N1682" s="131"/>
      <c r="O1682" s="131"/>
      <c r="P1682" s="152"/>
    </row>
    <row r="1683" spans="1:16" s="28" customFormat="1" x14ac:dyDescent="0.25">
      <c r="A1683" s="53"/>
      <c r="B1683" s="58"/>
      <c r="C1683" s="58"/>
      <c r="D1683" s="35"/>
      <c r="E1683" s="131"/>
      <c r="F1683" s="131"/>
      <c r="G1683" s="131"/>
      <c r="H1683" s="131"/>
      <c r="I1683" s="131"/>
      <c r="J1683" s="131"/>
      <c r="K1683" s="131"/>
      <c r="L1683" s="131"/>
      <c r="M1683" s="131"/>
      <c r="N1683" s="131"/>
      <c r="O1683" s="131"/>
      <c r="P1683" s="152"/>
    </row>
    <row r="1684" spans="1:16" s="28" customFormat="1" x14ac:dyDescent="0.25">
      <c r="A1684" s="53"/>
      <c r="B1684" s="58"/>
      <c r="C1684" s="58"/>
      <c r="D1684" s="35"/>
      <c r="E1684" s="131"/>
      <c r="F1684" s="131"/>
      <c r="G1684" s="131"/>
      <c r="H1684" s="131"/>
      <c r="I1684" s="131"/>
      <c r="J1684" s="131"/>
      <c r="K1684" s="131"/>
      <c r="L1684" s="131"/>
      <c r="M1684" s="131"/>
      <c r="N1684" s="131"/>
      <c r="O1684" s="131"/>
      <c r="P1684" s="152"/>
    </row>
    <row r="1685" spans="1:16" s="28" customFormat="1" x14ac:dyDescent="0.25">
      <c r="A1685" s="53"/>
      <c r="B1685" s="58"/>
      <c r="C1685" s="58"/>
      <c r="D1685" s="35"/>
      <c r="E1685" s="131"/>
      <c r="F1685" s="131"/>
      <c r="G1685" s="131"/>
      <c r="H1685" s="131"/>
      <c r="I1685" s="131"/>
      <c r="J1685" s="131"/>
      <c r="K1685" s="131"/>
      <c r="L1685" s="131"/>
      <c r="M1685" s="131"/>
      <c r="N1685" s="131"/>
      <c r="O1685" s="131"/>
      <c r="P1685" s="152"/>
    </row>
    <row r="1686" spans="1:16" s="28" customFormat="1" x14ac:dyDescent="0.25">
      <c r="A1686" s="53"/>
      <c r="B1686" s="58"/>
      <c r="C1686" s="58"/>
      <c r="D1686" s="35"/>
      <c r="E1686" s="131"/>
      <c r="F1686" s="131"/>
      <c r="G1686" s="131"/>
      <c r="H1686" s="131"/>
      <c r="I1686" s="131"/>
      <c r="J1686" s="131"/>
      <c r="K1686" s="131"/>
      <c r="L1686" s="131"/>
      <c r="M1686" s="131"/>
      <c r="N1686" s="131"/>
      <c r="O1686" s="131"/>
      <c r="P1686" s="152"/>
    </row>
    <row r="1687" spans="1:16" s="28" customFormat="1" x14ac:dyDescent="0.25">
      <c r="A1687" s="53"/>
      <c r="B1687" s="58"/>
      <c r="C1687" s="58"/>
      <c r="D1687" s="35"/>
      <c r="E1687" s="131"/>
      <c r="F1687" s="131"/>
      <c r="G1687" s="131"/>
      <c r="H1687" s="131"/>
      <c r="I1687" s="131"/>
      <c r="J1687" s="131"/>
      <c r="K1687" s="131"/>
      <c r="L1687" s="131"/>
      <c r="M1687" s="131"/>
      <c r="N1687" s="131"/>
      <c r="O1687" s="131"/>
      <c r="P1687" s="152"/>
    </row>
    <row r="1688" spans="1:16" s="28" customFormat="1" x14ac:dyDescent="0.25">
      <c r="A1688" s="53"/>
      <c r="B1688" s="58"/>
      <c r="C1688" s="58"/>
      <c r="D1688" s="35"/>
      <c r="E1688" s="131"/>
      <c r="F1688" s="131"/>
      <c r="G1688" s="131"/>
      <c r="H1688" s="131"/>
      <c r="I1688" s="131"/>
      <c r="J1688" s="131"/>
      <c r="K1688" s="131"/>
      <c r="L1688" s="131"/>
      <c r="M1688" s="131"/>
      <c r="N1688" s="131"/>
      <c r="O1688" s="131"/>
      <c r="P1688" s="152"/>
    </row>
    <row r="1689" spans="1:16" s="28" customFormat="1" x14ac:dyDescent="0.25">
      <c r="A1689" s="53"/>
      <c r="B1689" s="58"/>
      <c r="C1689" s="58"/>
      <c r="D1689" s="35"/>
      <c r="E1689" s="131"/>
      <c r="F1689" s="131"/>
      <c r="G1689" s="131"/>
      <c r="H1689" s="131"/>
      <c r="I1689" s="131"/>
      <c r="J1689" s="131"/>
      <c r="K1689" s="131"/>
      <c r="L1689" s="131"/>
      <c r="M1689" s="131"/>
      <c r="N1689" s="131"/>
      <c r="O1689" s="131"/>
      <c r="P1689" s="152"/>
    </row>
    <row r="1690" spans="1:16" s="28" customFormat="1" x14ac:dyDescent="0.25">
      <c r="A1690" s="53"/>
      <c r="B1690" s="58"/>
      <c r="C1690" s="58"/>
      <c r="D1690" s="35"/>
      <c r="E1690" s="131"/>
      <c r="F1690" s="131"/>
      <c r="G1690" s="131"/>
      <c r="H1690" s="131"/>
      <c r="I1690" s="131"/>
      <c r="J1690" s="131"/>
      <c r="K1690" s="131"/>
      <c r="L1690" s="131"/>
      <c r="M1690" s="131"/>
      <c r="N1690" s="131"/>
      <c r="O1690" s="131"/>
      <c r="P1690" s="152"/>
    </row>
    <row r="1691" spans="1:16" s="28" customFormat="1" x14ac:dyDescent="0.25">
      <c r="A1691" s="53"/>
      <c r="B1691" s="58"/>
      <c r="C1691" s="58"/>
      <c r="D1691" s="35"/>
      <c r="E1691" s="131"/>
      <c r="F1691" s="131"/>
      <c r="G1691" s="131"/>
      <c r="H1691" s="131"/>
      <c r="I1691" s="131"/>
      <c r="J1691" s="131"/>
      <c r="K1691" s="131"/>
      <c r="L1691" s="131"/>
      <c r="M1691" s="131"/>
      <c r="N1691" s="131"/>
      <c r="O1691" s="131"/>
      <c r="P1691" s="152"/>
    </row>
    <row r="1692" spans="1:16" s="28" customFormat="1" x14ac:dyDescent="0.25">
      <c r="A1692" s="53"/>
      <c r="B1692" s="58"/>
      <c r="C1692" s="58"/>
      <c r="D1692" s="35"/>
      <c r="E1692" s="131"/>
      <c r="F1692" s="131"/>
      <c r="G1692" s="131"/>
      <c r="H1692" s="131"/>
      <c r="I1692" s="131"/>
      <c r="J1692" s="131"/>
      <c r="K1692" s="131"/>
      <c r="L1692" s="131"/>
      <c r="M1692" s="131"/>
      <c r="N1692" s="131"/>
      <c r="O1692" s="131"/>
      <c r="P1692" s="152"/>
    </row>
    <row r="1693" spans="1:16" s="28" customFormat="1" x14ac:dyDescent="0.25">
      <c r="A1693" s="53"/>
      <c r="B1693" s="58"/>
      <c r="C1693" s="58"/>
      <c r="D1693" s="35"/>
      <c r="E1693" s="131"/>
      <c r="F1693" s="131"/>
      <c r="G1693" s="131"/>
      <c r="H1693" s="131"/>
      <c r="I1693" s="131"/>
      <c r="J1693" s="131"/>
      <c r="K1693" s="131"/>
      <c r="L1693" s="131"/>
      <c r="M1693" s="131"/>
      <c r="N1693" s="131"/>
      <c r="O1693" s="131"/>
      <c r="P1693" s="152"/>
    </row>
    <row r="1694" spans="1:16" s="28" customFormat="1" x14ac:dyDescent="0.25">
      <c r="A1694" s="53"/>
      <c r="B1694" s="58"/>
      <c r="C1694" s="58"/>
      <c r="D1694" s="35"/>
      <c r="E1694" s="131"/>
      <c r="F1694" s="131"/>
      <c r="G1694" s="131"/>
      <c r="H1694" s="131"/>
      <c r="I1694" s="131"/>
      <c r="J1694" s="131"/>
      <c r="K1694" s="131"/>
      <c r="L1694" s="131"/>
      <c r="M1694" s="131"/>
      <c r="N1694" s="131"/>
      <c r="O1694" s="131"/>
      <c r="P1694" s="152"/>
    </row>
    <row r="1695" spans="1:16" s="28" customFormat="1" x14ac:dyDescent="0.25">
      <c r="A1695" s="53"/>
      <c r="B1695" s="58"/>
      <c r="C1695" s="58"/>
      <c r="D1695" s="35"/>
      <c r="E1695" s="131"/>
      <c r="F1695" s="131"/>
      <c r="G1695" s="131"/>
      <c r="H1695" s="131"/>
      <c r="I1695" s="131"/>
      <c r="J1695" s="131"/>
      <c r="K1695" s="131"/>
      <c r="L1695" s="131"/>
      <c r="M1695" s="131"/>
      <c r="N1695" s="131"/>
      <c r="O1695" s="131"/>
      <c r="P1695" s="152"/>
    </row>
    <row r="1696" spans="1:16" s="28" customFormat="1" x14ac:dyDescent="0.25">
      <c r="A1696" s="53"/>
      <c r="B1696" s="58"/>
      <c r="C1696" s="58"/>
      <c r="D1696" s="35"/>
      <c r="E1696" s="131"/>
      <c r="F1696" s="131"/>
      <c r="G1696" s="131"/>
      <c r="H1696" s="131"/>
      <c r="I1696" s="131"/>
      <c r="J1696" s="131"/>
      <c r="K1696" s="131"/>
      <c r="L1696" s="131"/>
      <c r="M1696" s="131"/>
      <c r="N1696" s="131"/>
      <c r="O1696" s="131"/>
      <c r="P1696" s="152"/>
    </row>
    <row r="1697" spans="1:16" s="28" customFormat="1" x14ac:dyDescent="0.25">
      <c r="A1697" s="53"/>
      <c r="B1697" s="58"/>
      <c r="C1697" s="58"/>
      <c r="D1697" s="35"/>
      <c r="E1697" s="131"/>
      <c r="F1697" s="131"/>
      <c r="G1697" s="131"/>
      <c r="H1697" s="131"/>
      <c r="I1697" s="131"/>
      <c r="J1697" s="131"/>
      <c r="K1697" s="131"/>
      <c r="L1697" s="131"/>
      <c r="M1697" s="131"/>
      <c r="N1697" s="131"/>
      <c r="O1697" s="131"/>
      <c r="P1697" s="152"/>
    </row>
    <row r="1698" spans="1:16" s="28" customFormat="1" x14ac:dyDescent="0.25">
      <c r="A1698" s="53"/>
      <c r="B1698" s="58"/>
      <c r="C1698" s="58"/>
      <c r="D1698" s="35"/>
      <c r="E1698" s="131"/>
      <c r="F1698" s="131"/>
      <c r="G1698" s="131"/>
      <c r="H1698" s="131"/>
      <c r="I1698" s="131"/>
      <c r="J1698" s="131"/>
      <c r="K1698" s="131"/>
      <c r="L1698" s="131"/>
      <c r="M1698" s="131"/>
      <c r="N1698" s="131"/>
      <c r="O1698" s="131"/>
      <c r="P1698" s="152"/>
    </row>
    <row r="1699" spans="1:16" s="28" customFormat="1" x14ac:dyDescent="0.25">
      <c r="A1699" s="53"/>
      <c r="B1699" s="58"/>
      <c r="C1699" s="58"/>
      <c r="D1699" s="35"/>
      <c r="E1699" s="131"/>
      <c r="F1699" s="131"/>
      <c r="G1699" s="131"/>
      <c r="H1699" s="131"/>
      <c r="I1699" s="131"/>
      <c r="J1699" s="131"/>
      <c r="K1699" s="131"/>
      <c r="L1699" s="131"/>
      <c r="M1699" s="131"/>
      <c r="N1699" s="131"/>
      <c r="O1699" s="131"/>
      <c r="P1699" s="152"/>
    </row>
    <row r="1700" spans="1:16" s="28" customFormat="1" x14ac:dyDescent="0.25">
      <c r="A1700" s="53"/>
      <c r="B1700" s="58"/>
      <c r="C1700" s="58"/>
      <c r="D1700" s="35"/>
      <c r="E1700" s="131"/>
      <c r="F1700" s="131"/>
      <c r="G1700" s="131"/>
      <c r="H1700" s="131"/>
      <c r="I1700" s="131"/>
      <c r="J1700" s="131"/>
      <c r="K1700" s="131"/>
      <c r="L1700" s="131"/>
      <c r="M1700" s="131"/>
      <c r="N1700" s="131"/>
      <c r="O1700" s="131"/>
      <c r="P1700" s="152"/>
    </row>
    <row r="1701" spans="1:16" s="28" customFormat="1" x14ac:dyDescent="0.25">
      <c r="A1701" s="53"/>
      <c r="B1701" s="58"/>
      <c r="C1701" s="58"/>
      <c r="D1701" s="35"/>
      <c r="E1701" s="131"/>
      <c r="F1701" s="131"/>
      <c r="G1701" s="131"/>
      <c r="H1701" s="131"/>
      <c r="I1701" s="131"/>
      <c r="J1701" s="131"/>
      <c r="K1701" s="131"/>
      <c r="L1701" s="131"/>
      <c r="M1701" s="131"/>
      <c r="N1701" s="131"/>
      <c r="O1701" s="131"/>
      <c r="P1701" s="152"/>
    </row>
    <row r="1702" spans="1:16" s="28" customFormat="1" x14ac:dyDescent="0.25">
      <c r="A1702" s="53"/>
      <c r="B1702" s="58"/>
      <c r="C1702" s="58"/>
      <c r="D1702" s="35"/>
      <c r="E1702" s="131"/>
      <c r="F1702" s="131"/>
      <c r="G1702" s="131"/>
      <c r="H1702" s="131"/>
      <c r="I1702" s="131"/>
      <c r="J1702" s="131"/>
      <c r="K1702" s="131"/>
      <c r="L1702" s="131"/>
      <c r="M1702" s="131"/>
      <c r="N1702" s="131"/>
      <c r="O1702" s="131"/>
      <c r="P1702" s="152"/>
    </row>
    <row r="1703" spans="1:16" s="28" customFormat="1" x14ac:dyDescent="0.25">
      <c r="A1703" s="53"/>
      <c r="B1703" s="58"/>
      <c r="C1703" s="58"/>
      <c r="D1703" s="35"/>
      <c r="E1703" s="131"/>
      <c r="F1703" s="131"/>
      <c r="G1703" s="131"/>
      <c r="H1703" s="131"/>
      <c r="I1703" s="131"/>
      <c r="J1703" s="131"/>
      <c r="K1703" s="131"/>
      <c r="L1703" s="131"/>
      <c r="M1703" s="131"/>
      <c r="N1703" s="131"/>
      <c r="O1703" s="131"/>
      <c r="P1703" s="152"/>
    </row>
    <row r="1704" spans="1:16" s="28" customFormat="1" x14ac:dyDescent="0.25">
      <c r="A1704" s="53"/>
      <c r="B1704" s="58"/>
      <c r="C1704" s="58"/>
      <c r="D1704" s="35"/>
      <c r="E1704" s="131"/>
      <c r="F1704" s="131"/>
      <c r="G1704" s="131"/>
      <c r="H1704" s="131"/>
      <c r="I1704" s="131"/>
      <c r="J1704" s="131"/>
      <c r="K1704" s="131"/>
      <c r="L1704" s="131"/>
      <c r="M1704" s="131"/>
      <c r="N1704" s="131"/>
      <c r="O1704" s="131"/>
      <c r="P1704" s="152"/>
    </row>
    <row r="1705" spans="1:16" s="28" customFormat="1" x14ac:dyDescent="0.25">
      <c r="A1705" s="53"/>
      <c r="B1705" s="58"/>
      <c r="C1705" s="58"/>
      <c r="D1705" s="35"/>
      <c r="E1705" s="131"/>
      <c r="F1705" s="131"/>
      <c r="G1705" s="131"/>
      <c r="H1705" s="131"/>
      <c r="I1705" s="131"/>
      <c r="J1705" s="131"/>
      <c r="K1705" s="131"/>
      <c r="L1705" s="131"/>
      <c r="M1705" s="131"/>
      <c r="N1705" s="131"/>
      <c r="O1705" s="131"/>
      <c r="P1705" s="152"/>
    </row>
    <row r="1706" spans="1:16" s="28" customFormat="1" x14ac:dyDescent="0.25">
      <c r="A1706" s="53"/>
      <c r="B1706" s="58"/>
      <c r="C1706" s="58"/>
      <c r="D1706" s="35"/>
      <c r="E1706" s="131"/>
      <c r="F1706" s="131"/>
      <c r="G1706" s="131"/>
      <c r="H1706" s="131"/>
      <c r="I1706" s="131"/>
      <c r="J1706" s="131"/>
      <c r="K1706" s="131"/>
      <c r="L1706" s="131"/>
      <c r="M1706" s="131"/>
      <c r="N1706" s="131"/>
      <c r="O1706" s="131"/>
      <c r="P1706" s="152"/>
    </row>
    <row r="1707" spans="1:16" s="28" customFormat="1" x14ac:dyDescent="0.25">
      <c r="A1707" s="53"/>
      <c r="B1707" s="58"/>
      <c r="C1707" s="58"/>
      <c r="D1707" s="35"/>
      <c r="E1707" s="131"/>
      <c r="F1707" s="131"/>
      <c r="G1707" s="131"/>
      <c r="H1707" s="131"/>
      <c r="I1707" s="131"/>
      <c r="J1707" s="131"/>
      <c r="K1707" s="131"/>
      <c r="L1707" s="131"/>
      <c r="M1707" s="131"/>
      <c r="N1707" s="131"/>
      <c r="O1707" s="131"/>
      <c r="P1707" s="152"/>
    </row>
    <row r="1708" spans="1:16" s="28" customFormat="1" x14ac:dyDescent="0.25">
      <c r="A1708" s="53"/>
      <c r="B1708" s="58"/>
      <c r="C1708" s="58"/>
      <c r="D1708" s="35"/>
      <c r="E1708" s="131"/>
      <c r="F1708" s="131"/>
      <c r="G1708" s="131"/>
      <c r="H1708" s="131"/>
      <c r="I1708" s="131"/>
      <c r="J1708" s="131"/>
      <c r="K1708" s="131"/>
      <c r="L1708" s="131"/>
      <c r="M1708" s="131"/>
      <c r="N1708" s="131"/>
      <c r="O1708" s="131"/>
      <c r="P1708" s="152"/>
    </row>
    <row r="1709" spans="1:16" s="28" customFormat="1" x14ac:dyDescent="0.25">
      <c r="A1709" s="53"/>
      <c r="B1709" s="58"/>
      <c r="C1709" s="58"/>
      <c r="D1709" s="35"/>
      <c r="E1709" s="131"/>
      <c r="F1709" s="131"/>
      <c r="G1709" s="131"/>
      <c r="H1709" s="131"/>
      <c r="I1709" s="131"/>
      <c r="J1709" s="131"/>
      <c r="K1709" s="131"/>
      <c r="L1709" s="131"/>
      <c r="M1709" s="131"/>
      <c r="N1709" s="131"/>
      <c r="O1709" s="131"/>
      <c r="P1709" s="152"/>
    </row>
    <row r="1710" spans="1:16" s="28" customFormat="1" x14ac:dyDescent="0.25">
      <c r="A1710" s="53"/>
      <c r="B1710" s="58"/>
      <c r="C1710" s="58"/>
      <c r="D1710" s="35"/>
      <c r="E1710" s="131"/>
      <c r="F1710" s="131"/>
      <c r="G1710" s="131"/>
      <c r="H1710" s="131"/>
      <c r="I1710" s="131"/>
      <c r="J1710" s="131"/>
      <c r="K1710" s="131"/>
      <c r="L1710" s="131"/>
      <c r="M1710" s="131"/>
      <c r="N1710" s="131"/>
      <c r="O1710" s="131"/>
      <c r="P1710" s="152"/>
    </row>
    <row r="1711" spans="1:16" s="28" customFormat="1" x14ac:dyDescent="0.25">
      <c r="A1711" s="53"/>
      <c r="B1711" s="58"/>
      <c r="C1711" s="58"/>
      <c r="D1711" s="35"/>
      <c r="E1711" s="131"/>
      <c r="F1711" s="131"/>
      <c r="G1711" s="131"/>
      <c r="H1711" s="131"/>
      <c r="I1711" s="131"/>
      <c r="J1711" s="131"/>
      <c r="K1711" s="131"/>
      <c r="L1711" s="131"/>
      <c r="M1711" s="131"/>
      <c r="N1711" s="131"/>
      <c r="O1711" s="131"/>
      <c r="P1711" s="152"/>
    </row>
    <row r="1712" spans="1:16" s="28" customFormat="1" x14ac:dyDescent="0.25">
      <c r="A1712" s="53"/>
      <c r="B1712" s="58"/>
      <c r="C1712" s="58"/>
      <c r="D1712" s="35"/>
      <c r="E1712" s="131"/>
      <c r="F1712" s="131"/>
      <c r="G1712" s="131"/>
      <c r="H1712" s="131"/>
      <c r="I1712" s="131"/>
      <c r="J1712" s="131"/>
      <c r="K1712" s="131"/>
      <c r="L1712" s="131"/>
      <c r="M1712" s="131"/>
      <c r="N1712" s="131"/>
      <c r="O1712" s="131"/>
      <c r="P1712" s="152"/>
    </row>
    <row r="1713" spans="1:16" s="28" customFormat="1" x14ac:dyDescent="0.25">
      <c r="A1713" s="53"/>
      <c r="B1713" s="58"/>
      <c r="C1713" s="58"/>
      <c r="D1713" s="35"/>
      <c r="E1713" s="131"/>
      <c r="F1713" s="131"/>
      <c r="G1713" s="131"/>
      <c r="H1713" s="131"/>
      <c r="I1713" s="131"/>
      <c r="J1713" s="131"/>
      <c r="K1713" s="131"/>
      <c r="L1713" s="131"/>
      <c r="M1713" s="131"/>
      <c r="N1713" s="131"/>
      <c r="O1713" s="131"/>
      <c r="P1713" s="152"/>
    </row>
    <row r="1714" spans="1:16" s="28" customFormat="1" x14ac:dyDescent="0.25">
      <c r="A1714" s="53"/>
      <c r="B1714" s="58"/>
      <c r="C1714" s="58"/>
      <c r="D1714" s="35"/>
      <c r="E1714" s="131"/>
      <c r="F1714" s="131"/>
      <c r="G1714" s="131"/>
      <c r="H1714" s="131"/>
      <c r="I1714" s="131"/>
      <c r="J1714" s="131"/>
      <c r="K1714" s="131"/>
      <c r="L1714" s="131"/>
      <c r="M1714" s="131"/>
      <c r="N1714" s="131"/>
      <c r="O1714" s="131"/>
      <c r="P1714" s="152"/>
    </row>
    <row r="1715" spans="1:16" s="28" customFormat="1" x14ac:dyDescent="0.25">
      <c r="A1715" s="53"/>
      <c r="B1715" s="58"/>
      <c r="C1715" s="58"/>
      <c r="D1715" s="35"/>
      <c r="E1715" s="131"/>
      <c r="F1715" s="131"/>
      <c r="G1715" s="131"/>
      <c r="H1715" s="131"/>
      <c r="I1715" s="131"/>
      <c r="J1715" s="131"/>
      <c r="K1715" s="131"/>
      <c r="L1715" s="131"/>
      <c r="M1715" s="131"/>
      <c r="N1715" s="131"/>
      <c r="O1715" s="131"/>
      <c r="P1715" s="152"/>
    </row>
    <row r="1716" spans="1:16" s="28" customFormat="1" x14ac:dyDescent="0.25">
      <c r="A1716" s="53"/>
      <c r="B1716" s="58"/>
      <c r="C1716" s="58"/>
      <c r="D1716" s="35"/>
      <c r="E1716" s="131"/>
      <c r="F1716" s="131"/>
      <c r="G1716" s="131"/>
      <c r="H1716" s="131"/>
      <c r="I1716" s="131"/>
      <c r="J1716" s="131"/>
      <c r="K1716" s="131"/>
      <c r="L1716" s="131"/>
      <c r="M1716" s="131"/>
      <c r="N1716" s="131"/>
      <c r="O1716" s="131"/>
      <c r="P1716" s="152"/>
    </row>
  </sheetData>
  <mergeCells count="19">
    <mergeCell ref="A11:P11"/>
    <mergeCell ref="A12:P12"/>
    <mergeCell ref="M15:N15"/>
    <mergeCell ref="O15:O16"/>
    <mergeCell ref="F15:F16"/>
    <mergeCell ref="E14:I14"/>
    <mergeCell ref="L15:L16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</mergeCells>
  <phoneticPr fontId="3" type="noConversion"/>
  <printOptions horizontalCentered="1"/>
  <pageMargins left="0.19685039370078741" right="0" top="0.98425196850393704" bottom="0.59055118110236227" header="0.59055118110236227" footer="0.31496062992125984"/>
  <pageSetup paperSize="9" scale="44" fitToHeight="100" orientation="landscape" useFirstPageNumber="1" r:id="rId1"/>
  <headerFooter scaleWithDoc="0" alignWithMargins="0">
    <oddFooter>&amp;RСторінка &amp;P</oddFooter>
  </headerFooter>
  <rowBreaks count="1" manualBreakCount="1">
    <brk id="17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R273"/>
  <sheetViews>
    <sheetView showGridLines="0" showZeros="0" tabSelected="1" view="pageBreakPreview" zoomScale="55" zoomScaleNormal="87" zoomScaleSheetLayoutView="55" workbookViewId="0">
      <selection activeCell="A10" sqref="A10:O10"/>
    </sheetView>
  </sheetViews>
  <sheetFormatPr defaultColWidth="9.1640625" defaultRowHeight="15.75" x14ac:dyDescent="0.25"/>
  <cols>
    <col min="1" max="1" width="19.1640625" style="5" customWidth="1"/>
    <col min="2" max="2" width="23.83203125" style="1" customWidth="1"/>
    <col min="3" max="3" width="69" style="10" customWidth="1"/>
    <col min="4" max="4" width="23.1640625" style="157" customWidth="1"/>
    <col min="5" max="5" width="23.83203125" style="157" customWidth="1"/>
    <col min="6" max="6" width="25.33203125" style="157" customWidth="1"/>
    <col min="7" max="7" width="20.1640625" style="157" customWidth="1"/>
    <col min="8" max="8" width="21.1640625" style="157" customWidth="1"/>
    <col min="9" max="9" width="21.33203125" style="157" bestFit="1" customWidth="1"/>
    <col min="10" max="10" width="21.1640625" style="157" customWidth="1"/>
    <col min="11" max="11" width="21.33203125" style="157" customWidth="1"/>
    <col min="12" max="12" width="18" style="157" customWidth="1"/>
    <col min="13" max="13" width="18.83203125" style="157" customWidth="1"/>
    <col min="14" max="14" width="21.5" style="157" customWidth="1"/>
    <col min="15" max="15" width="22.83203125" style="157" customWidth="1"/>
    <col min="16" max="16384" width="9.1640625" style="4"/>
  </cols>
  <sheetData>
    <row r="1" spans="1:15" ht="27.75" customHeight="1" x14ac:dyDescent="0.4">
      <c r="J1" s="168" t="s">
        <v>626</v>
      </c>
      <c r="K1" s="168"/>
      <c r="L1" s="168"/>
      <c r="M1" s="168"/>
      <c r="N1" s="168"/>
      <c r="O1" s="168"/>
    </row>
    <row r="2" spans="1:15" ht="24" customHeight="1" x14ac:dyDescent="0.25">
      <c r="J2" s="169" t="s">
        <v>614</v>
      </c>
      <c r="K2" s="169"/>
      <c r="L2" s="169"/>
      <c r="M2" s="169"/>
      <c r="N2" s="169"/>
      <c r="O2" s="169"/>
    </row>
    <row r="3" spans="1:15" ht="26.25" customHeight="1" x14ac:dyDescent="0.4">
      <c r="J3" s="168" t="s">
        <v>615</v>
      </c>
      <c r="K3" s="169"/>
      <c r="L3" s="169"/>
      <c r="M3" s="169"/>
      <c r="N3" s="169"/>
      <c r="O3" s="168"/>
    </row>
    <row r="4" spans="1:15" ht="26.25" customHeight="1" x14ac:dyDescent="0.4">
      <c r="J4" s="168" t="s">
        <v>612</v>
      </c>
      <c r="K4" s="169"/>
      <c r="L4" s="169"/>
      <c r="M4" s="169"/>
      <c r="N4" s="169"/>
      <c r="O4" s="168"/>
    </row>
    <row r="5" spans="1:15" ht="29.25" customHeight="1" x14ac:dyDescent="0.4">
      <c r="J5" s="168" t="s">
        <v>613</v>
      </c>
      <c r="K5" s="169"/>
      <c r="L5" s="169"/>
      <c r="M5" s="169"/>
      <c r="N5" s="169"/>
      <c r="O5" s="168"/>
    </row>
    <row r="6" spans="1:15" ht="29.25" x14ac:dyDescent="0.4">
      <c r="J6" s="168" t="s">
        <v>619</v>
      </c>
      <c r="K6" s="168"/>
      <c r="L6" s="168"/>
      <c r="M6" s="168"/>
      <c r="N6" s="168"/>
      <c r="O6" s="132"/>
    </row>
    <row r="7" spans="1:15" ht="29.25" x14ac:dyDescent="0.4">
      <c r="J7" s="168" t="s">
        <v>620</v>
      </c>
      <c r="K7" s="168"/>
      <c r="L7" s="168"/>
      <c r="M7" s="168"/>
      <c r="N7" s="168"/>
      <c r="O7" s="132"/>
    </row>
    <row r="8" spans="1:15" ht="29.25" customHeight="1" x14ac:dyDescent="0.4">
      <c r="J8" s="168" t="s">
        <v>633</v>
      </c>
      <c r="K8" s="168"/>
      <c r="L8" s="168"/>
      <c r="M8" s="168"/>
      <c r="N8" s="168"/>
      <c r="O8" s="132"/>
    </row>
    <row r="9" spans="1:15" ht="29.25" customHeight="1" x14ac:dyDescent="0.25">
      <c r="J9" s="133"/>
      <c r="K9" s="133"/>
      <c r="L9" s="133"/>
      <c r="M9" s="133"/>
      <c r="N9" s="133"/>
      <c r="O9" s="133"/>
    </row>
    <row r="10" spans="1:15" ht="105.75" customHeight="1" x14ac:dyDescent="0.25">
      <c r="A10" s="184" t="s">
        <v>576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</row>
    <row r="11" spans="1:15" ht="23.25" customHeight="1" x14ac:dyDescent="0.25">
      <c r="A11" s="183" t="s">
        <v>552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</row>
    <row r="12" spans="1:15" ht="21" customHeight="1" x14ac:dyDescent="0.25">
      <c r="A12" s="181" t="s">
        <v>551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s="17" customFormat="1" ht="20.25" customHeight="1" x14ac:dyDescent="0.3">
      <c r="A13" s="14"/>
      <c r="B13" s="15"/>
      <c r="C13" s="16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36" t="s">
        <v>353</v>
      </c>
    </row>
    <row r="14" spans="1:15" s="49" customFormat="1" ht="21.75" customHeight="1" x14ac:dyDescent="0.25">
      <c r="A14" s="185" t="s">
        <v>332</v>
      </c>
      <c r="B14" s="185" t="s">
        <v>322</v>
      </c>
      <c r="C14" s="185" t="s">
        <v>334</v>
      </c>
      <c r="D14" s="175" t="s">
        <v>221</v>
      </c>
      <c r="E14" s="175"/>
      <c r="F14" s="175"/>
      <c r="G14" s="175"/>
      <c r="H14" s="175"/>
      <c r="I14" s="175" t="s">
        <v>222</v>
      </c>
      <c r="J14" s="175"/>
      <c r="K14" s="175"/>
      <c r="L14" s="175"/>
      <c r="M14" s="175"/>
      <c r="N14" s="175"/>
      <c r="O14" s="175" t="s">
        <v>223</v>
      </c>
    </row>
    <row r="15" spans="1:15" s="49" customFormat="1" ht="29.25" customHeight="1" x14ac:dyDescent="0.25">
      <c r="A15" s="185"/>
      <c r="B15" s="185"/>
      <c r="C15" s="185"/>
      <c r="D15" s="186" t="s">
        <v>323</v>
      </c>
      <c r="E15" s="186" t="s">
        <v>224</v>
      </c>
      <c r="F15" s="179" t="s">
        <v>225</v>
      </c>
      <c r="G15" s="179"/>
      <c r="H15" s="186" t="s">
        <v>226</v>
      </c>
      <c r="I15" s="186" t="s">
        <v>323</v>
      </c>
      <c r="J15" s="186" t="s">
        <v>324</v>
      </c>
      <c r="K15" s="186" t="s">
        <v>224</v>
      </c>
      <c r="L15" s="179" t="s">
        <v>225</v>
      </c>
      <c r="M15" s="179"/>
      <c r="N15" s="186" t="s">
        <v>226</v>
      </c>
      <c r="O15" s="175"/>
    </row>
    <row r="16" spans="1:15" s="49" customFormat="1" ht="60.75" customHeight="1" x14ac:dyDescent="0.25">
      <c r="A16" s="185"/>
      <c r="B16" s="185"/>
      <c r="C16" s="185"/>
      <c r="D16" s="186"/>
      <c r="E16" s="186"/>
      <c r="F16" s="159" t="s">
        <v>227</v>
      </c>
      <c r="G16" s="159" t="s">
        <v>228</v>
      </c>
      <c r="H16" s="186"/>
      <c r="I16" s="186"/>
      <c r="J16" s="186"/>
      <c r="K16" s="186"/>
      <c r="L16" s="159" t="s">
        <v>227</v>
      </c>
      <c r="M16" s="159" t="s">
        <v>228</v>
      </c>
      <c r="N16" s="186"/>
      <c r="O16" s="175"/>
    </row>
    <row r="17" spans="1:15" s="49" customFormat="1" ht="21" customHeight="1" x14ac:dyDescent="0.25">
      <c r="A17" s="7" t="s">
        <v>42</v>
      </c>
      <c r="B17" s="8"/>
      <c r="C17" s="9" t="s">
        <v>43</v>
      </c>
      <c r="D17" s="47">
        <f>D19+D20+D21+D22</f>
        <v>250941149</v>
      </c>
      <c r="E17" s="47">
        <f t="shared" ref="E17:O17" si="0">E19+E20+E21+E22</f>
        <v>250941149</v>
      </c>
      <c r="F17" s="47">
        <f>F19+F20+F21+F22</f>
        <v>184653700</v>
      </c>
      <c r="G17" s="47">
        <f t="shared" si="0"/>
        <v>8510800</v>
      </c>
      <c r="H17" s="47">
        <f t="shared" si="0"/>
        <v>0</v>
      </c>
      <c r="I17" s="47">
        <f t="shared" si="0"/>
        <v>2600000</v>
      </c>
      <c r="J17" s="47">
        <f t="shared" si="0"/>
        <v>800000</v>
      </c>
      <c r="K17" s="47">
        <f t="shared" si="0"/>
        <v>1752000</v>
      </c>
      <c r="L17" s="47">
        <f t="shared" si="0"/>
        <v>1106600</v>
      </c>
      <c r="M17" s="47">
        <f t="shared" si="0"/>
        <v>157500</v>
      </c>
      <c r="N17" s="47">
        <f t="shared" si="0"/>
        <v>848000</v>
      </c>
      <c r="O17" s="47">
        <f t="shared" si="0"/>
        <v>253541149</v>
      </c>
    </row>
    <row r="18" spans="1:15" s="49" customFormat="1" ht="61.5" hidden="1" customHeight="1" x14ac:dyDescent="0.25">
      <c r="A18" s="7"/>
      <c r="B18" s="8"/>
      <c r="C18" s="9" t="s">
        <v>429</v>
      </c>
      <c r="D18" s="47">
        <f>D23</f>
        <v>0</v>
      </c>
      <c r="E18" s="47">
        <f t="shared" ref="E18:O18" si="1">E23</f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7">
        <f t="shared" si="1"/>
        <v>0</v>
      </c>
      <c r="M18" s="47">
        <f t="shared" si="1"/>
        <v>0</v>
      </c>
      <c r="N18" s="47">
        <f t="shared" si="1"/>
        <v>0</v>
      </c>
      <c r="O18" s="47">
        <f t="shared" si="1"/>
        <v>0</v>
      </c>
    </row>
    <row r="19" spans="1:15" ht="37.5" customHeight="1" x14ac:dyDescent="0.25">
      <c r="A19" s="37" t="s">
        <v>117</v>
      </c>
      <c r="B19" s="37" t="s">
        <v>45</v>
      </c>
      <c r="C19" s="6" t="s">
        <v>478</v>
      </c>
      <c r="D19" s="160">
        <f>'дод 2'!E21+'дод 2'!E80+'дод 2'!E142+'дод 2'!E176+'дод 2'!E216+'дод 2'!E224+'дод 2'!E241+'дод 2'!E281+'дод 2'!E286+'дод 2'!E310+'дод 2'!E318+'дод 2'!E321+'дод 2'!E329</f>
        <v>250503200</v>
      </c>
      <c r="E19" s="160">
        <f>'дод 2'!F21+'дод 2'!F80+'дод 2'!F142+'дод 2'!F176+'дод 2'!F216+'дод 2'!F224+'дод 2'!F241+'дод 2'!F281+'дод 2'!F286+'дод 2'!F310+'дод 2'!F318+'дод 2'!F321+'дод 2'!F329</f>
        <v>250503200</v>
      </c>
      <c r="F19" s="160">
        <f>'дод 2'!G21+'дод 2'!G80+'дод 2'!G142+'дод 2'!G176+'дод 2'!G216+'дод 2'!G224+'дод 2'!G241+'дод 2'!G281+'дод 2'!G286+'дод 2'!G310+'дод 2'!G318+'дод 2'!G321+'дод 2'!G329</f>
        <v>184653700</v>
      </c>
      <c r="G19" s="160">
        <f>'дод 2'!H21+'дод 2'!H80+'дод 2'!H142+'дод 2'!H176+'дод 2'!H216+'дод 2'!H224+'дод 2'!H241+'дод 2'!H281+'дод 2'!H286+'дод 2'!H310+'дод 2'!H318+'дод 2'!H321+'дод 2'!H329</f>
        <v>8510800</v>
      </c>
      <c r="H19" s="160">
        <f>'дод 2'!I21+'дод 2'!I80+'дод 2'!I142+'дод 2'!I176+'дод 2'!I216+'дод 2'!I224+'дод 2'!I241+'дод 2'!I281+'дод 2'!I286+'дод 2'!I310+'дод 2'!I318+'дод 2'!I321+'дод 2'!I329</f>
        <v>0</v>
      </c>
      <c r="I19" s="160">
        <f>'дод 2'!J21+'дод 2'!J80+'дод 2'!J142+'дод 2'!J176+'дод 2'!J216+'дод 2'!J224+'дод 2'!J241+'дод 2'!J281+'дод 2'!J286+'дод 2'!J310+'дод 2'!J318+'дод 2'!J321+'дод 2'!J329</f>
        <v>2600000</v>
      </c>
      <c r="J19" s="160">
        <f>'дод 2'!K21+'дод 2'!K80+'дод 2'!K142+'дод 2'!K176+'дод 2'!K216+'дод 2'!K224+'дод 2'!K241+'дод 2'!K281+'дод 2'!K286+'дод 2'!K310+'дод 2'!K318+'дод 2'!K321+'дод 2'!K329</f>
        <v>800000</v>
      </c>
      <c r="K19" s="160">
        <f>'дод 2'!L21+'дод 2'!L80+'дод 2'!L142+'дод 2'!L176+'дод 2'!L216+'дод 2'!L224+'дод 2'!L241+'дод 2'!L281+'дод 2'!L286+'дод 2'!L310+'дод 2'!L318+'дод 2'!L321+'дод 2'!L329</f>
        <v>1752000</v>
      </c>
      <c r="L19" s="160">
        <f>'дод 2'!M21+'дод 2'!M80+'дод 2'!M142+'дод 2'!M176+'дод 2'!M216+'дод 2'!M224+'дод 2'!M241+'дод 2'!M281+'дод 2'!M286+'дод 2'!M310+'дод 2'!M318+'дод 2'!M321+'дод 2'!M329</f>
        <v>1106600</v>
      </c>
      <c r="M19" s="160">
        <f>'дод 2'!N21+'дод 2'!N80+'дод 2'!N142+'дод 2'!N176+'дод 2'!N216+'дод 2'!N224+'дод 2'!N241+'дод 2'!N281+'дод 2'!N286+'дод 2'!N310+'дод 2'!N318+'дод 2'!N321+'дод 2'!N329</f>
        <v>157500</v>
      </c>
      <c r="N19" s="160">
        <f>'дод 2'!O21+'дод 2'!O80+'дод 2'!O142+'дод 2'!O176+'дод 2'!O216+'дод 2'!O224+'дод 2'!O241+'дод 2'!O281+'дод 2'!O286+'дод 2'!O310+'дод 2'!O318+'дод 2'!O321+'дод 2'!O329</f>
        <v>848000</v>
      </c>
      <c r="O19" s="160">
        <f>'дод 2'!P21+'дод 2'!P80+'дод 2'!P142+'дод 2'!P176+'дод 2'!P216+'дод 2'!P224+'дод 2'!P241+'дод 2'!P281+'дод 2'!P286+'дод 2'!P310+'дод 2'!P318+'дод 2'!P321+'дод 2'!P329</f>
        <v>253103200</v>
      </c>
    </row>
    <row r="20" spans="1:15" ht="33" hidden="1" customHeight="1" x14ac:dyDescent="0.25">
      <c r="A20" s="55" t="s">
        <v>89</v>
      </c>
      <c r="B20" s="55" t="s">
        <v>449</v>
      </c>
      <c r="C20" s="6" t="s">
        <v>440</v>
      </c>
      <c r="D20" s="160">
        <f>'дод 2'!E22</f>
        <v>0</v>
      </c>
      <c r="E20" s="160">
        <f>'дод 2'!F22</f>
        <v>0</v>
      </c>
      <c r="F20" s="160">
        <f>'дод 2'!G22</f>
        <v>0</v>
      </c>
      <c r="G20" s="160">
        <f>'дод 2'!H22</f>
        <v>0</v>
      </c>
      <c r="H20" s="160">
        <f>'дод 2'!I22</f>
        <v>0</v>
      </c>
      <c r="I20" s="160">
        <f>'дод 2'!J22</f>
        <v>0</v>
      </c>
      <c r="J20" s="160">
        <f>'дод 2'!K22</f>
        <v>0</v>
      </c>
      <c r="K20" s="160">
        <f>'дод 2'!L22</f>
        <v>0</v>
      </c>
      <c r="L20" s="160">
        <f>'дод 2'!M22</f>
        <v>0</v>
      </c>
      <c r="M20" s="160">
        <f>'дод 2'!N22</f>
        <v>0</v>
      </c>
      <c r="N20" s="160">
        <f>'дод 2'!O22</f>
        <v>0</v>
      </c>
      <c r="O20" s="160">
        <f>'дод 2'!P22</f>
        <v>0</v>
      </c>
    </row>
    <row r="21" spans="1:15" ht="22.5" customHeight="1" x14ac:dyDescent="0.25">
      <c r="A21" s="37" t="s">
        <v>44</v>
      </c>
      <c r="B21" s="37" t="s">
        <v>92</v>
      </c>
      <c r="C21" s="6" t="s">
        <v>239</v>
      </c>
      <c r="D21" s="160">
        <f>'дод 2'!E23+'дод 2'!E177+'дод 2'!E242</f>
        <v>437949</v>
      </c>
      <c r="E21" s="160">
        <f>'дод 2'!F23+'дод 2'!F177+'дод 2'!F242</f>
        <v>437949</v>
      </c>
      <c r="F21" s="160">
        <f>'дод 2'!G23+'дод 2'!G177+'дод 2'!G242</f>
        <v>0</v>
      </c>
      <c r="G21" s="160">
        <f>'дод 2'!H23+'дод 2'!H177+'дод 2'!H242</f>
        <v>0</v>
      </c>
      <c r="H21" s="160">
        <f>'дод 2'!I23+'дод 2'!I177+'дод 2'!I242</f>
        <v>0</v>
      </c>
      <c r="I21" s="160">
        <f>'дод 2'!J23+'дод 2'!J177+'дод 2'!J242</f>
        <v>0</v>
      </c>
      <c r="J21" s="160">
        <f>'дод 2'!K23+'дод 2'!K177+'дод 2'!K242</f>
        <v>0</v>
      </c>
      <c r="K21" s="160">
        <f>'дод 2'!L23+'дод 2'!L177+'дод 2'!L242</f>
        <v>0</v>
      </c>
      <c r="L21" s="160">
        <f>'дод 2'!M23+'дод 2'!M177+'дод 2'!M242</f>
        <v>0</v>
      </c>
      <c r="M21" s="160">
        <f>'дод 2'!N23+'дод 2'!N177+'дод 2'!N242</f>
        <v>0</v>
      </c>
      <c r="N21" s="160">
        <f>'дод 2'!O23+'дод 2'!O177+'дод 2'!O242</f>
        <v>0</v>
      </c>
      <c r="O21" s="160">
        <f>'дод 2'!P23+'дод 2'!P177+'дод 2'!P242</f>
        <v>437949</v>
      </c>
    </row>
    <row r="22" spans="1:15" ht="27" hidden="1" customHeight="1" x14ac:dyDescent="0.25">
      <c r="A22" s="55" t="s">
        <v>425</v>
      </c>
      <c r="B22" s="55" t="s">
        <v>117</v>
      </c>
      <c r="C22" s="6" t="s">
        <v>426</v>
      </c>
      <c r="D22" s="160">
        <f>'дод 2'!E24</f>
        <v>0</v>
      </c>
      <c r="E22" s="160">
        <f>'дод 2'!F24</f>
        <v>0</v>
      </c>
      <c r="F22" s="160">
        <f>'дод 2'!G24</f>
        <v>0</v>
      </c>
      <c r="G22" s="160">
        <f>'дод 2'!H24</f>
        <v>0</v>
      </c>
      <c r="H22" s="160">
        <f>'дод 2'!I24</f>
        <v>0</v>
      </c>
      <c r="I22" s="160">
        <f>'дод 2'!J24</f>
        <v>0</v>
      </c>
      <c r="J22" s="160">
        <f>'дод 2'!K24</f>
        <v>0</v>
      </c>
      <c r="K22" s="160">
        <f>'дод 2'!L24</f>
        <v>0</v>
      </c>
      <c r="L22" s="160">
        <f>'дод 2'!M24</f>
        <v>0</v>
      </c>
      <c r="M22" s="160">
        <f>'дод 2'!N24</f>
        <v>0</v>
      </c>
      <c r="N22" s="160">
        <f>'дод 2'!O24</f>
        <v>0</v>
      </c>
      <c r="O22" s="160">
        <f>'дод 2'!P24</f>
        <v>0</v>
      </c>
    </row>
    <row r="23" spans="1:15" s="51" customFormat="1" ht="63" hidden="1" customHeight="1" x14ac:dyDescent="0.25">
      <c r="A23" s="71"/>
      <c r="B23" s="80"/>
      <c r="C23" s="72" t="s">
        <v>429</v>
      </c>
      <c r="D23" s="161">
        <f>'дод 2'!E25</f>
        <v>0</v>
      </c>
      <c r="E23" s="161">
        <f>'дод 2'!F25</f>
        <v>0</v>
      </c>
      <c r="F23" s="161">
        <f>'дод 2'!G25</f>
        <v>0</v>
      </c>
      <c r="G23" s="161">
        <f>'дод 2'!H25</f>
        <v>0</v>
      </c>
      <c r="H23" s="161">
        <f>'дод 2'!I25</f>
        <v>0</v>
      </c>
      <c r="I23" s="161">
        <f>'дод 2'!J25</f>
        <v>0</v>
      </c>
      <c r="J23" s="161">
        <f>'дод 2'!K25</f>
        <v>0</v>
      </c>
      <c r="K23" s="161">
        <f>'дод 2'!L25</f>
        <v>0</v>
      </c>
      <c r="L23" s="161">
        <f>'дод 2'!M25</f>
        <v>0</v>
      </c>
      <c r="M23" s="161">
        <f>'дод 2'!N25</f>
        <v>0</v>
      </c>
      <c r="N23" s="161">
        <f>'дод 2'!O25</f>
        <v>0</v>
      </c>
      <c r="O23" s="161">
        <f>'дод 2'!P25</f>
        <v>0</v>
      </c>
    </row>
    <row r="24" spans="1:15" s="49" customFormat="1" ht="18.75" customHeight="1" x14ac:dyDescent="0.25">
      <c r="A24" s="38" t="s">
        <v>46</v>
      </c>
      <c r="B24" s="39"/>
      <c r="C24" s="9" t="s">
        <v>397</v>
      </c>
      <c r="D24" s="47">
        <f>D36+D38+D45+D47+D48+D51+D53+D55+D58+D60+D61+D65+D66+D67+D68+D70+D71+D72+D74+D76+D78+D80+D62+D63</f>
        <v>1497595490</v>
      </c>
      <c r="E24" s="47">
        <f t="shared" ref="E24:O24" si="2">E36+E38+E45+E47+E48+E51+E53+E55+E58+E60+E61+E65+E66+E67+E68+E70+E71+E72+E74+E76+E78+E80+E62+E63</f>
        <v>1497595490</v>
      </c>
      <c r="F24" s="47">
        <f t="shared" si="2"/>
        <v>1006325020</v>
      </c>
      <c r="G24" s="47">
        <f t="shared" si="2"/>
        <v>158551050</v>
      </c>
      <c r="H24" s="47">
        <f t="shared" si="2"/>
        <v>0</v>
      </c>
      <c r="I24" s="47">
        <f t="shared" si="2"/>
        <v>127311405</v>
      </c>
      <c r="J24" s="47">
        <f t="shared" si="2"/>
        <v>30275036</v>
      </c>
      <c r="K24" s="47">
        <f t="shared" si="2"/>
        <v>96950549</v>
      </c>
      <c r="L24" s="47">
        <f t="shared" si="2"/>
        <v>8380846</v>
      </c>
      <c r="M24" s="47">
        <f t="shared" si="2"/>
        <v>5238893</v>
      </c>
      <c r="N24" s="47">
        <f t="shared" si="2"/>
        <v>30360856</v>
      </c>
      <c r="O24" s="47">
        <f t="shared" si="2"/>
        <v>1624906895</v>
      </c>
    </row>
    <row r="25" spans="1:15" s="50" customFormat="1" ht="31.5" x14ac:dyDescent="0.25">
      <c r="A25" s="65"/>
      <c r="B25" s="68"/>
      <c r="C25" s="69" t="s">
        <v>384</v>
      </c>
      <c r="D25" s="162">
        <f>D49+D52+D54+D64</f>
        <v>571788600</v>
      </c>
      <c r="E25" s="162">
        <f t="shared" ref="E25:O25" si="3">E49+E52+E54+E64</f>
        <v>571788600</v>
      </c>
      <c r="F25" s="162">
        <f t="shared" si="3"/>
        <v>469390600</v>
      </c>
      <c r="G25" s="162">
        <f t="shared" si="3"/>
        <v>0</v>
      </c>
      <c r="H25" s="162">
        <f t="shared" si="3"/>
        <v>0</v>
      </c>
      <c r="I25" s="162">
        <f t="shared" si="3"/>
        <v>0</v>
      </c>
      <c r="J25" s="162">
        <f t="shared" si="3"/>
        <v>0</v>
      </c>
      <c r="K25" s="162">
        <f t="shared" si="3"/>
        <v>0</v>
      </c>
      <c r="L25" s="162">
        <f t="shared" si="3"/>
        <v>0</v>
      </c>
      <c r="M25" s="162">
        <f t="shared" si="3"/>
        <v>0</v>
      </c>
      <c r="N25" s="162">
        <f t="shared" si="3"/>
        <v>0</v>
      </c>
      <c r="O25" s="162">
        <f t="shared" si="3"/>
        <v>571788600</v>
      </c>
    </row>
    <row r="26" spans="1:15" s="50" customFormat="1" ht="47.25" hidden="1" customHeight="1" x14ac:dyDescent="0.25">
      <c r="A26" s="65"/>
      <c r="B26" s="68"/>
      <c r="C26" s="70" t="s">
        <v>521</v>
      </c>
      <c r="D26" s="162">
        <f>D56</f>
        <v>0</v>
      </c>
      <c r="E26" s="162">
        <f t="shared" ref="E26:O26" si="4">E56</f>
        <v>0</v>
      </c>
      <c r="F26" s="162">
        <f t="shared" si="4"/>
        <v>0</v>
      </c>
      <c r="G26" s="162">
        <f t="shared" si="4"/>
        <v>0</v>
      </c>
      <c r="H26" s="162">
        <f t="shared" si="4"/>
        <v>0</v>
      </c>
      <c r="I26" s="162">
        <f t="shared" si="4"/>
        <v>0</v>
      </c>
      <c r="J26" s="162">
        <f t="shared" si="4"/>
        <v>0</v>
      </c>
      <c r="K26" s="162">
        <f t="shared" si="4"/>
        <v>0</v>
      </c>
      <c r="L26" s="162">
        <f t="shared" si="4"/>
        <v>0</v>
      </c>
      <c r="M26" s="162">
        <f t="shared" si="4"/>
        <v>0</v>
      </c>
      <c r="N26" s="162">
        <f t="shared" si="4"/>
        <v>0</v>
      </c>
      <c r="O26" s="162">
        <f t="shared" si="4"/>
        <v>0</v>
      </c>
    </row>
    <row r="27" spans="1:15" s="50" customFormat="1" ht="47.25" x14ac:dyDescent="0.25">
      <c r="A27" s="65"/>
      <c r="B27" s="68"/>
      <c r="C27" s="69" t="s">
        <v>379</v>
      </c>
      <c r="D27" s="162">
        <f>D50+D69</f>
        <v>4465990</v>
      </c>
      <c r="E27" s="162">
        <f t="shared" ref="E27:O27" si="5">E50+E69</f>
        <v>4465990</v>
      </c>
      <c r="F27" s="162">
        <f t="shared" si="5"/>
        <v>1600020</v>
      </c>
      <c r="G27" s="162">
        <f t="shared" si="5"/>
        <v>0</v>
      </c>
      <c r="H27" s="162">
        <f t="shared" si="5"/>
        <v>0</v>
      </c>
      <c r="I27" s="162">
        <f t="shared" si="5"/>
        <v>0</v>
      </c>
      <c r="J27" s="162">
        <f t="shared" si="5"/>
        <v>0</v>
      </c>
      <c r="K27" s="162">
        <f t="shared" si="5"/>
        <v>0</v>
      </c>
      <c r="L27" s="162">
        <f t="shared" si="5"/>
        <v>0</v>
      </c>
      <c r="M27" s="162">
        <f t="shared" si="5"/>
        <v>0</v>
      </c>
      <c r="N27" s="162">
        <f t="shared" si="5"/>
        <v>0</v>
      </c>
      <c r="O27" s="162">
        <f t="shared" si="5"/>
        <v>4465990</v>
      </c>
    </row>
    <row r="28" spans="1:15" s="50" customFormat="1" ht="47.25" hidden="1" customHeight="1" x14ac:dyDescent="0.25">
      <c r="A28" s="65"/>
      <c r="B28" s="68"/>
      <c r="C28" s="69" t="s">
        <v>381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  <row r="29" spans="1:15" s="50" customFormat="1" ht="50.25" hidden="1" customHeight="1" x14ac:dyDescent="0.25">
      <c r="A29" s="65"/>
      <c r="B29" s="68"/>
      <c r="C29" s="70" t="s">
        <v>378</v>
      </c>
      <c r="D29" s="162">
        <f>D79</f>
        <v>0</v>
      </c>
      <c r="E29" s="162">
        <f t="shared" ref="E29:O29" si="6">E79</f>
        <v>0</v>
      </c>
      <c r="F29" s="162">
        <f t="shared" si="6"/>
        <v>0</v>
      </c>
      <c r="G29" s="162">
        <f t="shared" si="6"/>
        <v>0</v>
      </c>
      <c r="H29" s="162">
        <f t="shared" si="6"/>
        <v>0</v>
      </c>
      <c r="I29" s="162">
        <f t="shared" si="6"/>
        <v>0</v>
      </c>
      <c r="J29" s="162">
        <f t="shared" si="6"/>
        <v>0</v>
      </c>
      <c r="K29" s="162">
        <f t="shared" si="6"/>
        <v>0</v>
      </c>
      <c r="L29" s="162">
        <f t="shared" si="6"/>
        <v>0</v>
      </c>
      <c r="M29" s="162">
        <f t="shared" si="6"/>
        <v>0</v>
      </c>
      <c r="N29" s="162">
        <f t="shared" si="6"/>
        <v>0</v>
      </c>
      <c r="O29" s="162">
        <f t="shared" si="6"/>
        <v>0</v>
      </c>
    </row>
    <row r="30" spans="1:15" s="50" customFormat="1" ht="63" hidden="1" customHeight="1" x14ac:dyDescent="0.25">
      <c r="A30" s="65"/>
      <c r="B30" s="68"/>
      <c r="C30" s="69" t="s">
        <v>380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</row>
    <row r="31" spans="1:15" s="50" customFormat="1" ht="78.75" hidden="1" customHeight="1" x14ac:dyDescent="0.25">
      <c r="A31" s="65"/>
      <c r="B31" s="65"/>
      <c r="C31" s="70" t="s">
        <v>504</v>
      </c>
      <c r="D31" s="162">
        <f>D81</f>
        <v>0</v>
      </c>
      <c r="E31" s="162">
        <f t="shared" ref="E31:O31" si="7">E81</f>
        <v>0</v>
      </c>
      <c r="F31" s="162">
        <f t="shared" si="7"/>
        <v>0</v>
      </c>
      <c r="G31" s="162">
        <f t="shared" si="7"/>
        <v>0</v>
      </c>
      <c r="H31" s="162">
        <f t="shared" si="7"/>
        <v>0</v>
      </c>
      <c r="I31" s="162">
        <f t="shared" si="7"/>
        <v>0</v>
      </c>
      <c r="J31" s="162">
        <f t="shared" si="7"/>
        <v>0</v>
      </c>
      <c r="K31" s="162">
        <f t="shared" si="7"/>
        <v>0</v>
      </c>
      <c r="L31" s="162">
        <f t="shared" si="7"/>
        <v>0</v>
      </c>
      <c r="M31" s="162">
        <f t="shared" si="7"/>
        <v>0</v>
      </c>
      <c r="N31" s="162">
        <f t="shared" si="7"/>
        <v>0</v>
      </c>
      <c r="O31" s="162">
        <f t="shared" si="7"/>
        <v>0</v>
      </c>
    </row>
    <row r="32" spans="1:15" s="50" customFormat="1" ht="31.5" hidden="1" customHeight="1" x14ac:dyDescent="0.25">
      <c r="A32" s="65"/>
      <c r="B32" s="65"/>
      <c r="C32" s="70" t="s">
        <v>518</v>
      </c>
      <c r="D32" s="162">
        <f>D57+D59</f>
        <v>0</v>
      </c>
      <c r="E32" s="162">
        <f t="shared" ref="E32:O32" si="8">E57+E59</f>
        <v>0</v>
      </c>
      <c r="F32" s="162">
        <f t="shared" si="8"/>
        <v>0</v>
      </c>
      <c r="G32" s="162">
        <f t="shared" si="8"/>
        <v>0</v>
      </c>
      <c r="H32" s="162">
        <f t="shared" si="8"/>
        <v>0</v>
      </c>
      <c r="I32" s="162">
        <f t="shared" si="8"/>
        <v>0</v>
      </c>
      <c r="J32" s="162">
        <f t="shared" si="8"/>
        <v>0</v>
      </c>
      <c r="K32" s="162">
        <f t="shared" si="8"/>
        <v>0</v>
      </c>
      <c r="L32" s="162">
        <f t="shared" si="8"/>
        <v>0</v>
      </c>
      <c r="M32" s="162">
        <f t="shared" si="8"/>
        <v>0</v>
      </c>
      <c r="N32" s="162">
        <f t="shared" si="8"/>
        <v>0</v>
      </c>
      <c r="O32" s="162">
        <f t="shared" si="8"/>
        <v>0</v>
      </c>
    </row>
    <row r="33" spans="1:15" s="50" customFormat="1" ht="55.5" hidden="1" customHeight="1" x14ac:dyDescent="0.25">
      <c r="A33" s="65"/>
      <c r="B33" s="65"/>
      <c r="C33" s="70" t="s">
        <v>564</v>
      </c>
      <c r="D33" s="162">
        <f>D73</f>
        <v>0</v>
      </c>
      <c r="E33" s="162">
        <f t="shared" ref="E33:O33" si="9">E73</f>
        <v>0</v>
      </c>
      <c r="F33" s="162">
        <f t="shared" si="9"/>
        <v>0</v>
      </c>
      <c r="G33" s="162">
        <f t="shared" si="9"/>
        <v>0</v>
      </c>
      <c r="H33" s="162">
        <f t="shared" si="9"/>
        <v>0</v>
      </c>
      <c r="I33" s="162">
        <f t="shared" si="9"/>
        <v>0</v>
      </c>
      <c r="J33" s="162">
        <f t="shared" si="9"/>
        <v>0</v>
      </c>
      <c r="K33" s="162">
        <f t="shared" si="9"/>
        <v>0</v>
      </c>
      <c r="L33" s="162">
        <f t="shared" si="9"/>
        <v>0</v>
      </c>
      <c r="M33" s="162">
        <f t="shared" si="9"/>
        <v>0</v>
      </c>
      <c r="N33" s="162">
        <f t="shared" si="9"/>
        <v>0</v>
      </c>
      <c r="O33" s="162">
        <f t="shared" si="9"/>
        <v>0</v>
      </c>
    </row>
    <row r="34" spans="1:15" s="50" customFormat="1" ht="63" hidden="1" customHeight="1" x14ac:dyDescent="0.25">
      <c r="A34" s="65"/>
      <c r="B34" s="65"/>
      <c r="C34" s="70" t="s">
        <v>536</v>
      </c>
      <c r="D34" s="162">
        <f>D77</f>
        <v>0</v>
      </c>
      <c r="E34" s="162">
        <f t="shared" ref="E34:O34" si="10">E77</f>
        <v>0</v>
      </c>
      <c r="F34" s="162">
        <f t="shared" si="10"/>
        <v>0</v>
      </c>
      <c r="G34" s="162">
        <f t="shared" si="10"/>
        <v>0</v>
      </c>
      <c r="H34" s="162">
        <f t="shared" si="10"/>
        <v>0</v>
      </c>
      <c r="I34" s="162">
        <f t="shared" si="10"/>
        <v>0</v>
      </c>
      <c r="J34" s="162">
        <f t="shared" si="10"/>
        <v>0</v>
      </c>
      <c r="K34" s="162">
        <f t="shared" si="10"/>
        <v>0</v>
      </c>
      <c r="L34" s="162">
        <f t="shared" si="10"/>
        <v>0</v>
      </c>
      <c r="M34" s="162">
        <f t="shared" si="10"/>
        <v>0</v>
      </c>
      <c r="N34" s="162">
        <f t="shared" si="10"/>
        <v>0</v>
      </c>
      <c r="O34" s="162">
        <f t="shared" si="10"/>
        <v>0</v>
      </c>
    </row>
    <row r="35" spans="1:15" s="50" customFormat="1" ht="15.75" hidden="1" customHeight="1" x14ac:dyDescent="0.25">
      <c r="A35" s="65"/>
      <c r="B35" s="65"/>
      <c r="C35" s="70" t="s">
        <v>390</v>
      </c>
      <c r="D35" s="162">
        <f>D75</f>
        <v>0</v>
      </c>
      <c r="E35" s="162">
        <f t="shared" ref="E35:O35" si="11">E75</f>
        <v>0</v>
      </c>
      <c r="F35" s="162">
        <f t="shared" si="11"/>
        <v>0</v>
      </c>
      <c r="G35" s="162">
        <f t="shared" si="11"/>
        <v>0</v>
      </c>
      <c r="H35" s="162">
        <f t="shared" si="11"/>
        <v>0</v>
      </c>
      <c r="I35" s="162">
        <f t="shared" si="11"/>
        <v>0</v>
      </c>
      <c r="J35" s="162">
        <f t="shared" si="11"/>
        <v>0</v>
      </c>
      <c r="K35" s="162">
        <f t="shared" si="11"/>
        <v>0</v>
      </c>
      <c r="L35" s="162">
        <f t="shared" si="11"/>
        <v>0</v>
      </c>
      <c r="M35" s="162">
        <f t="shared" si="11"/>
        <v>0</v>
      </c>
      <c r="N35" s="162">
        <f t="shared" si="11"/>
        <v>0</v>
      </c>
      <c r="O35" s="162">
        <f t="shared" si="11"/>
        <v>0</v>
      </c>
    </row>
    <row r="36" spans="1:15" ht="17.25" customHeight="1" x14ac:dyDescent="0.25">
      <c r="A36" s="37" t="s">
        <v>47</v>
      </c>
      <c r="B36" s="37" t="s">
        <v>48</v>
      </c>
      <c r="C36" s="6" t="s">
        <v>486</v>
      </c>
      <c r="D36" s="160">
        <f>'дод 2'!E81+'дод 2'!E287</f>
        <v>359431200</v>
      </c>
      <c r="E36" s="160">
        <f>'дод 2'!F81+'дод 2'!F287</f>
        <v>359431200</v>
      </c>
      <c r="F36" s="160">
        <f>'дод 2'!G81+'дод 2'!G287</f>
        <v>227938600</v>
      </c>
      <c r="G36" s="160">
        <f>'дод 2'!H81+'дод 2'!H287</f>
        <v>53183600</v>
      </c>
      <c r="H36" s="160">
        <f>'дод 2'!I81+'дод 2'!I287</f>
        <v>0</v>
      </c>
      <c r="I36" s="160">
        <f>'дод 2'!J81+'дод 2'!J287</f>
        <v>36639536</v>
      </c>
      <c r="J36" s="160">
        <f>'дод 2'!K81+'дод 2'!K287</f>
        <v>10613436</v>
      </c>
      <c r="K36" s="160">
        <f>'дод 2'!L81+'дод 2'!L287</f>
        <v>26026100</v>
      </c>
      <c r="L36" s="160">
        <f>'дод 2'!M81+'дод 2'!M287</f>
        <v>0</v>
      </c>
      <c r="M36" s="160">
        <f>'дод 2'!N81+'дод 2'!N287</f>
        <v>0</v>
      </c>
      <c r="N36" s="160">
        <f>'дод 2'!O81+'дод 2'!O287</f>
        <v>10613436</v>
      </c>
      <c r="O36" s="160">
        <f>'дод 2'!P81+'дод 2'!P287</f>
        <v>396070736</v>
      </c>
    </row>
    <row r="37" spans="1:15" s="51" customFormat="1" ht="47.25" hidden="1" customHeight="1" x14ac:dyDescent="0.25">
      <c r="A37" s="71"/>
      <c r="B37" s="71"/>
      <c r="C37" s="72" t="s">
        <v>378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</row>
    <row r="38" spans="1:15" ht="38.25" customHeight="1" x14ac:dyDescent="0.25">
      <c r="A38" s="37">
        <v>1021</v>
      </c>
      <c r="B38" s="37" t="s">
        <v>50</v>
      </c>
      <c r="C38" s="57" t="s">
        <v>455</v>
      </c>
      <c r="D38" s="160">
        <f>'дод 2'!E82+'дод 2'!E288</f>
        <v>262316300</v>
      </c>
      <c r="E38" s="160">
        <f>'дод 2'!F82+'дод 2'!F288</f>
        <v>262316300</v>
      </c>
      <c r="F38" s="160">
        <f>'дод 2'!G82+'дод 2'!G288</f>
        <v>125370000</v>
      </c>
      <c r="G38" s="160">
        <f>'дод 2'!H82+'дод 2'!H288</f>
        <v>71767200</v>
      </c>
      <c r="H38" s="160">
        <f>'дод 2'!I82+'дод 2'!I288</f>
        <v>0</v>
      </c>
      <c r="I38" s="160">
        <f>'дод 2'!J82+'дод 2'!J288</f>
        <v>72792060</v>
      </c>
      <c r="J38" s="160">
        <f>'дод 2'!K82+'дод 2'!K288</f>
        <v>15322240</v>
      </c>
      <c r="K38" s="160">
        <f>'дод 2'!L82+'дод 2'!L288</f>
        <v>57469820</v>
      </c>
      <c r="L38" s="160">
        <f>'дод 2'!M82+'дод 2'!M288</f>
        <v>3254108</v>
      </c>
      <c r="M38" s="160">
        <f>'дод 2'!N82+'дод 2'!N288</f>
        <v>349209</v>
      </c>
      <c r="N38" s="160">
        <f>'дод 2'!O82+'дод 2'!O288</f>
        <v>15322240</v>
      </c>
      <c r="O38" s="160">
        <f>'дод 2'!P82+'дод 2'!P288</f>
        <v>335108360</v>
      </c>
    </row>
    <row r="39" spans="1:15" s="51" customFormat="1" ht="63" hidden="1" customHeight="1" x14ac:dyDescent="0.25">
      <c r="A39" s="71"/>
      <c r="B39" s="71"/>
      <c r="C39" s="72" t="s">
        <v>382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</row>
    <row r="40" spans="1:15" s="51" customFormat="1" ht="47.25" hidden="1" customHeight="1" x14ac:dyDescent="0.25">
      <c r="A40" s="71"/>
      <c r="B40" s="71"/>
      <c r="C40" s="72" t="s">
        <v>379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</row>
    <row r="41" spans="1:15" s="51" customFormat="1" ht="47.25" hidden="1" customHeight="1" x14ac:dyDescent="0.25">
      <c r="A41" s="71"/>
      <c r="B41" s="71"/>
      <c r="C41" s="72" t="s">
        <v>381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</row>
    <row r="42" spans="1:15" s="51" customFormat="1" ht="47.25" hidden="1" customHeight="1" x14ac:dyDescent="0.25">
      <c r="A42" s="71"/>
      <c r="B42" s="71"/>
      <c r="C42" s="72" t="s">
        <v>378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</row>
    <row r="43" spans="1:15" s="51" customFormat="1" ht="31.5" hidden="1" customHeight="1" x14ac:dyDescent="0.25">
      <c r="A43" s="71"/>
      <c r="B43" s="71"/>
      <c r="C43" s="72" t="s">
        <v>384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</row>
    <row r="44" spans="1:15" s="51" customFormat="1" ht="63" hidden="1" customHeight="1" x14ac:dyDescent="0.25">
      <c r="A44" s="71"/>
      <c r="B44" s="71"/>
      <c r="C44" s="72" t="s">
        <v>380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</row>
    <row r="45" spans="1:15" ht="69.75" customHeight="1" x14ac:dyDescent="0.25">
      <c r="A45" s="37">
        <v>1022</v>
      </c>
      <c r="B45" s="56" t="s">
        <v>54</v>
      </c>
      <c r="C45" s="36" t="s">
        <v>457</v>
      </c>
      <c r="D45" s="160">
        <f>'дод 2'!E83+'дод 2'!E289</f>
        <v>17867500</v>
      </c>
      <c r="E45" s="160">
        <f>'дод 2'!F83+'дод 2'!F289</f>
        <v>17867500</v>
      </c>
      <c r="F45" s="160">
        <f>'дод 2'!G83+'дод 2'!G289</f>
        <v>9799000</v>
      </c>
      <c r="G45" s="160">
        <f>'дод 2'!H83+'дод 2'!H289</f>
        <v>3121200</v>
      </c>
      <c r="H45" s="160">
        <f>'дод 2'!I83+'дод 2'!I289</f>
        <v>0</v>
      </c>
      <c r="I45" s="160">
        <f>'дод 2'!J83+'дод 2'!J289</f>
        <v>1339360</v>
      </c>
      <c r="J45" s="160">
        <f>'дод 2'!K83+'дод 2'!K289</f>
        <v>1339360</v>
      </c>
      <c r="K45" s="160">
        <f>'дод 2'!L83+'дод 2'!L289</f>
        <v>0</v>
      </c>
      <c r="L45" s="160">
        <f>'дод 2'!M83+'дод 2'!M289</f>
        <v>0</v>
      </c>
      <c r="M45" s="160">
        <f>'дод 2'!N83+'дод 2'!N289</f>
        <v>0</v>
      </c>
      <c r="N45" s="160">
        <f>'дод 2'!O83+'дод 2'!O289</f>
        <v>1339360</v>
      </c>
      <c r="O45" s="160">
        <f>'дод 2'!P83+'дод 2'!P289</f>
        <v>19206860</v>
      </c>
    </row>
    <row r="46" spans="1:15" ht="78.75" hidden="1" customHeight="1" x14ac:dyDescent="0.25">
      <c r="A46" s="37"/>
      <c r="B46" s="37"/>
      <c r="C46" s="72" t="s">
        <v>382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</row>
    <row r="47" spans="1:15" ht="68.25" customHeight="1" x14ac:dyDescent="0.25">
      <c r="A47" s="37">
        <v>1025</v>
      </c>
      <c r="B47" s="37" t="s">
        <v>54</v>
      </c>
      <c r="C47" s="3" t="s">
        <v>560</v>
      </c>
      <c r="D47" s="160">
        <f>'дод 2'!E84</f>
        <v>12183400</v>
      </c>
      <c r="E47" s="160">
        <f>'дод 2'!F84</f>
        <v>12183400</v>
      </c>
      <c r="F47" s="160">
        <f>'дод 2'!G84</f>
        <v>8069700</v>
      </c>
      <c r="G47" s="160">
        <f>'дод 2'!H84</f>
        <v>1445800</v>
      </c>
      <c r="H47" s="160">
        <f>'дод 2'!I84</f>
        <v>0</v>
      </c>
      <c r="I47" s="160">
        <f>'дод 2'!J84</f>
        <v>200000</v>
      </c>
      <c r="J47" s="160">
        <f>'дод 2'!K84</f>
        <v>200000</v>
      </c>
      <c r="K47" s="160">
        <f>'дод 2'!L84</f>
        <v>0</v>
      </c>
      <c r="L47" s="160">
        <f>'дод 2'!M84</f>
        <v>0</v>
      </c>
      <c r="M47" s="160">
        <f>'дод 2'!N84</f>
        <v>0</v>
      </c>
      <c r="N47" s="160">
        <f>'дод 2'!O84</f>
        <v>200000</v>
      </c>
      <c r="O47" s="160">
        <f>'дод 2'!P84</f>
        <v>12383400</v>
      </c>
    </row>
    <row r="48" spans="1:15" s="51" customFormat="1" ht="35.25" customHeight="1" x14ac:dyDescent="0.25">
      <c r="A48" s="84">
        <v>1031</v>
      </c>
      <c r="B48" s="56" t="s">
        <v>50</v>
      </c>
      <c r="C48" s="57" t="s">
        <v>487</v>
      </c>
      <c r="D48" s="160">
        <f>'дод 2'!E85</f>
        <v>530977270</v>
      </c>
      <c r="E48" s="160">
        <f>'дод 2'!F85</f>
        <v>530977270</v>
      </c>
      <c r="F48" s="160">
        <f>'дод 2'!G85</f>
        <v>433878000</v>
      </c>
      <c r="G48" s="160">
        <f>'дод 2'!H85</f>
        <v>0</v>
      </c>
      <c r="H48" s="160">
        <f>'дод 2'!I85</f>
        <v>0</v>
      </c>
      <c r="I48" s="160">
        <f>'дод 2'!J85</f>
        <v>0</v>
      </c>
      <c r="J48" s="160">
        <f>'дод 2'!K85</f>
        <v>0</v>
      </c>
      <c r="K48" s="160">
        <f>'дод 2'!L85</f>
        <v>0</v>
      </c>
      <c r="L48" s="160">
        <f>'дод 2'!M85</f>
        <v>0</v>
      </c>
      <c r="M48" s="160">
        <f>'дод 2'!N85</f>
        <v>0</v>
      </c>
      <c r="N48" s="160">
        <f>'дод 2'!O85</f>
        <v>0</v>
      </c>
      <c r="O48" s="160">
        <f>'дод 2'!P85</f>
        <v>530977270</v>
      </c>
    </row>
    <row r="49" spans="1:15" s="51" customFormat="1" ht="31.5" x14ac:dyDescent="0.25">
      <c r="A49" s="71"/>
      <c r="B49" s="71"/>
      <c r="C49" s="79" t="s">
        <v>384</v>
      </c>
      <c r="D49" s="161">
        <f>'дод 2'!E86</f>
        <v>528463300</v>
      </c>
      <c r="E49" s="161">
        <f>'дод 2'!F86</f>
        <v>528463300</v>
      </c>
      <c r="F49" s="161">
        <f>'дод 2'!G86</f>
        <v>433878000</v>
      </c>
      <c r="G49" s="161">
        <f>'дод 2'!H86</f>
        <v>0</v>
      </c>
      <c r="H49" s="161">
        <f>'дод 2'!I86</f>
        <v>0</v>
      </c>
      <c r="I49" s="161">
        <f>'дод 2'!J86</f>
        <v>0</v>
      </c>
      <c r="J49" s="161">
        <f>'дод 2'!K86</f>
        <v>0</v>
      </c>
      <c r="K49" s="161">
        <f>'дод 2'!L86</f>
        <v>0</v>
      </c>
      <c r="L49" s="161">
        <f>'дод 2'!M86</f>
        <v>0</v>
      </c>
      <c r="M49" s="161">
        <f>'дод 2'!N86</f>
        <v>0</v>
      </c>
      <c r="N49" s="161">
        <f>'дод 2'!O86</f>
        <v>0</v>
      </c>
      <c r="O49" s="161">
        <f>'дод 2'!P86</f>
        <v>528463300</v>
      </c>
    </row>
    <row r="50" spans="1:15" ht="50.25" customHeight="1" x14ac:dyDescent="0.25">
      <c r="A50" s="37"/>
      <c r="B50" s="37"/>
      <c r="C50" s="79" t="s">
        <v>379</v>
      </c>
      <c r="D50" s="161">
        <f>'дод 2'!E87</f>
        <v>2513970</v>
      </c>
      <c r="E50" s="161">
        <f>'дод 2'!F87</f>
        <v>2513970</v>
      </c>
      <c r="F50" s="161">
        <f>'дод 2'!G87</f>
        <v>0</v>
      </c>
      <c r="G50" s="161">
        <f>'дод 2'!H87</f>
        <v>0</v>
      </c>
      <c r="H50" s="161">
        <f>'дод 2'!I87</f>
        <v>0</v>
      </c>
      <c r="I50" s="161">
        <f>'дод 2'!J87</f>
        <v>0</v>
      </c>
      <c r="J50" s="161">
        <f>'дод 2'!K87</f>
        <v>0</v>
      </c>
      <c r="K50" s="161">
        <f>'дод 2'!L87</f>
        <v>0</v>
      </c>
      <c r="L50" s="161">
        <f>'дод 2'!M87</f>
        <v>0</v>
      </c>
      <c r="M50" s="161">
        <f>'дод 2'!N87</f>
        <v>0</v>
      </c>
      <c r="N50" s="161">
        <f>'дод 2'!O87</f>
        <v>0</v>
      </c>
      <c r="O50" s="161">
        <f>'дод 2'!P87</f>
        <v>2513970</v>
      </c>
    </row>
    <row r="51" spans="1:15" ht="63.75" customHeight="1" x14ac:dyDescent="0.25">
      <c r="A51" s="56" t="s">
        <v>460</v>
      </c>
      <c r="B51" s="56" t="s">
        <v>54</v>
      </c>
      <c r="C51" s="57" t="s">
        <v>488</v>
      </c>
      <c r="D51" s="160">
        <f>'дод 2'!E88</f>
        <v>17946200</v>
      </c>
      <c r="E51" s="160">
        <f>'дод 2'!F88</f>
        <v>17946200</v>
      </c>
      <c r="F51" s="160">
        <f>'дод 2'!G88</f>
        <v>14710000</v>
      </c>
      <c r="G51" s="160">
        <f>'дод 2'!H88</f>
        <v>0</v>
      </c>
      <c r="H51" s="160">
        <f>'дод 2'!I88</f>
        <v>0</v>
      </c>
      <c r="I51" s="160">
        <f>'дод 2'!J88</f>
        <v>0</v>
      </c>
      <c r="J51" s="160">
        <f>'дод 2'!K88</f>
        <v>0</v>
      </c>
      <c r="K51" s="160">
        <f>'дод 2'!L88</f>
        <v>0</v>
      </c>
      <c r="L51" s="160">
        <f>'дод 2'!M88</f>
        <v>0</v>
      </c>
      <c r="M51" s="160">
        <f>'дод 2'!N88</f>
        <v>0</v>
      </c>
      <c r="N51" s="160">
        <f>'дод 2'!O88</f>
        <v>0</v>
      </c>
      <c r="O51" s="160">
        <f>'дод 2'!P88</f>
        <v>17946200</v>
      </c>
    </row>
    <row r="52" spans="1:15" ht="31.5" x14ac:dyDescent="0.25">
      <c r="A52" s="37"/>
      <c r="B52" s="37"/>
      <c r="C52" s="79" t="s">
        <v>384</v>
      </c>
      <c r="D52" s="161">
        <f>'дод 2'!E89</f>
        <v>17946200</v>
      </c>
      <c r="E52" s="161">
        <f>'дод 2'!F89</f>
        <v>17946200</v>
      </c>
      <c r="F52" s="161">
        <f>'дод 2'!G89</f>
        <v>14710000</v>
      </c>
      <c r="G52" s="161">
        <f>'дод 2'!H89</f>
        <v>0</v>
      </c>
      <c r="H52" s="161">
        <f>'дод 2'!I89</f>
        <v>0</v>
      </c>
      <c r="I52" s="161">
        <f>'дод 2'!J89</f>
        <v>0</v>
      </c>
      <c r="J52" s="161">
        <f>'дод 2'!K89</f>
        <v>0</v>
      </c>
      <c r="K52" s="161">
        <f>'дод 2'!L89</f>
        <v>0</v>
      </c>
      <c r="L52" s="161">
        <f>'дод 2'!M89</f>
        <v>0</v>
      </c>
      <c r="M52" s="161">
        <f>'дод 2'!N89</f>
        <v>0</v>
      </c>
      <c r="N52" s="161">
        <f>'дод 2'!O89</f>
        <v>0</v>
      </c>
      <c r="O52" s="161">
        <f>'дод 2'!P89</f>
        <v>17946200</v>
      </c>
    </row>
    <row r="53" spans="1:15" ht="66.75" customHeight="1" x14ac:dyDescent="0.25">
      <c r="A53" s="37">
        <v>1035</v>
      </c>
      <c r="B53" s="37" t="s">
        <v>54</v>
      </c>
      <c r="C53" s="36" t="s">
        <v>562</v>
      </c>
      <c r="D53" s="160">
        <f>'дод 2'!E90</f>
        <v>1301700</v>
      </c>
      <c r="E53" s="160">
        <f>'дод 2'!F90</f>
        <v>1301700</v>
      </c>
      <c r="F53" s="160">
        <f>'дод 2'!G90</f>
        <v>1067000</v>
      </c>
      <c r="G53" s="160">
        <f>'дод 2'!H90</f>
        <v>0</v>
      </c>
      <c r="H53" s="160">
        <f>'дод 2'!I90</f>
        <v>0</v>
      </c>
      <c r="I53" s="160">
        <f>'дод 2'!J90</f>
        <v>0</v>
      </c>
      <c r="J53" s="160">
        <f>'дод 2'!K90</f>
        <v>0</v>
      </c>
      <c r="K53" s="160">
        <f>'дод 2'!L90</f>
        <v>0</v>
      </c>
      <c r="L53" s="160">
        <f>'дод 2'!M90</f>
        <v>0</v>
      </c>
      <c r="M53" s="160">
        <f>'дод 2'!N90</f>
        <v>0</v>
      </c>
      <c r="N53" s="160">
        <f>'дод 2'!O90</f>
        <v>0</v>
      </c>
      <c r="O53" s="160">
        <f>'дод 2'!P90</f>
        <v>1301700</v>
      </c>
    </row>
    <row r="54" spans="1:15" ht="31.5" x14ac:dyDescent="0.25">
      <c r="A54" s="37"/>
      <c r="B54" s="37"/>
      <c r="C54" s="79" t="s">
        <v>384</v>
      </c>
      <c r="D54" s="161">
        <f>'дод 2'!E91</f>
        <v>1301700</v>
      </c>
      <c r="E54" s="161">
        <f>'дод 2'!F91</f>
        <v>1301700</v>
      </c>
      <c r="F54" s="161">
        <f>'дод 2'!G91</f>
        <v>1067000</v>
      </c>
      <c r="G54" s="161">
        <f>'дод 2'!H91</f>
        <v>0</v>
      </c>
      <c r="H54" s="161">
        <f>'дод 2'!I91</f>
        <v>0</v>
      </c>
      <c r="I54" s="161">
        <f>'дод 2'!J91</f>
        <v>0</v>
      </c>
      <c r="J54" s="161">
        <f>'дод 2'!K91</f>
        <v>0</v>
      </c>
      <c r="K54" s="161">
        <f>'дод 2'!L91</f>
        <v>0</v>
      </c>
      <c r="L54" s="161">
        <f>'дод 2'!M91</f>
        <v>0</v>
      </c>
      <c r="M54" s="161">
        <f>'дод 2'!N91</f>
        <v>0</v>
      </c>
      <c r="N54" s="161">
        <f>'дод 2'!O91</f>
        <v>0</v>
      </c>
      <c r="O54" s="161">
        <f>'дод 2'!P91</f>
        <v>1301700</v>
      </c>
    </row>
    <row r="55" spans="1:15" ht="31.5" hidden="1" customHeight="1" x14ac:dyDescent="0.25">
      <c r="A55" s="37">
        <v>1061</v>
      </c>
      <c r="B55" s="56" t="s">
        <v>50</v>
      </c>
      <c r="C55" s="36" t="s">
        <v>511</v>
      </c>
      <c r="D55" s="160">
        <f>'дод 2'!E92</f>
        <v>0</v>
      </c>
      <c r="E55" s="160">
        <f>'дод 2'!F92</f>
        <v>0</v>
      </c>
      <c r="F55" s="160">
        <f>'дод 2'!G92</f>
        <v>0</v>
      </c>
      <c r="G55" s="160">
        <f>'дод 2'!H92</f>
        <v>0</v>
      </c>
      <c r="H55" s="160">
        <f>'дод 2'!I92</f>
        <v>0</v>
      </c>
      <c r="I55" s="160">
        <f>'дод 2'!J92</f>
        <v>0</v>
      </c>
      <c r="J55" s="160">
        <f>'дод 2'!K92</f>
        <v>0</v>
      </c>
      <c r="K55" s="160">
        <f>'дод 2'!L92</f>
        <v>0</v>
      </c>
      <c r="L55" s="160">
        <f>'дод 2'!M92</f>
        <v>0</v>
      </c>
      <c r="M55" s="160">
        <f>'дод 2'!N92</f>
        <v>0</v>
      </c>
      <c r="N55" s="160">
        <f>'дод 2'!O92</f>
        <v>0</v>
      </c>
      <c r="O55" s="160">
        <f>'дод 2'!P92</f>
        <v>0</v>
      </c>
    </row>
    <row r="56" spans="1:15" ht="48.75" hidden="1" customHeight="1" x14ac:dyDescent="0.25">
      <c r="A56" s="37"/>
      <c r="B56" s="56"/>
      <c r="C56" s="79" t="s">
        <v>521</v>
      </c>
      <c r="D56" s="161">
        <f>'дод 2'!E93</f>
        <v>0</v>
      </c>
      <c r="E56" s="161">
        <f>'дод 2'!F93</f>
        <v>0</v>
      </c>
      <c r="F56" s="161">
        <f>'дод 2'!G93</f>
        <v>0</v>
      </c>
      <c r="G56" s="161">
        <f>'дод 2'!H93</f>
        <v>0</v>
      </c>
      <c r="H56" s="161">
        <f>'дод 2'!I93</f>
        <v>0</v>
      </c>
      <c r="I56" s="161">
        <f>'дод 2'!J93</f>
        <v>0</v>
      </c>
      <c r="J56" s="161">
        <f>'дод 2'!K93</f>
        <v>0</v>
      </c>
      <c r="K56" s="161">
        <f>'дод 2'!L93</f>
        <v>0</v>
      </c>
      <c r="L56" s="161">
        <f>'дод 2'!M93</f>
        <v>0</v>
      </c>
      <c r="M56" s="161">
        <f>'дод 2'!N93</f>
        <v>0</v>
      </c>
      <c r="N56" s="161">
        <f>'дод 2'!O93</f>
        <v>0</v>
      </c>
      <c r="O56" s="161">
        <f>'дод 2'!P93</f>
        <v>0</v>
      </c>
    </row>
    <row r="57" spans="1:15" s="51" customFormat="1" ht="32.25" hidden="1" customHeight="1" x14ac:dyDescent="0.25">
      <c r="A57" s="71"/>
      <c r="B57" s="76"/>
      <c r="C57" s="79" t="s">
        <v>518</v>
      </c>
      <c r="D57" s="161">
        <f>'дод 2'!E94</f>
        <v>0</v>
      </c>
      <c r="E57" s="161">
        <f>'дод 2'!F94</f>
        <v>0</v>
      </c>
      <c r="F57" s="161">
        <f>'дод 2'!G94</f>
        <v>0</v>
      </c>
      <c r="G57" s="161">
        <f>'дод 2'!H94</f>
        <v>0</v>
      </c>
      <c r="H57" s="161">
        <f>'дод 2'!I94</f>
        <v>0</v>
      </c>
      <c r="I57" s="161">
        <f>'дод 2'!J94</f>
        <v>0</v>
      </c>
      <c r="J57" s="161">
        <f>'дод 2'!K94</f>
        <v>0</v>
      </c>
      <c r="K57" s="161">
        <f>'дод 2'!L94</f>
        <v>0</v>
      </c>
      <c r="L57" s="161">
        <f>'дод 2'!M94</f>
        <v>0</v>
      </c>
      <c r="M57" s="161">
        <f>'дод 2'!N94</f>
        <v>0</v>
      </c>
      <c r="N57" s="161">
        <f>'дод 2'!O94</f>
        <v>0</v>
      </c>
      <c r="O57" s="161">
        <f>'дод 2'!P94</f>
        <v>0</v>
      </c>
    </row>
    <row r="58" spans="1:15" s="51" customFormat="1" ht="69" hidden="1" customHeight="1" x14ac:dyDescent="0.25">
      <c r="A58" s="37">
        <v>1062</v>
      </c>
      <c r="B58" s="56" t="s">
        <v>54</v>
      </c>
      <c r="C58" s="57" t="s">
        <v>488</v>
      </c>
      <c r="D58" s="160">
        <f>'дод 2'!E95</f>
        <v>0</v>
      </c>
      <c r="E58" s="160">
        <f>'дод 2'!F95</f>
        <v>0</v>
      </c>
      <c r="F58" s="160">
        <f>'дод 2'!G95</f>
        <v>0</v>
      </c>
      <c r="G58" s="160">
        <f>'дод 2'!H95</f>
        <v>0</v>
      </c>
      <c r="H58" s="160">
        <f>'дод 2'!I95</f>
        <v>0</v>
      </c>
      <c r="I58" s="160">
        <f>'дод 2'!J95</f>
        <v>0</v>
      </c>
      <c r="J58" s="160">
        <f>'дод 2'!K95</f>
        <v>0</v>
      </c>
      <c r="K58" s="160">
        <f>'дод 2'!L95</f>
        <v>0</v>
      </c>
      <c r="L58" s="160">
        <f>'дод 2'!M95</f>
        <v>0</v>
      </c>
      <c r="M58" s="160">
        <f>'дод 2'!N95</f>
        <v>0</v>
      </c>
      <c r="N58" s="160">
        <f>'дод 2'!O95</f>
        <v>0</v>
      </c>
      <c r="O58" s="160">
        <f>'дод 2'!P95</f>
        <v>0</v>
      </c>
    </row>
    <row r="59" spans="1:15" s="51" customFormat="1" ht="32.25" hidden="1" customHeight="1" x14ac:dyDescent="0.25">
      <c r="A59" s="71"/>
      <c r="B59" s="76"/>
      <c r="C59" s="79" t="s">
        <v>518</v>
      </c>
      <c r="D59" s="161">
        <f>'дод 2'!E96</f>
        <v>0</v>
      </c>
      <c r="E59" s="161">
        <f>'дод 2'!F96</f>
        <v>0</v>
      </c>
      <c r="F59" s="161">
        <f>'дод 2'!G96</f>
        <v>0</v>
      </c>
      <c r="G59" s="161">
        <f>'дод 2'!H96</f>
        <v>0</v>
      </c>
      <c r="H59" s="161">
        <f>'дод 2'!I96</f>
        <v>0</v>
      </c>
      <c r="I59" s="161">
        <f>'дод 2'!J96</f>
        <v>0</v>
      </c>
      <c r="J59" s="161">
        <f>'дод 2'!K96</f>
        <v>0</v>
      </c>
      <c r="K59" s="161">
        <f>'дод 2'!L96</f>
        <v>0</v>
      </c>
      <c r="L59" s="161">
        <f>'дод 2'!M96</f>
        <v>0</v>
      </c>
      <c r="M59" s="161">
        <f>'дод 2'!N96</f>
        <v>0</v>
      </c>
      <c r="N59" s="161">
        <f>'дод 2'!O96</f>
        <v>0</v>
      </c>
      <c r="O59" s="161">
        <f>'дод 2'!P96</f>
        <v>0</v>
      </c>
    </row>
    <row r="60" spans="1:15" s="51" customFormat="1" ht="38.25" customHeight="1" x14ac:dyDescent="0.25">
      <c r="A60" s="56" t="s">
        <v>53</v>
      </c>
      <c r="B60" s="56" t="s">
        <v>56</v>
      </c>
      <c r="C60" s="57" t="s">
        <v>360</v>
      </c>
      <c r="D60" s="160">
        <f>'дод 2'!E97</f>
        <v>43917700</v>
      </c>
      <c r="E60" s="160">
        <f>'дод 2'!F97</f>
        <v>43917700</v>
      </c>
      <c r="F60" s="160">
        <f>'дод 2'!G97</f>
        <v>30235200</v>
      </c>
      <c r="G60" s="160">
        <f>'дод 2'!H97</f>
        <v>5804900</v>
      </c>
      <c r="H60" s="160">
        <f>'дод 2'!I97</f>
        <v>0</v>
      </c>
      <c r="I60" s="160">
        <f>'дод 2'!J97</f>
        <v>400000</v>
      </c>
      <c r="J60" s="160">
        <f>'дод 2'!K97</f>
        <v>400000</v>
      </c>
      <c r="K60" s="160">
        <f>'дод 2'!L97</f>
        <v>0</v>
      </c>
      <c r="L60" s="160">
        <f>'дод 2'!M97</f>
        <v>0</v>
      </c>
      <c r="M60" s="160">
        <f>'дод 2'!N97</f>
        <v>0</v>
      </c>
      <c r="N60" s="160">
        <f>'дод 2'!O97</f>
        <v>400000</v>
      </c>
      <c r="O60" s="160">
        <f>'дод 2'!P97</f>
        <v>44317700</v>
      </c>
    </row>
    <row r="61" spans="1:15" s="51" customFormat="1" ht="27.75" customHeight="1" x14ac:dyDescent="0.25">
      <c r="A61" s="84">
        <v>1080</v>
      </c>
      <c r="B61" s="56" t="s">
        <v>56</v>
      </c>
      <c r="C61" s="57" t="s">
        <v>577</v>
      </c>
      <c r="D61" s="160">
        <f>'дод 2'!E225</f>
        <v>55584500</v>
      </c>
      <c r="E61" s="160">
        <f>'дод 2'!F225</f>
        <v>55584500</v>
      </c>
      <c r="F61" s="160">
        <f>'дод 2'!G225</f>
        <v>43494200</v>
      </c>
      <c r="G61" s="160">
        <f>'дод 2'!H225</f>
        <v>1592300</v>
      </c>
      <c r="H61" s="160">
        <f>'дод 2'!I225</f>
        <v>0</v>
      </c>
      <c r="I61" s="160">
        <f>'дод 2'!J225</f>
        <v>3174570</v>
      </c>
      <c r="J61" s="160">
        <f>'дод 2'!K225</f>
        <v>300000</v>
      </c>
      <c r="K61" s="160">
        <f>'дод 2'!L225</f>
        <v>2871440</v>
      </c>
      <c r="L61" s="160">
        <f>'дод 2'!M225</f>
        <v>2346150</v>
      </c>
      <c r="M61" s="160">
        <f>'дод 2'!N225</f>
        <v>0</v>
      </c>
      <c r="N61" s="160">
        <f>'дод 2'!O225</f>
        <v>303130</v>
      </c>
      <c r="O61" s="160">
        <f>'дод 2'!P225</f>
        <v>58759070</v>
      </c>
    </row>
    <row r="62" spans="1:15" s="51" customFormat="1" ht="47.25" x14ac:dyDescent="0.25">
      <c r="A62" s="84">
        <v>1091</v>
      </c>
      <c r="B62" s="56" t="s">
        <v>602</v>
      </c>
      <c r="C62" s="57" t="s">
        <v>603</v>
      </c>
      <c r="D62" s="160">
        <f>'дод 2'!E98</f>
        <v>149164200</v>
      </c>
      <c r="E62" s="160">
        <f>'дод 2'!F98</f>
        <v>149164200</v>
      </c>
      <c r="F62" s="160">
        <f>'дод 2'!G98</f>
        <v>78676200</v>
      </c>
      <c r="G62" s="160">
        <f>'дод 2'!H98</f>
        <v>20084950</v>
      </c>
      <c r="H62" s="160">
        <f>'дод 2'!I98</f>
        <v>0</v>
      </c>
      <c r="I62" s="160">
        <f>'дод 2'!J98</f>
        <v>10665879</v>
      </c>
      <c r="J62" s="160">
        <f>'дод 2'!K98</f>
        <v>0</v>
      </c>
      <c r="K62" s="160">
        <f>'дод 2'!L98</f>
        <v>10583189</v>
      </c>
      <c r="L62" s="160">
        <f>'дод 2'!M98</f>
        <v>2780588</v>
      </c>
      <c r="M62" s="160">
        <f>'дод 2'!N98</f>
        <v>4889684</v>
      </c>
      <c r="N62" s="160">
        <f>'дод 2'!O98</f>
        <v>82690</v>
      </c>
      <c r="O62" s="160">
        <f>'дод 2'!P98</f>
        <v>159830079</v>
      </c>
    </row>
    <row r="63" spans="1:15" s="51" customFormat="1" ht="62.25" customHeight="1" x14ac:dyDescent="0.25">
      <c r="A63" s="84">
        <v>1092</v>
      </c>
      <c r="B63" s="56" t="s">
        <v>602</v>
      </c>
      <c r="C63" s="57" t="s">
        <v>605</v>
      </c>
      <c r="D63" s="160">
        <f>'дод 2'!E99</f>
        <v>24077400</v>
      </c>
      <c r="E63" s="160">
        <f>'дод 2'!F99</f>
        <v>24077400</v>
      </c>
      <c r="F63" s="160">
        <f>'дод 2'!G99</f>
        <v>19735600</v>
      </c>
      <c r="G63" s="160">
        <f>'дод 2'!H99</f>
        <v>0</v>
      </c>
      <c r="H63" s="160">
        <f>'дод 2'!I99</f>
        <v>0</v>
      </c>
      <c r="I63" s="160">
        <f>'дод 2'!J99</f>
        <v>0</v>
      </c>
      <c r="J63" s="160">
        <f>'дод 2'!K99</f>
        <v>0</v>
      </c>
      <c r="K63" s="160">
        <f>'дод 2'!L99</f>
        <v>0</v>
      </c>
      <c r="L63" s="160">
        <f>'дод 2'!M99</f>
        <v>0</v>
      </c>
      <c r="M63" s="160">
        <f>'дод 2'!N99</f>
        <v>0</v>
      </c>
      <c r="N63" s="160">
        <f>'дод 2'!O99</f>
        <v>0</v>
      </c>
      <c r="O63" s="160">
        <f>'дод 2'!P99</f>
        <v>24077400</v>
      </c>
    </row>
    <row r="64" spans="1:15" s="51" customFormat="1" ht="31.5" x14ac:dyDescent="0.25">
      <c r="A64" s="97"/>
      <c r="B64" s="76"/>
      <c r="C64" s="79" t="s">
        <v>384</v>
      </c>
      <c r="D64" s="161">
        <f>'дод 2'!E100</f>
        <v>24077400</v>
      </c>
      <c r="E64" s="161">
        <f>'дод 2'!F100</f>
        <v>24077400</v>
      </c>
      <c r="F64" s="161">
        <f>'дод 2'!G100</f>
        <v>19735600</v>
      </c>
      <c r="G64" s="161">
        <f>'дод 2'!H100</f>
        <v>0</v>
      </c>
      <c r="H64" s="161">
        <f>'дод 2'!I100</f>
        <v>0</v>
      </c>
      <c r="I64" s="161">
        <f>'дод 2'!J100</f>
        <v>0</v>
      </c>
      <c r="J64" s="161">
        <f>'дод 2'!K100</f>
        <v>0</v>
      </c>
      <c r="K64" s="161">
        <f>'дод 2'!L100</f>
        <v>0</v>
      </c>
      <c r="L64" s="161">
        <f>'дод 2'!M100</f>
        <v>0</v>
      </c>
      <c r="M64" s="161">
        <f>'дод 2'!N100</f>
        <v>0</v>
      </c>
      <c r="N64" s="161">
        <f>'дод 2'!O100</f>
        <v>0</v>
      </c>
      <c r="O64" s="161">
        <f>'дод 2'!P100</f>
        <v>24077400</v>
      </c>
    </row>
    <row r="65" spans="1:15" s="51" customFormat="1" ht="29.25" customHeight="1" x14ac:dyDescent="0.25">
      <c r="A65" s="56" t="s">
        <v>463</v>
      </c>
      <c r="B65" s="56" t="s">
        <v>57</v>
      </c>
      <c r="C65" s="36" t="s">
        <v>492</v>
      </c>
      <c r="D65" s="160">
        <f>'дод 2'!E101</f>
        <v>13057600</v>
      </c>
      <c r="E65" s="160">
        <f>'дод 2'!F101</f>
        <v>13057600</v>
      </c>
      <c r="F65" s="160">
        <f>'дод 2'!G101</f>
        <v>9323800</v>
      </c>
      <c r="G65" s="160">
        <f>'дод 2'!H101</f>
        <v>1054400</v>
      </c>
      <c r="H65" s="160">
        <f>'дод 2'!I101</f>
        <v>0</v>
      </c>
      <c r="I65" s="160">
        <f>'дод 2'!J101</f>
        <v>100000</v>
      </c>
      <c r="J65" s="160">
        <f>'дод 2'!K101</f>
        <v>100000</v>
      </c>
      <c r="K65" s="160">
        <f>'дод 2'!L101</f>
        <v>0</v>
      </c>
      <c r="L65" s="160">
        <f>'дод 2'!M101</f>
        <v>0</v>
      </c>
      <c r="M65" s="160">
        <f>'дод 2'!N101</f>
        <v>0</v>
      </c>
      <c r="N65" s="160">
        <f>'дод 2'!O101</f>
        <v>100000</v>
      </c>
      <c r="O65" s="160">
        <f>'дод 2'!P101</f>
        <v>13157600</v>
      </c>
    </row>
    <row r="66" spans="1:15" ht="24" customHeight="1" x14ac:dyDescent="0.25">
      <c r="A66" s="56" t="s">
        <v>465</v>
      </c>
      <c r="B66" s="56" t="s">
        <v>57</v>
      </c>
      <c r="C66" s="36" t="s">
        <v>278</v>
      </c>
      <c r="D66" s="160">
        <f>'дод 2'!E102</f>
        <v>1124100</v>
      </c>
      <c r="E66" s="160">
        <f>'дод 2'!F102</f>
        <v>1124100</v>
      </c>
      <c r="F66" s="160">
        <f>'дод 2'!G102</f>
        <v>0</v>
      </c>
      <c r="G66" s="160">
        <f>'дод 2'!H102</f>
        <v>0</v>
      </c>
      <c r="H66" s="160">
        <f>'дод 2'!I102</f>
        <v>0</v>
      </c>
      <c r="I66" s="160">
        <f>'дод 2'!J102</f>
        <v>0</v>
      </c>
      <c r="J66" s="160">
        <f>'дод 2'!K102</f>
        <v>0</v>
      </c>
      <c r="K66" s="160">
        <f>'дод 2'!L102</f>
        <v>0</v>
      </c>
      <c r="L66" s="160">
        <f>'дод 2'!M102</f>
        <v>0</v>
      </c>
      <c r="M66" s="160">
        <f>'дод 2'!N102</f>
        <v>0</v>
      </c>
      <c r="N66" s="160">
        <f>'дод 2'!O102</f>
        <v>0</v>
      </c>
      <c r="O66" s="160">
        <f>'дод 2'!P102</f>
        <v>1124100</v>
      </c>
    </row>
    <row r="67" spans="1:15" ht="31.5" x14ac:dyDescent="0.25">
      <c r="A67" s="56" t="s">
        <v>467</v>
      </c>
      <c r="B67" s="56" t="s">
        <v>57</v>
      </c>
      <c r="C67" s="57" t="s">
        <v>468</v>
      </c>
      <c r="D67" s="160">
        <f>'дод 2'!E103</f>
        <v>556800</v>
      </c>
      <c r="E67" s="160">
        <f>'дод 2'!F103</f>
        <v>556800</v>
      </c>
      <c r="F67" s="160">
        <f>'дод 2'!G103</f>
        <v>312400</v>
      </c>
      <c r="G67" s="160">
        <f>'дод 2'!H103</f>
        <v>118400</v>
      </c>
      <c r="H67" s="160">
        <f>'дод 2'!I103</f>
        <v>0</v>
      </c>
      <c r="I67" s="160">
        <f>'дод 2'!J103</f>
        <v>0</v>
      </c>
      <c r="J67" s="160">
        <f>'дод 2'!K103</f>
        <v>0</v>
      </c>
      <c r="K67" s="160">
        <f>'дод 2'!L103</f>
        <v>0</v>
      </c>
      <c r="L67" s="160">
        <f>'дод 2'!M103</f>
        <v>0</v>
      </c>
      <c r="M67" s="160">
        <f>'дод 2'!N103</f>
        <v>0</v>
      </c>
      <c r="N67" s="160">
        <f>'дод 2'!O103</f>
        <v>0</v>
      </c>
      <c r="O67" s="160">
        <f>'дод 2'!P103</f>
        <v>556800</v>
      </c>
    </row>
    <row r="68" spans="1:15" ht="36.75" customHeight="1" x14ac:dyDescent="0.25">
      <c r="A68" s="56" t="s">
        <v>470</v>
      </c>
      <c r="B68" s="56" t="s">
        <v>57</v>
      </c>
      <c r="C68" s="57" t="s">
        <v>493</v>
      </c>
      <c r="D68" s="160">
        <f>'дод 2'!E104</f>
        <v>1952020</v>
      </c>
      <c r="E68" s="160">
        <f>'дод 2'!F104</f>
        <v>1952020</v>
      </c>
      <c r="F68" s="160">
        <f>'дод 2'!G104</f>
        <v>1600020</v>
      </c>
      <c r="G68" s="160">
        <f>'дод 2'!H104</f>
        <v>0</v>
      </c>
      <c r="H68" s="160">
        <f>'дод 2'!I104</f>
        <v>0</v>
      </c>
      <c r="I68" s="160">
        <f>'дод 2'!J104</f>
        <v>0</v>
      </c>
      <c r="J68" s="160">
        <f>'дод 2'!K104</f>
        <v>0</v>
      </c>
      <c r="K68" s="160">
        <f>'дод 2'!L104</f>
        <v>0</v>
      </c>
      <c r="L68" s="160">
        <f>'дод 2'!M104</f>
        <v>0</v>
      </c>
      <c r="M68" s="160">
        <f>'дод 2'!N104</f>
        <v>0</v>
      </c>
      <c r="N68" s="160">
        <f>'дод 2'!O104</f>
        <v>0</v>
      </c>
      <c r="O68" s="160">
        <f>'дод 2'!P104</f>
        <v>1952020</v>
      </c>
    </row>
    <row r="69" spans="1:15" ht="49.5" customHeight="1" x14ac:dyDescent="0.25">
      <c r="A69" s="37"/>
      <c r="B69" s="37"/>
      <c r="C69" s="79" t="s">
        <v>379</v>
      </c>
      <c r="D69" s="161">
        <f>'дод 2'!E105</f>
        <v>1952020</v>
      </c>
      <c r="E69" s="161">
        <f>'дод 2'!F105</f>
        <v>1952020</v>
      </c>
      <c r="F69" s="161">
        <f>'дод 2'!G105</f>
        <v>1600020</v>
      </c>
      <c r="G69" s="161">
        <f>'дод 2'!H105</f>
        <v>0</v>
      </c>
      <c r="H69" s="161">
        <f>'дод 2'!I105</f>
        <v>0</v>
      </c>
      <c r="I69" s="161">
        <f>'дод 2'!J105</f>
        <v>0</v>
      </c>
      <c r="J69" s="161">
        <f>'дод 2'!K105</f>
        <v>0</v>
      </c>
      <c r="K69" s="161">
        <f>'дод 2'!L105</f>
        <v>0</v>
      </c>
      <c r="L69" s="161">
        <f>'дод 2'!M105</f>
        <v>0</v>
      </c>
      <c r="M69" s="161">
        <f>'дод 2'!N105</f>
        <v>0</v>
      </c>
      <c r="N69" s="161">
        <f>'дод 2'!O105</f>
        <v>0</v>
      </c>
      <c r="O69" s="161">
        <f>'дод 2'!P105</f>
        <v>1952020</v>
      </c>
    </row>
    <row r="70" spans="1:15" s="51" customFormat="1" ht="31.5" x14ac:dyDescent="0.25">
      <c r="A70" s="56" t="s">
        <v>472</v>
      </c>
      <c r="B70" s="56" t="str">
        <f>'дод 3'!A19</f>
        <v>0160</v>
      </c>
      <c r="C70" s="57" t="s">
        <v>473</v>
      </c>
      <c r="D70" s="160">
        <f>'дод 2'!E106</f>
        <v>3137600</v>
      </c>
      <c r="E70" s="160">
        <f>'дод 2'!F106</f>
        <v>3137600</v>
      </c>
      <c r="F70" s="160">
        <f>'дод 2'!G106</f>
        <v>2115300</v>
      </c>
      <c r="G70" s="160">
        <f>'дод 2'!H106</f>
        <v>378300</v>
      </c>
      <c r="H70" s="160">
        <f>'дод 2'!I106</f>
        <v>0</v>
      </c>
      <c r="I70" s="160">
        <f>'дод 2'!J106</f>
        <v>0</v>
      </c>
      <c r="J70" s="160">
        <f>'дод 2'!K106</f>
        <v>0</v>
      </c>
      <c r="K70" s="160">
        <f>'дод 2'!L106</f>
        <v>0</v>
      </c>
      <c r="L70" s="160">
        <f>'дод 2'!M106</f>
        <v>0</v>
      </c>
      <c r="M70" s="160">
        <f>'дод 2'!N106</f>
        <v>0</v>
      </c>
      <c r="N70" s="160">
        <f>'дод 2'!O106</f>
        <v>0</v>
      </c>
      <c r="O70" s="160">
        <f>'дод 2'!P106</f>
        <v>3137600</v>
      </c>
    </row>
    <row r="71" spans="1:15" s="51" customFormat="1" ht="66" customHeight="1" x14ac:dyDescent="0.25">
      <c r="A71" s="56" t="s">
        <v>543</v>
      </c>
      <c r="B71" s="56" t="s">
        <v>57</v>
      </c>
      <c r="C71" s="57" t="s">
        <v>546</v>
      </c>
      <c r="D71" s="160">
        <f>'дод 2'!E107</f>
        <v>0</v>
      </c>
      <c r="E71" s="160">
        <f>'дод 2'!F107</f>
        <v>0</v>
      </c>
      <c r="F71" s="160">
        <f>'дод 2'!G107</f>
        <v>0</v>
      </c>
      <c r="G71" s="160">
        <f>'дод 2'!H107</f>
        <v>0</v>
      </c>
      <c r="H71" s="160">
        <f>'дод 2'!I107</f>
        <v>0</v>
      </c>
      <c r="I71" s="160">
        <f>'дод 2'!J107</f>
        <v>2000000</v>
      </c>
      <c r="J71" s="160">
        <f>'дод 2'!K107</f>
        <v>2000000</v>
      </c>
      <c r="K71" s="160">
        <f>'дод 2'!L107</f>
        <v>0</v>
      </c>
      <c r="L71" s="160">
        <f>'дод 2'!M107</f>
        <v>0</v>
      </c>
      <c r="M71" s="160">
        <f>'дод 2'!N107</f>
        <v>0</v>
      </c>
      <c r="N71" s="160">
        <f>'дод 2'!O107</f>
        <v>2000000</v>
      </c>
      <c r="O71" s="160">
        <f>'дод 2'!P107</f>
        <v>2000000</v>
      </c>
    </row>
    <row r="72" spans="1:15" s="51" customFormat="1" ht="65.25" hidden="1" customHeight="1" x14ac:dyDescent="0.25">
      <c r="A72" s="56" t="s">
        <v>534</v>
      </c>
      <c r="B72" s="56" t="s">
        <v>57</v>
      </c>
      <c r="C72" s="57" t="s">
        <v>572</v>
      </c>
      <c r="D72" s="139">
        <f>'дод 2'!E108</f>
        <v>0</v>
      </c>
      <c r="E72" s="139">
        <f>'дод 2'!F108</f>
        <v>0</v>
      </c>
      <c r="F72" s="139">
        <f>'дод 2'!G108</f>
        <v>0</v>
      </c>
      <c r="G72" s="139">
        <f>'дод 2'!H108</f>
        <v>0</v>
      </c>
      <c r="H72" s="139">
        <f>'дод 2'!I108</f>
        <v>0</v>
      </c>
      <c r="I72" s="139">
        <f>'дод 2'!J108</f>
        <v>0</v>
      </c>
      <c r="J72" s="139">
        <f>'дод 2'!K108</f>
        <v>0</v>
      </c>
      <c r="K72" s="139">
        <f>'дод 2'!L108</f>
        <v>0</v>
      </c>
      <c r="L72" s="139">
        <f>'дод 2'!M108</f>
        <v>0</v>
      </c>
      <c r="M72" s="139">
        <f>'дод 2'!N108</f>
        <v>0</v>
      </c>
      <c r="N72" s="139">
        <f>'дод 2'!O108</f>
        <v>0</v>
      </c>
      <c r="O72" s="139">
        <f>'дод 2'!P108</f>
        <v>0</v>
      </c>
    </row>
    <row r="73" spans="1:15" s="51" customFormat="1" ht="47.25" hidden="1" customHeight="1" x14ac:dyDescent="0.25">
      <c r="A73" s="76"/>
      <c r="B73" s="76"/>
      <c r="C73" s="79" t="s">
        <v>564</v>
      </c>
      <c r="D73" s="140">
        <f>'дод 2'!E109</f>
        <v>0</v>
      </c>
      <c r="E73" s="140">
        <f>'дод 2'!F109</f>
        <v>0</v>
      </c>
      <c r="F73" s="140">
        <f>'дод 2'!G109</f>
        <v>0</v>
      </c>
      <c r="G73" s="140">
        <f>'дод 2'!H109</f>
        <v>0</v>
      </c>
      <c r="H73" s="140">
        <f>'дод 2'!I109</f>
        <v>0</v>
      </c>
      <c r="I73" s="140">
        <f>'дод 2'!J109</f>
        <v>0</v>
      </c>
      <c r="J73" s="140">
        <f>'дод 2'!K109</f>
        <v>0</v>
      </c>
      <c r="K73" s="140">
        <f>'дод 2'!L109</f>
        <v>0</v>
      </c>
      <c r="L73" s="140">
        <f>'дод 2'!M109</f>
        <v>0</v>
      </c>
      <c r="M73" s="140">
        <f>'дод 2'!N109</f>
        <v>0</v>
      </c>
      <c r="N73" s="140">
        <f>'дод 2'!O109</f>
        <v>0</v>
      </c>
      <c r="O73" s="140">
        <f>'дод 2'!P109</f>
        <v>0</v>
      </c>
    </row>
    <row r="74" spans="1:15" s="51" customFormat="1" ht="63" x14ac:dyDescent="0.25">
      <c r="A74" s="56" t="s">
        <v>545</v>
      </c>
      <c r="B74" s="56" t="s">
        <v>57</v>
      </c>
      <c r="C74" s="57" t="s">
        <v>587</v>
      </c>
      <c r="D74" s="139">
        <f>'дод 2'!E110</f>
        <v>3000000</v>
      </c>
      <c r="E74" s="139">
        <f>'дод 2'!F110</f>
        <v>3000000</v>
      </c>
      <c r="F74" s="139">
        <f>'дод 2'!G110</f>
        <v>0</v>
      </c>
      <c r="G74" s="139">
        <f>'дод 2'!H110</f>
        <v>0</v>
      </c>
      <c r="H74" s="139">
        <f>'дод 2'!I110</f>
        <v>0</v>
      </c>
      <c r="I74" s="139">
        <f>'дод 2'!J110</f>
        <v>0</v>
      </c>
      <c r="J74" s="139">
        <f>'дод 2'!K110</f>
        <v>0</v>
      </c>
      <c r="K74" s="139">
        <f>'дод 2'!L110</f>
        <v>0</v>
      </c>
      <c r="L74" s="139">
        <f>'дод 2'!M110</f>
        <v>0</v>
      </c>
      <c r="M74" s="139">
        <f>'дод 2'!N110</f>
        <v>0</v>
      </c>
      <c r="N74" s="139">
        <f>'дод 2'!O110</f>
        <v>0</v>
      </c>
      <c r="O74" s="139">
        <f>'дод 2'!P110</f>
        <v>3000000</v>
      </c>
    </row>
    <row r="75" spans="1:15" s="51" customFormat="1" ht="15.75" hidden="1" customHeight="1" x14ac:dyDescent="0.25">
      <c r="A75" s="76"/>
      <c r="B75" s="76"/>
      <c r="C75" s="79" t="s">
        <v>390</v>
      </c>
      <c r="D75" s="140">
        <f>'дод 2'!E111</f>
        <v>0</v>
      </c>
      <c r="E75" s="140">
        <f>'дод 2'!F111</f>
        <v>0</v>
      </c>
      <c r="F75" s="140">
        <f>'дод 2'!G111</f>
        <v>0</v>
      </c>
      <c r="G75" s="140">
        <f>'дод 2'!H111</f>
        <v>0</v>
      </c>
      <c r="H75" s="140">
        <f>'дод 2'!I111</f>
        <v>0</v>
      </c>
      <c r="I75" s="140">
        <f>'дод 2'!J111</f>
        <v>0</v>
      </c>
      <c r="J75" s="140">
        <f>'дод 2'!K111</f>
        <v>0</v>
      </c>
      <c r="K75" s="140">
        <f>'дод 2'!L111</f>
        <v>0</v>
      </c>
      <c r="L75" s="140">
        <f>'дод 2'!M111</f>
        <v>0</v>
      </c>
      <c r="M75" s="140">
        <f>'дод 2'!N111</f>
        <v>0</v>
      </c>
      <c r="N75" s="140">
        <f>'дод 2'!O111</f>
        <v>0</v>
      </c>
      <c r="O75" s="140">
        <f>'дод 2'!P111</f>
        <v>0</v>
      </c>
    </row>
    <row r="76" spans="1:15" s="51" customFormat="1" ht="78.75" hidden="1" customHeight="1" x14ac:dyDescent="0.25">
      <c r="A76" s="56" t="s">
        <v>535</v>
      </c>
      <c r="B76" s="56" t="s">
        <v>57</v>
      </c>
      <c r="C76" s="57" t="s">
        <v>565</v>
      </c>
      <c r="D76" s="160">
        <f>'дод 2'!E112</f>
        <v>0</v>
      </c>
      <c r="E76" s="160">
        <f>'дод 2'!F112</f>
        <v>0</v>
      </c>
      <c r="F76" s="160">
        <f>'дод 2'!G112</f>
        <v>0</v>
      </c>
      <c r="G76" s="160">
        <f>'дод 2'!H112</f>
        <v>0</v>
      </c>
      <c r="H76" s="160">
        <f>'дод 2'!I112</f>
        <v>0</v>
      </c>
      <c r="I76" s="160">
        <f>'дод 2'!J112</f>
        <v>0</v>
      </c>
      <c r="J76" s="160">
        <f>'дод 2'!K112</f>
        <v>0</v>
      </c>
      <c r="K76" s="160">
        <f>'дод 2'!L112</f>
        <v>0</v>
      </c>
      <c r="L76" s="160">
        <f>'дод 2'!M112</f>
        <v>0</v>
      </c>
      <c r="M76" s="160">
        <f>'дод 2'!N112</f>
        <v>0</v>
      </c>
      <c r="N76" s="160">
        <f>'дод 2'!O112</f>
        <v>0</v>
      </c>
      <c r="O76" s="160">
        <f>'дод 2'!P112</f>
        <v>0</v>
      </c>
    </row>
    <row r="77" spans="1:15" s="51" customFormat="1" ht="68.25" hidden="1" customHeight="1" x14ac:dyDescent="0.25">
      <c r="A77" s="76"/>
      <c r="B77" s="76"/>
      <c r="C77" s="79" t="s">
        <v>536</v>
      </c>
      <c r="D77" s="161">
        <f>'дод 2'!E113</f>
        <v>0</v>
      </c>
      <c r="E77" s="161">
        <f>'дод 2'!F113</f>
        <v>0</v>
      </c>
      <c r="F77" s="161">
        <f>'дод 2'!G113</f>
        <v>0</v>
      </c>
      <c r="G77" s="161">
        <f>'дод 2'!H113</f>
        <v>0</v>
      </c>
      <c r="H77" s="161">
        <f>'дод 2'!I113</f>
        <v>0</v>
      </c>
      <c r="I77" s="161">
        <f>'дод 2'!J113</f>
        <v>0</v>
      </c>
      <c r="J77" s="161">
        <f>'дод 2'!K113</f>
        <v>0</v>
      </c>
      <c r="K77" s="161">
        <f>'дод 2'!L113</f>
        <v>0</v>
      </c>
      <c r="L77" s="161">
        <f>'дод 2'!M113</f>
        <v>0</v>
      </c>
      <c r="M77" s="161">
        <f>'дод 2'!N113</f>
        <v>0</v>
      </c>
      <c r="N77" s="161">
        <f>'дод 2'!O113</f>
        <v>0</v>
      </c>
      <c r="O77" s="161">
        <f>'дод 2'!P113</f>
        <v>0</v>
      </c>
    </row>
    <row r="78" spans="1:15" s="51" customFormat="1" ht="63" hidden="1" customHeight="1" x14ac:dyDescent="0.25">
      <c r="A78" s="56" t="s">
        <v>475</v>
      </c>
      <c r="B78" s="56" t="s">
        <v>57</v>
      </c>
      <c r="C78" s="85" t="s">
        <v>494</v>
      </c>
      <c r="D78" s="160">
        <f>'дод 2'!E114</f>
        <v>0</v>
      </c>
      <c r="E78" s="160">
        <f>'дод 2'!F114</f>
        <v>0</v>
      </c>
      <c r="F78" s="160">
        <f>'дод 2'!G114</f>
        <v>0</v>
      </c>
      <c r="G78" s="160">
        <f>'дод 2'!H114</f>
        <v>0</v>
      </c>
      <c r="H78" s="160">
        <f>'дод 2'!I114</f>
        <v>0</v>
      </c>
      <c r="I78" s="160">
        <f>'дод 2'!J114</f>
        <v>0</v>
      </c>
      <c r="J78" s="160">
        <f>'дод 2'!K114</f>
        <v>0</v>
      </c>
      <c r="K78" s="160">
        <f>'дод 2'!L114</f>
        <v>0</v>
      </c>
      <c r="L78" s="160">
        <f>'дод 2'!M114</f>
        <v>0</v>
      </c>
      <c r="M78" s="160">
        <f>'дод 2'!N114</f>
        <v>0</v>
      </c>
      <c r="N78" s="160">
        <f>'дод 2'!O114</f>
        <v>0</v>
      </c>
      <c r="O78" s="160">
        <f>'дод 2'!P114</f>
        <v>0</v>
      </c>
    </row>
    <row r="79" spans="1:15" s="51" customFormat="1" ht="65.25" hidden="1" customHeight="1" x14ac:dyDescent="0.25">
      <c r="A79" s="56"/>
      <c r="B79" s="56"/>
      <c r="C79" s="79" t="s">
        <v>378</v>
      </c>
      <c r="D79" s="161">
        <f>'дод 2'!E115</f>
        <v>0</v>
      </c>
      <c r="E79" s="161">
        <f>'дод 2'!F115</f>
        <v>0</v>
      </c>
      <c r="F79" s="161">
        <f>'дод 2'!G115</f>
        <v>0</v>
      </c>
      <c r="G79" s="161">
        <f>'дод 2'!H115</f>
        <v>0</v>
      </c>
      <c r="H79" s="161">
        <f>'дод 2'!I115</f>
        <v>0</v>
      </c>
      <c r="I79" s="161">
        <f>'дод 2'!J115</f>
        <v>0</v>
      </c>
      <c r="J79" s="161">
        <f>'дод 2'!K115</f>
        <v>0</v>
      </c>
      <c r="K79" s="161">
        <f>'дод 2'!L115</f>
        <v>0</v>
      </c>
      <c r="L79" s="161">
        <f>'дод 2'!M115</f>
        <v>0</v>
      </c>
      <c r="M79" s="161">
        <f>'дод 2'!N115</f>
        <v>0</v>
      </c>
      <c r="N79" s="161">
        <f>'дод 2'!O115</f>
        <v>0</v>
      </c>
      <c r="O79" s="161">
        <f>'дод 2'!P115</f>
        <v>0</v>
      </c>
    </row>
    <row r="80" spans="1:15" s="51" customFormat="1" ht="63" hidden="1" customHeight="1" x14ac:dyDescent="0.25">
      <c r="A80" s="56" t="s">
        <v>505</v>
      </c>
      <c r="B80" s="56" t="s">
        <v>57</v>
      </c>
      <c r="C80" s="36" t="s">
        <v>503</v>
      </c>
      <c r="D80" s="160">
        <f>'дод 2'!E116</f>
        <v>0</v>
      </c>
      <c r="E80" s="160">
        <f>'дод 2'!F116</f>
        <v>0</v>
      </c>
      <c r="F80" s="160">
        <f>'дод 2'!G116</f>
        <v>0</v>
      </c>
      <c r="G80" s="160">
        <f>'дод 2'!H116</f>
        <v>0</v>
      </c>
      <c r="H80" s="160">
        <f>'дод 2'!I116</f>
        <v>0</v>
      </c>
      <c r="I80" s="160">
        <f>'дод 2'!J116</f>
        <v>0</v>
      </c>
      <c r="J80" s="160">
        <f>'дод 2'!K116</f>
        <v>0</v>
      </c>
      <c r="K80" s="160">
        <f>'дод 2'!L116</f>
        <v>0</v>
      </c>
      <c r="L80" s="160">
        <f>'дод 2'!M116</f>
        <v>0</v>
      </c>
      <c r="M80" s="160">
        <f>'дод 2'!N116</f>
        <v>0</v>
      </c>
      <c r="N80" s="160">
        <f>'дод 2'!O116</f>
        <v>0</v>
      </c>
      <c r="O80" s="160">
        <f>'дод 2'!P116</f>
        <v>0</v>
      </c>
    </row>
    <row r="81" spans="1:15" s="51" customFormat="1" ht="63" hidden="1" customHeight="1" x14ac:dyDescent="0.25">
      <c r="A81" s="56"/>
      <c r="B81" s="56"/>
      <c r="C81" s="79" t="s">
        <v>504</v>
      </c>
      <c r="D81" s="161">
        <f>'дод 2'!E117</f>
        <v>0</v>
      </c>
      <c r="E81" s="161">
        <f>'дод 2'!F117</f>
        <v>0</v>
      </c>
      <c r="F81" s="161">
        <f>'дод 2'!G117</f>
        <v>0</v>
      </c>
      <c r="G81" s="161">
        <f>'дод 2'!H117</f>
        <v>0</v>
      </c>
      <c r="H81" s="161">
        <f>'дод 2'!I117</f>
        <v>0</v>
      </c>
      <c r="I81" s="161">
        <f>'дод 2'!J117</f>
        <v>0</v>
      </c>
      <c r="J81" s="161">
        <f>'дод 2'!K117</f>
        <v>0</v>
      </c>
      <c r="K81" s="161">
        <f>'дод 2'!L117</f>
        <v>0</v>
      </c>
      <c r="L81" s="161">
        <f>'дод 2'!M117</f>
        <v>0</v>
      </c>
      <c r="M81" s="161">
        <f>'дод 2'!N117</f>
        <v>0</v>
      </c>
      <c r="N81" s="161">
        <f>'дод 2'!O117</f>
        <v>0</v>
      </c>
      <c r="O81" s="161">
        <f>'дод 2'!P117</f>
        <v>0</v>
      </c>
    </row>
    <row r="82" spans="1:15" s="49" customFormat="1" ht="19.5" customHeight="1" x14ac:dyDescent="0.25">
      <c r="A82" s="38" t="s">
        <v>58</v>
      </c>
      <c r="B82" s="39"/>
      <c r="C82" s="9" t="s">
        <v>590</v>
      </c>
      <c r="D82" s="47">
        <f>D87+D92+D95+D97+D99+D102+D103+D91+D94</f>
        <v>100901000</v>
      </c>
      <c r="E82" s="47">
        <f t="shared" ref="E82:O82" si="12">E87+E92+E95+E97+E99+E102+E103+E91+E94</f>
        <v>100901000</v>
      </c>
      <c r="F82" s="47">
        <f t="shared" si="12"/>
        <v>2645800</v>
      </c>
      <c r="G82" s="47">
        <f t="shared" si="12"/>
        <v>158000</v>
      </c>
      <c r="H82" s="47">
        <f t="shared" si="12"/>
        <v>0</v>
      </c>
      <c r="I82" s="47">
        <f t="shared" si="12"/>
        <v>85730000</v>
      </c>
      <c r="J82" s="47">
        <f t="shared" si="12"/>
        <v>85730000</v>
      </c>
      <c r="K82" s="47">
        <f t="shared" si="12"/>
        <v>0</v>
      </c>
      <c r="L82" s="47">
        <f t="shared" si="12"/>
        <v>0</v>
      </c>
      <c r="M82" s="47">
        <f t="shared" si="12"/>
        <v>0</v>
      </c>
      <c r="N82" s="47">
        <f t="shared" si="12"/>
        <v>85730000</v>
      </c>
      <c r="O82" s="47">
        <f t="shared" si="12"/>
        <v>186631000</v>
      </c>
    </row>
    <row r="83" spans="1:15" s="50" customFormat="1" ht="31.5" hidden="1" customHeight="1" x14ac:dyDescent="0.25">
      <c r="A83" s="65"/>
      <c r="B83" s="68"/>
      <c r="C83" s="69" t="s">
        <v>385</v>
      </c>
      <c r="D83" s="162">
        <f>D88+D93+D96</f>
        <v>0</v>
      </c>
      <c r="E83" s="162">
        <f t="shared" ref="E83:O83" si="13">E88+E93+E96</f>
        <v>0</v>
      </c>
      <c r="F83" s="162">
        <f t="shared" si="13"/>
        <v>0</v>
      </c>
      <c r="G83" s="162">
        <f t="shared" si="13"/>
        <v>0</v>
      </c>
      <c r="H83" s="162">
        <f t="shared" si="13"/>
        <v>0</v>
      </c>
      <c r="I83" s="162">
        <f t="shared" si="13"/>
        <v>0</v>
      </c>
      <c r="J83" s="162">
        <f t="shared" si="13"/>
        <v>0</v>
      </c>
      <c r="K83" s="162">
        <f t="shared" si="13"/>
        <v>0</v>
      </c>
      <c r="L83" s="162">
        <f t="shared" si="13"/>
        <v>0</v>
      </c>
      <c r="M83" s="162">
        <f t="shared" si="13"/>
        <v>0</v>
      </c>
      <c r="N83" s="162">
        <f t="shared" si="13"/>
        <v>0</v>
      </c>
      <c r="O83" s="162">
        <f t="shared" si="13"/>
        <v>0</v>
      </c>
    </row>
    <row r="84" spans="1:15" s="50" customFormat="1" ht="47.25" hidden="1" customHeight="1" x14ac:dyDescent="0.25">
      <c r="A84" s="65"/>
      <c r="B84" s="68"/>
      <c r="C84" s="69" t="s">
        <v>386</v>
      </c>
      <c r="D84" s="162">
        <f>D89+D100</f>
        <v>0</v>
      </c>
      <c r="E84" s="162">
        <f t="shared" ref="E84:O84" si="14">E89+E100</f>
        <v>0</v>
      </c>
      <c r="F84" s="162">
        <f t="shared" si="14"/>
        <v>0</v>
      </c>
      <c r="G84" s="162">
        <f t="shared" si="14"/>
        <v>0</v>
      </c>
      <c r="H84" s="162">
        <f t="shared" si="14"/>
        <v>0</v>
      </c>
      <c r="I84" s="162">
        <f t="shared" si="14"/>
        <v>0</v>
      </c>
      <c r="J84" s="162">
        <f t="shared" si="14"/>
        <v>0</v>
      </c>
      <c r="K84" s="162">
        <f t="shared" si="14"/>
        <v>0</v>
      </c>
      <c r="L84" s="162">
        <f t="shared" si="14"/>
        <v>0</v>
      </c>
      <c r="M84" s="162">
        <f t="shared" si="14"/>
        <v>0</v>
      </c>
      <c r="N84" s="162">
        <f t="shared" si="14"/>
        <v>0</v>
      </c>
      <c r="O84" s="162">
        <f t="shared" si="14"/>
        <v>0</v>
      </c>
    </row>
    <row r="85" spans="1:15" s="50" customFormat="1" ht="66.75" hidden="1" customHeight="1" x14ac:dyDescent="0.25">
      <c r="A85" s="65"/>
      <c r="B85" s="68"/>
      <c r="C85" s="69" t="s">
        <v>387</v>
      </c>
      <c r="D85" s="162">
        <f>D98+D101</f>
        <v>0</v>
      </c>
      <c r="E85" s="162">
        <f t="shared" ref="E85:O85" si="15">E98+E101</f>
        <v>0</v>
      </c>
      <c r="F85" s="162">
        <f t="shared" si="15"/>
        <v>0</v>
      </c>
      <c r="G85" s="162">
        <f t="shared" si="15"/>
        <v>0</v>
      </c>
      <c r="H85" s="162">
        <f t="shared" si="15"/>
        <v>0</v>
      </c>
      <c r="I85" s="162">
        <f t="shared" si="15"/>
        <v>0</v>
      </c>
      <c r="J85" s="162">
        <f t="shared" si="15"/>
        <v>0</v>
      </c>
      <c r="K85" s="162">
        <f t="shared" si="15"/>
        <v>0</v>
      </c>
      <c r="L85" s="162">
        <f t="shared" si="15"/>
        <v>0</v>
      </c>
      <c r="M85" s="162">
        <f t="shared" si="15"/>
        <v>0</v>
      </c>
      <c r="N85" s="162">
        <f t="shared" si="15"/>
        <v>0</v>
      </c>
      <c r="O85" s="162">
        <f t="shared" si="15"/>
        <v>0</v>
      </c>
    </row>
    <row r="86" spans="1:15" s="50" customFormat="1" ht="15.75" hidden="1" customHeight="1" x14ac:dyDescent="0.25">
      <c r="A86" s="65"/>
      <c r="B86" s="68"/>
      <c r="C86" s="69" t="s">
        <v>388</v>
      </c>
      <c r="D86" s="162">
        <f>D90</f>
        <v>0</v>
      </c>
      <c r="E86" s="162">
        <f t="shared" ref="E86:O86" si="16">E90</f>
        <v>0</v>
      </c>
      <c r="F86" s="162">
        <f t="shared" si="16"/>
        <v>0</v>
      </c>
      <c r="G86" s="162">
        <f t="shared" si="16"/>
        <v>0</v>
      </c>
      <c r="H86" s="162">
        <f t="shared" si="16"/>
        <v>0</v>
      </c>
      <c r="I86" s="162">
        <f t="shared" si="16"/>
        <v>0</v>
      </c>
      <c r="J86" s="162">
        <f t="shared" si="16"/>
        <v>0</v>
      </c>
      <c r="K86" s="162">
        <f t="shared" si="16"/>
        <v>0</v>
      </c>
      <c r="L86" s="162">
        <f t="shared" si="16"/>
        <v>0</v>
      </c>
      <c r="M86" s="162">
        <f t="shared" si="16"/>
        <v>0</v>
      </c>
      <c r="N86" s="162">
        <f t="shared" si="16"/>
        <v>0</v>
      </c>
      <c r="O86" s="162">
        <f t="shared" si="16"/>
        <v>0</v>
      </c>
    </row>
    <row r="87" spans="1:15" ht="33" customHeight="1" x14ac:dyDescent="0.25">
      <c r="A87" s="37" t="s">
        <v>59</v>
      </c>
      <c r="B87" s="37" t="s">
        <v>60</v>
      </c>
      <c r="C87" s="6" t="s">
        <v>589</v>
      </c>
      <c r="D87" s="160">
        <f>'дод 2'!E143+'дод 2'!E290</f>
        <v>52837500</v>
      </c>
      <c r="E87" s="160">
        <f>'дод 2'!F143+'дод 2'!F290</f>
        <v>52837500</v>
      </c>
      <c r="F87" s="160">
        <f>'дод 2'!G143+'дод 2'!G290</f>
        <v>0</v>
      </c>
      <c r="G87" s="160">
        <f>'дод 2'!H143+'дод 2'!H290</f>
        <v>0</v>
      </c>
      <c r="H87" s="160">
        <f>'дод 2'!I143+'дод 2'!I290</f>
        <v>0</v>
      </c>
      <c r="I87" s="160">
        <f>'дод 2'!J143+'дод 2'!J290</f>
        <v>5000000</v>
      </c>
      <c r="J87" s="160">
        <f>'дод 2'!K143+'дод 2'!K290</f>
        <v>5000000</v>
      </c>
      <c r="K87" s="160">
        <f>'дод 2'!L143+'дод 2'!L290</f>
        <v>0</v>
      </c>
      <c r="L87" s="160">
        <f>'дод 2'!M143+'дод 2'!M290</f>
        <v>0</v>
      </c>
      <c r="M87" s="160">
        <f>'дод 2'!N143+'дод 2'!N290</f>
        <v>0</v>
      </c>
      <c r="N87" s="160">
        <f>'дод 2'!O143+'дод 2'!O290</f>
        <v>5000000</v>
      </c>
      <c r="O87" s="160">
        <f>'дод 2'!P143+'дод 2'!P290</f>
        <v>57837500</v>
      </c>
    </row>
    <row r="88" spans="1:15" s="51" customFormat="1" ht="31.5" hidden="1" customHeight="1" x14ac:dyDescent="0.25">
      <c r="A88" s="71"/>
      <c r="B88" s="71"/>
      <c r="C88" s="72" t="s">
        <v>385</v>
      </c>
      <c r="D88" s="161">
        <f>'дод 2'!E144</f>
        <v>0</v>
      </c>
      <c r="E88" s="161">
        <f>'дод 2'!F144</f>
        <v>0</v>
      </c>
      <c r="F88" s="161">
        <f>'дод 2'!G144</f>
        <v>0</v>
      </c>
      <c r="G88" s="161">
        <f>'дод 2'!H144</f>
        <v>0</v>
      </c>
      <c r="H88" s="161">
        <f>'дод 2'!I144</f>
        <v>0</v>
      </c>
      <c r="I88" s="161">
        <f>'дод 2'!J144</f>
        <v>0</v>
      </c>
      <c r="J88" s="161">
        <f>'дод 2'!K144</f>
        <v>0</v>
      </c>
      <c r="K88" s="161">
        <f>'дод 2'!L144</f>
        <v>0</v>
      </c>
      <c r="L88" s="161">
        <f>'дод 2'!M144</f>
        <v>0</v>
      </c>
      <c r="M88" s="161">
        <f>'дод 2'!N144</f>
        <v>0</v>
      </c>
      <c r="N88" s="161">
        <f>'дод 2'!O144</f>
        <v>0</v>
      </c>
      <c r="O88" s="161">
        <f>'дод 2'!P144</f>
        <v>0</v>
      </c>
    </row>
    <row r="89" spans="1:15" s="51" customFormat="1" ht="47.25" hidden="1" customHeight="1" x14ac:dyDescent="0.25">
      <c r="A89" s="71"/>
      <c r="B89" s="71"/>
      <c r="C89" s="72" t="s">
        <v>386</v>
      </c>
      <c r="D89" s="161">
        <f>'дод 2'!E145</f>
        <v>0</v>
      </c>
      <c r="E89" s="161">
        <f>'дод 2'!F145</f>
        <v>0</v>
      </c>
      <c r="F89" s="161">
        <f>'дод 2'!G145</f>
        <v>0</v>
      </c>
      <c r="G89" s="161">
        <f>'дод 2'!H145</f>
        <v>0</v>
      </c>
      <c r="H89" s="161">
        <f>'дод 2'!I145</f>
        <v>0</v>
      </c>
      <c r="I89" s="161">
        <f>'дод 2'!J145</f>
        <v>0</v>
      </c>
      <c r="J89" s="161">
        <f>'дод 2'!K145</f>
        <v>0</v>
      </c>
      <c r="K89" s="161">
        <f>'дод 2'!L145</f>
        <v>0</v>
      </c>
      <c r="L89" s="161">
        <f>'дод 2'!M145</f>
        <v>0</v>
      </c>
      <c r="M89" s="161">
        <f>'дод 2'!N145</f>
        <v>0</v>
      </c>
      <c r="N89" s="161">
        <f>'дод 2'!O145</f>
        <v>0</v>
      </c>
      <c r="O89" s="161">
        <f>'дод 2'!P145</f>
        <v>0</v>
      </c>
    </row>
    <row r="90" spans="1:15" s="51" customFormat="1" ht="15.75" hidden="1" customHeight="1" x14ac:dyDescent="0.25">
      <c r="A90" s="71"/>
      <c r="B90" s="71"/>
      <c r="C90" s="72" t="s">
        <v>388</v>
      </c>
      <c r="D90" s="161">
        <f>'дод 2'!E146</f>
        <v>0</v>
      </c>
      <c r="E90" s="161">
        <f>'дод 2'!F146</f>
        <v>0</v>
      </c>
      <c r="F90" s="161">
        <f>'дод 2'!G146</f>
        <v>0</v>
      </c>
      <c r="G90" s="161">
        <f>'дод 2'!H146</f>
        <v>0</v>
      </c>
      <c r="H90" s="161">
        <f>'дод 2'!I146</f>
        <v>0</v>
      </c>
      <c r="I90" s="161">
        <f>'дод 2'!J146</f>
        <v>0</v>
      </c>
      <c r="J90" s="161">
        <f>'дод 2'!K146</f>
        <v>0</v>
      </c>
      <c r="K90" s="161">
        <f>'дод 2'!L146</f>
        <v>0</v>
      </c>
      <c r="L90" s="161">
        <f>'дод 2'!M146</f>
        <v>0</v>
      </c>
      <c r="M90" s="161">
        <f>'дод 2'!N146</f>
        <v>0</v>
      </c>
      <c r="N90" s="161">
        <f>'дод 2'!O146</f>
        <v>0</v>
      </c>
      <c r="O90" s="161">
        <f>'дод 2'!P146</f>
        <v>0</v>
      </c>
    </row>
    <row r="91" spans="1:15" ht="31.5" hidden="1" customHeight="1" x14ac:dyDescent="0.25">
      <c r="A91" s="37">
        <v>2020</v>
      </c>
      <c r="B91" s="55" t="s">
        <v>437</v>
      </c>
      <c r="C91" s="6" t="s">
        <v>438</v>
      </c>
      <c r="D91" s="160">
        <f>'дод 2'!E147</f>
        <v>0</v>
      </c>
      <c r="E91" s="160">
        <f>'дод 2'!F147</f>
        <v>0</v>
      </c>
      <c r="F91" s="160">
        <f>'дод 2'!G147</f>
        <v>0</v>
      </c>
      <c r="G91" s="160">
        <f>'дод 2'!H147</f>
        <v>0</v>
      </c>
      <c r="H91" s="160">
        <f>'дод 2'!I147</f>
        <v>0</v>
      </c>
      <c r="I91" s="160">
        <f>'дод 2'!J147</f>
        <v>0</v>
      </c>
      <c r="J91" s="160">
        <f>'дод 2'!K147</f>
        <v>0</v>
      </c>
      <c r="K91" s="160">
        <f>'дод 2'!L147</f>
        <v>0</v>
      </c>
      <c r="L91" s="160">
        <f>'дод 2'!M147</f>
        <v>0</v>
      </c>
      <c r="M91" s="160">
        <f>'дод 2'!N147</f>
        <v>0</v>
      </c>
      <c r="N91" s="160">
        <f>'дод 2'!O147</f>
        <v>0</v>
      </c>
      <c r="O91" s="160">
        <f>'дод 2'!P147</f>
        <v>0</v>
      </c>
    </row>
    <row r="92" spans="1:15" ht="36.75" customHeight="1" x14ac:dyDescent="0.25">
      <c r="A92" s="37" t="s">
        <v>118</v>
      </c>
      <c r="B92" s="37" t="s">
        <v>61</v>
      </c>
      <c r="C92" s="6" t="s">
        <v>451</v>
      </c>
      <c r="D92" s="160">
        <f>'дод 2'!E148</f>
        <v>5125600</v>
      </c>
      <c r="E92" s="160">
        <f>'дод 2'!F148</f>
        <v>5125600</v>
      </c>
      <c r="F92" s="160">
        <f>'дод 2'!G148</f>
        <v>0</v>
      </c>
      <c r="G92" s="160">
        <f>'дод 2'!H148</f>
        <v>0</v>
      </c>
      <c r="H92" s="160">
        <f>'дод 2'!I148</f>
        <v>0</v>
      </c>
      <c r="I92" s="160">
        <f>'дод 2'!J148</f>
        <v>0</v>
      </c>
      <c r="J92" s="160">
        <f>'дод 2'!K148</f>
        <v>0</v>
      </c>
      <c r="K92" s="160">
        <f>'дод 2'!L148</f>
        <v>0</v>
      </c>
      <c r="L92" s="160">
        <f>'дод 2'!M148</f>
        <v>0</v>
      </c>
      <c r="M92" s="160">
        <f>'дод 2'!N148</f>
        <v>0</v>
      </c>
      <c r="N92" s="160">
        <f>'дод 2'!O148</f>
        <v>0</v>
      </c>
      <c r="O92" s="160">
        <f>'дод 2'!P148</f>
        <v>5125600</v>
      </c>
    </row>
    <row r="93" spans="1:15" s="51" customFormat="1" ht="31.5" hidden="1" customHeight="1" x14ac:dyDescent="0.25">
      <c r="A93" s="71"/>
      <c r="B93" s="71"/>
      <c r="C93" s="72" t="s">
        <v>385</v>
      </c>
      <c r="D93" s="161">
        <f>'дод 2'!E149</f>
        <v>0</v>
      </c>
      <c r="E93" s="161">
        <f>'дод 2'!F149</f>
        <v>0</v>
      </c>
      <c r="F93" s="161">
        <f>'дод 2'!G149</f>
        <v>0</v>
      </c>
      <c r="G93" s="161">
        <f>'дод 2'!H149</f>
        <v>0</v>
      </c>
      <c r="H93" s="161">
        <f>'дод 2'!I149</f>
        <v>0</v>
      </c>
      <c r="I93" s="161">
        <f>'дод 2'!J149</f>
        <v>0</v>
      </c>
      <c r="J93" s="161">
        <f>'дод 2'!K149</f>
        <v>0</v>
      </c>
      <c r="K93" s="161">
        <f>'дод 2'!L149</f>
        <v>0</v>
      </c>
      <c r="L93" s="161">
        <f>'дод 2'!M149</f>
        <v>0</v>
      </c>
      <c r="M93" s="161">
        <f>'дод 2'!N149</f>
        <v>0</v>
      </c>
      <c r="N93" s="161">
        <f>'дод 2'!O149</f>
        <v>0</v>
      </c>
      <c r="O93" s="161">
        <f>'дод 2'!P149</f>
        <v>0</v>
      </c>
    </row>
    <row r="94" spans="1:15" ht="36.75" customHeight="1" x14ac:dyDescent="0.25">
      <c r="A94" s="37">
        <v>2070</v>
      </c>
      <c r="B94" s="37" t="s">
        <v>624</v>
      </c>
      <c r="C94" s="6" t="s">
        <v>625</v>
      </c>
      <c r="D94" s="160"/>
      <c r="E94" s="160"/>
      <c r="F94" s="160"/>
      <c r="G94" s="160"/>
      <c r="H94" s="160"/>
      <c r="I94" s="160">
        <v>400000</v>
      </c>
      <c r="J94" s="160">
        <v>400000</v>
      </c>
      <c r="K94" s="160"/>
      <c r="L94" s="160"/>
      <c r="M94" s="160"/>
      <c r="N94" s="160">
        <v>400000</v>
      </c>
      <c r="O94" s="160">
        <v>400000</v>
      </c>
    </row>
    <row r="95" spans="1:15" ht="19.5" customHeight="1" x14ac:dyDescent="0.25">
      <c r="A95" s="37" t="s">
        <v>119</v>
      </c>
      <c r="B95" s="37" t="s">
        <v>62</v>
      </c>
      <c r="C95" s="6" t="s">
        <v>452</v>
      </c>
      <c r="D95" s="160">
        <f>'дод 2'!E151</f>
        <v>12388700</v>
      </c>
      <c r="E95" s="160">
        <f>'дод 2'!F151</f>
        <v>12388700</v>
      </c>
      <c r="F95" s="160">
        <f>'дод 2'!G151</f>
        <v>0</v>
      </c>
      <c r="G95" s="160">
        <f>'дод 2'!H151</f>
        <v>0</v>
      </c>
      <c r="H95" s="160">
        <f>'дод 2'!I151</f>
        <v>0</v>
      </c>
      <c r="I95" s="160">
        <f>'дод 2'!J151</f>
        <v>0</v>
      </c>
      <c r="J95" s="160">
        <f>'дод 2'!K151</f>
        <v>0</v>
      </c>
      <c r="K95" s="160">
        <f>'дод 2'!L151</f>
        <v>0</v>
      </c>
      <c r="L95" s="160">
        <f>'дод 2'!M151</f>
        <v>0</v>
      </c>
      <c r="M95" s="160">
        <f>'дод 2'!N151</f>
        <v>0</v>
      </c>
      <c r="N95" s="160">
        <f>'дод 2'!O151</f>
        <v>0</v>
      </c>
      <c r="O95" s="160">
        <f>'дод 2'!P151</f>
        <v>12388700</v>
      </c>
    </row>
    <row r="96" spans="1:15" s="51" customFormat="1" ht="31.5" hidden="1" customHeight="1" x14ac:dyDescent="0.25">
      <c r="A96" s="71"/>
      <c r="B96" s="71"/>
      <c r="C96" s="72" t="s">
        <v>385</v>
      </c>
      <c r="D96" s="161">
        <f>'дод 2'!E152</f>
        <v>0</v>
      </c>
      <c r="E96" s="161">
        <f>'дод 2'!F152</f>
        <v>0</v>
      </c>
      <c r="F96" s="161">
        <f>'дод 2'!G152</f>
        <v>0</v>
      </c>
      <c r="G96" s="161">
        <f>'дод 2'!H152</f>
        <v>0</v>
      </c>
      <c r="H96" s="161">
        <f>'дод 2'!I152</f>
        <v>0</v>
      </c>
      <c r="I96" s="161">
        <f>'дод 2'!J152</f>
        <v>0</v>
      </c>
      <c r="J96" s="161">
        <f>'дод 2'!K152</f>
        <v>0</v>
      </c>
      <c r="K96" s="161">
        <f>'дод 2'!L152</f>
        <v>0</v>
      </c>
      <c r="L96" s="161">
        <f>'дод 2'!M152</f>
        <v>0</v>
      </c>
      <c r="M96" s="161">
        <f>'дод 2'!N152</f>
        <v>0</v>
      </c>
      <c r="N96" s="161">
        <f>'дод 2'!O152</f>
        <v>0</v>
      </c>
      <c r="O96" s="161">
        <f>'дод 2'!P152</f>
        <v>0</v>
      </c>
    </row>
    <row r="97" spans="1:15" ht="48.75" customHeight="1" x14ac:dyDescent="0.25">
      <c r="A97" s="37" t="s">
        <v>120</v>
      </c>
      <c r="B97" s="37" t="s">
        <v>308</v>
      </c>
      <c r="C97" s="6" t="s">
        <v>453</v>
      </c>
      <c r="D97" s="160">
        <f>'дод 2'!E153</f>
        <v>5307100</v>
      </c>
      <c r="E97" s="160">
        <f>'дод 2'!F153</f>
        <v>5307100</v>
      </c>
      <c r="F97" s="160">
        <f>'дод 2'!G153</f>
        <v>0</v>
      </c>
      <c r="G97" s="160">
        <f>'дод 2'!H153</f>
        <v>0</v>
      </c>
      <c r="H97" s="160">
        <f>'дод 2'!I153</f>
        <v>0</v>
      </c>
      <c r="I97" s="160">
        <f>'дод 2'!J153</f>
        <v>0</v>
      </c>
      <c r="J97" s="160">
        <f>'дод 2'!K153</f>
        <v>0</v>
      </c>
      <c r="K97" s="160">
        <f>'дод 2'!L153</f>
        <v>0</v>
      </c>
      <c r="L97" s="160">
        <f>'дод 2'!M153</f>
        <v>0</v>
      </c>
      <c r="M97" s="160">
        <f>'дод 2'!N153</f>
        <v>0</v>
      </c>
      <c r="N97" s="160">
        <f>'дод 2'!O153</f>
        <v>0</v>
      </c>
      <c r="O97" s="160">
        <f>'дод 2'!P153</f>
        <v>5307100</v>
      </c>
    </row>
    <row r="98" spans="1:15" s="51" customFormat="1" ht="47.25" hidden="1" customHeight="1" x14ac:dyDescent="0.25">
      <c r="A98" s="71"/>
      <c r="B98" s="71"/>
      <c r="C98" s="73" t="s">
        <v>387</v>
      </c>
      <c r="D98" s="161">
        <f>'дод 2'!E154</f>
        <v>0</v>
      </c>
      <c r="E98" s="161">
        <f>'дод 2'!F154</f>
        <v>0</v>
      </c>
      <c r="F98" s="161">
        <f>'дод 2'!G154</f>
        <v>0</v>
      </c>
      <c r="G98" s="161">
        <f>'дод 2'!H154</f>
        <v>0</v>
      </c>
      <c r="H98" s="161">
        <f>'дод 2'!I154</f>
        <v>0</v>
      </c>
      <c r="I98" s="161">
        <f>'дод 2'!J154</f>
        <v>0</v>
      </c>
      <c r="J98" s="161">
        <f>'дод 2'!K154</f>
        <v>0</v>
      </c>
      <c r="K98" s="161">
        <f>'дод 2'!L154</f>
        <v>0</v>
      </c>
      <c r="L98" s="161">
        <f>'дод 2'!M154</f>
        <v>0</v>
      </c>
      <c r="M98" s="161">
        <f>'дод 2'!N154</f>
        <v>0</v>
      </c>
      <c r="N98" s="161">
        <f>'дод 2'!O154</f>
        <v>0</v>
      </c>
      <c r="O98" s="161">
        <f>'дод 2'!P154</f>
        <v>0</v>
      </c>
    </row>
    <row r="99" spans="1:15" ht="31.5" hidden="1" customHeight="1" x14ac:dyDescent="0.25">
      <c r="A99" s="40">
        <v>2144</v>
      </c>
      <c r="B99" s="37" t="s">
        <v>63</v>
      </c>
      <c r="C99" s="6" t="s">
        <v>398</v>
      </c>
      <c r="D99" s="160">
        <f>'дод 2'!E155</f>
        <v>0</v>
      </c>
      <c r="E99" s="160">
        <f>'дод 2'!F155</f>
        <v>0</v>
      </c>
      <c r="F99" s="160">
        <f>'дод 2'!G155</f>
        <v>0</v>
      </c>
      <c r="G99" s="160">
        <f>'дод 2'!H155</f>
        <v>0</v>
      </c>
      <c r="H99" s="160">
        <f>'дод 2'!I155</f>
        <v>0</v>
      </c>
      <c r="I99" s="160">
        <f>'дод 2'!J155</f>
        <v>0</v>
      </c>
      <c r="J99" s="160">
        <f>'дод 2'!K155</f>
        <v>0</v>
      </c>
      <c r="K99" s="160">
        <f>'дод 2'!L155</f>
        <v>0</v>
      </c>
      <c r="L99" s="160">
        <f>'дод 2'!M155</f>
        <v>0</v>
      </c>
      <c r="M99" s="160">
        <f>'дод 2'!N155</f>
        <v>0</v>
      </c>
      <c r="N99" s="160">
        <f>'дод 2'!O155</f>
        <v>0</v>
      </c>
      <c r="O99" s="160">
        <f>'дод 2'!P155</f>
        <v>0</v>
      </c>
    </row>
    <row r="100" spans="1:15" s="51" customFormat="1" ht="47.25" hidden="1" customHeight="1" x14ac:dyDescent="0.25">
      <c r="A100" s="74"/>
      <c r="B100" s="71"/>
      <c r="C100" s="72" t="s">
        <v>386</v>
      </c>
      <c r="D100" s="161">
        <f>'дод 2'!E156</f>
        <v>0</v>
      </c>
      <c r="E100" s="161">
        <f>'дод 2'!F156</f>
        <v>0</v>
      </c>
      <c r="F100" s="161">
        <f>'дод 2'!G156</f>
        <v>0</v>
      </c>
      <c r="G100" s="161">
        <f>'дод 2'!H156</f>
        <v>0</v>
      </c>
      <c r="H100" s="161">
        <f>'дод 2'!I156</f>
        <v>0</v>
      </c>
      <c r="I100" s="161">
        <f>'дод 2'!J156</f>
        <v>0</v>
      </c>
      <c r="J100" s="161">
        <f>'дод 2'!K156</f>
        <v>0</v>
      </c>
      <c r="K100" s="161">
        <f>'дод 2'!L156</f>
        <v>0</v>
      </c>
      <c r="L100" s="161">
        <f>'дод 2'!M156</f>
        <v>0</v>
      </c>
      <c r="M100" s="161">
        <f>'дод 2'!N156</f>
        <v>0</v>
      </c>
      <c r="N100" s="161">
        <f>'дод 2'!O156</f>
        <v>0</v>
      </c>
      <c r="O100" s="161">
        <f>'дод 2'!P156</f>
        <v>0</v>
      </c>
    </row>
    <row r="101" spans="1:15" s="51" customFormat="1" ht="63" hidden="1" customHeight="1" x14ac:dyDescent="0.25">
      <c r="A101" s="74"/>
      <c r="B101" s="71"/>
      <c r="C101" s="72" t="s">
        <v>387</v>
      </c>
      <c r="D101" s="161">
        <f>'дод 2'!E157</f>
        <v>0</v>
      </c>
      <c r="E101" s="161">
        <f>'дод 2'!F157</f>
        <v>0</v>
      </c>
      <c r="F101" s="161">
        <f>'дод 2'!G157</f>
        <v>0</v>
      </c>
      <c r="G101" s="161">
        <f>'дод 2'!H157</f>
        <v>0</v>
      </c>
      <c r="H101" s="161">
        <f>'дод 2'!I157</f>
        <v>0</v>
      </c>
      <c r="I101" s="161">
        <f>'дод 2'!J157</f>
        <v>0</v>
      </c>
      <c r="J101" s="161">
        <f>'дод 2'!K157</f>
        <v>0</v>
      </c>
      <c r="K101" s="161">
        <f>'дод 2'!L157</f>
        <v>0</v>
      </c>
      <c r="L101" s="161">
        <f>'дод 2'!M157</f>
        <v>0</v>
      </c>
      <c r="M101" s="161">
        <f>'дод 2'!N157</f>
        <v>0</v>
      </c>
      <c r="N101" s="161">
        <f>'дод 2'!O157</f>
        <v>0</v>
      </c>
      <c r="O101" s="161">
        <f>'дод 2'!P157</f>
        <v>0</v>
      </c>
    </row>
    <row r="102" spans="1:15" ht="33.75" customHeight="1" x14ac:dyDescent="0.25">
      <c r="A102" s="37" t="s">
        <v>279</v>
      </c>
      <c r="B102" s="37" t="s">
        <v>63</v>
      </c>
      <c r="C102" s="3" t="s">
        <v>595</v>
      </c>
      <c r="D102" s="160">
        <f>'дод 2'!E158</f>
        <v>3518500</v>
      </c>
      <c r="E102" s="160">
        <f>'дод 2'!F158</f>
        <v>3518500</v>
      </c>
      <c r="F102" s="160">
        <f>'дод 2'!G158</f>
        <v>2645800</v>
      </c>
      <c r="G102" s="160">
        <f>'дод 2'!H158</f>
        <v>158000</v>
      </c>
      <c r="H102" s="160">
        <f>'дод 2'!I158</f>
        <v>0</v>
      </c>
      <c r="I102" s="160">
        <f>'дод 2'!J158</f>
        <v>300000</v>
      </c>
      <c r="J102" s="160">
        <f>'дод 2'!K158</f>
        <v>300000</v>
      </c>
      <c r="K102" s="160">
        <f>'дод 2'!L158</f>
        <v>0</v>
      </c>
      <c r="L102" s="160">
        <f>'дод 2'!M158</f>
        <v>0</v>
      </c>
      <c r="M102" s="160">
        <f>'дод 2'!N158</f>
        <v>0</v>
      </c>
      <c r="N102" s="160">
        <f>'дод 2'!O158</f>
        <v>300000</v>
      </c>
      <c r="O102" s="160">
        <f>'дод 2'!P158</f>
        <v>3818500</v>
      </c>
    </row>
    <row r="103" spans="1:15" ht="21.75" customHeight="1" x14ac:dyDescent="0.25">
      <c r="A103" s="37" t="s">
        <v>280</v>
      </c>
      <c r="B103" s="37" t="s">
        <v>63</v>
      </c>
      <c r="C103" s="3" t="s">
        <v>596</v>
      </c>
      <c r="D103" s="160">
        <f>'дод 2'!E159</f>
        <v>21723600</v>
      </c>
      <c r="E103" s="160">
        <f>'дод 2'!F159</f>
        <v>21723600</v>
      </c>
      <c r="F103" s="160">
        <f>'дод 2'!G159</f>
        <v>0</v>
      </c>
      <c r="G103" s="160">
        <f>'дод 2'!H159</f>
        <v>0</v>
      </c>
      <c r="H103" s="160">
        <f>'дод 2'!I159</f>
        <v>0</v>
      </c>
      <c r="I103" s="160">
        <f>'дод 2'!J159</f>
        <v>80030000</v>
      </c>
      <c r="J103" s="160">
        <f>'дод 2'!K159</f>
        <v>80030000</v>
      </c>
      <c r="K103" s="160">
        <f>'дод 2'!L159</f>
        <v>0</v>
      </c>
      <c r="L103" s="160">
        <f>'дод 2'!M159</f>
        <v>0</v>
      </c>
      <c r="M103" s="160">
        <f>'дод 2'!N159</f>
        <v>0</v>
      </c>
      <c r="N103" s="160">
        <f>'дод 2'!O159</f>
        <v>80030000</v>
      </c>
      <c r="O103" s="160">
        <f>'дод 2'!P159</f>
        <v>101753600</v>
      </c>
    </row>
    <row r="104" spans="1:15" s="49" customFormat="1" ht="33" customHeight="1" x14ac:dyDescent="0.25">
      <c r="A104" s="38" t="s">
        <v>64</v>
      </c>
      <c r="B104" s="41"/>
      <c r="C104" s="2" t="s">
        <v>495</v>
      </c>
      <c r="D104" s="47">
        <f>D110+D111+D112+D114+D115+D116+D118+D120+D121+D122+D123+D124+D126+D127+D128+D130+D132+D133+D134+D135+D136+D137+D139+D143+D144+D125</f>
        <v>195875333</v>
      </c>
      <c r="E104" s="47">
        <f t="shared" ref="E104:O104" si="17">E110+E111+E112+E114+E115+E116+E118+E120+E121+E122+E123+E124+E126+E127+E128+E130+E132+E133+E134+E135+E136+E137+E139+E143+E144+E125</f>
        <v>195875333</v>
      </c>
      <c r="F104" s="47">
        <f t="shared" si="17"/>
        <v>24880000</v>
      </c>
      <c r="G104" s="47">
        <f t="shared" si="17"/>
        <v>2128300</v>
      </c>
      <c r="H104" s="47">
        <f t="shared" si="17"/>
        <v>0</v>
      </c>
      <c r="I104" s="47">
        <f t="shared" si="17"/>
        <v>2103200</v>
      </c>
      <c r="J104" s="47">
        <f t="shared" si="17"/>
        <v>1872000</v>
      </c>
      <c r="K104" s="47">
        <f t="shared" si="17"/>
        <v>201758</v>
      </c>
      <c r="L104" s="47">
        <f t="shared" si="17"/>
        <v>78600</v>
      </c>
      <c r="M104" s="47">
        <f t="shared" si="17"/>
        <v>45558</v>
      </c>
      <c r="N104" s="47">
        <f t="shared" si="17"/>
        <v>1901442</v>
      </c>
      <c r="O104" s="47">
        <f t="shared" si="17"/>
        <v>197978533</v>
      </c>
    </row>
    <row r="105" spans="1:15" s="50" customFormat="1" ht="262.5" hidden="1" customHeight="1" x14ac:dyDescent="0.25">
      <c r="A105" s="65"/>
      <c r="B105" s="66"/>
      <c r="C105" s="69" t="s">
        <v>434</v>
      </c>
      <c r="D105" s="162">
        <f>D138</f>
        <v>0</v>
      </c>
      <c r="E105" s="162">
        <f t="shared" ref="E105:O105" si="18">E138</f>
        <v>0</v>
      </c>
      <c r="F105" s="162">
        <f t="shared" si="18"/>
        <v>0</v>
      </c>
      <c r="G105" s="162">
        <f t="shared" si="18"/>
        <v>0</v>
      </c>
      <c r="H105" s="162">
        <f t="shared" si="18"/>
        <v>0</v>
      </c>
      <c r="I105" s="162">
        <f t="shared" si="18"/>
        <v>0</v>
      </c>
      <c r="J105" s="162">
        <f t="shared" si="18"/>
        <v>0</v>
      </c>
      <c r="K105" s="162">
        <f t="shared" si="18"/>
        <v>0</v>
      </c>
      <c r="L105" s="162">
        <f t="shared" si="18"/>
        <v>0</v>
      </c>
      <c r="M105" s="162">
        <f t="shared" si="18"/>
        <v>0</v>
      </c>
      <c r="N105" s="162">
        <f t="shared" si="18"/>
        <v>0</v>
      </c>
      <c r="O105" s="162">
        <f t="shared" si="18"/>
        <v>0</v>
      </c>
    </row>
    <row r="106" spans="1:15" s="50" customFormat="1" ht="231" hidden="1" customHeight="1" x14ac:dyDescent="0.25">
      <c r="A106" s="65"/>
      <c r="B106" s="66"/>
      <c r="C106" s="69" t="s">
        <v>433</v>
      </c>
      <c r="D106" s="162">
        <f>D142</f>
        <v>0</v>
      </c>
      <c r="E106" s="162">
        <f t="shared" ref="E106:O106" si="19">E142</f>
        <v>0</v>
      </c>
      <c r="F106" s="162">
        <f t="shared" si="19"/>
        <v>0</v>
      </c>
      <c r="G106" s="162">
        <f t="shared" si="19"/>
        <v>0</v>
      </c>
      <c r="H106" s="162">
        <f t="shared" si="19"/>
        <v>0</v>
      </c>
      <c r="I106" s="162">
        <f t="shared" si="19"/>
        <v>0</v>
      </c>
      <c r="J106" s="162">
        <f t="shared" si="19"/>
        <v>0</v>
      </c>
      <c r="K106" s="162">
        <f t="shared" si="19"/>
        <v>0</v>
      </c>
      <c r="L106" s="162">
        <f t="shared" si="19"/>
        <v>0</v>
      </c>
      <c r="M106" s="162">
        <f t="shared" si="19"/>
        <v>0</v>
      </c>
      <c r="N106" s="162">
        <f t="shared" si="19"/>
        <v>0</v>
      </c>
      <c r="O106" s="162">
        <f t="shared" si="19"/>
        <v>0</v>
      </c>
    </row>
    <row r="107" spans="1:15" s="50" customFormat="1" x14ac:dyDescent="0.25">
      <c r="A107" s="65"/>
      <c r="B107" s="66"/>
      <c r="C107" s="69" t="s">
        <v>390</v>
      </c>
      <c r="D107" s="162">
        <f>D113+D117+D119+D129+D131+D145</f>
        <v>1293200</v>
      </c>
      <c r="E107" s="162">
        <f t="shared" ref="E107:O107" si="20">E113+E117+E119+E129+E131+E145</f>
        <v>1293200</v>
      </c>
      <c r="F107" s="162">
        <f t="shared" si="20"/>
        <v>0</v>
      </c>
      <c r="G107" s="162">
        <f t="shared" si="20"/>
        <v>0</v>
      </c>
      <c r="H107" s="162">
        <f t="shared" si="20"/>
        <v>0</v>
      </c>
      <c r="I107" s="162">
        <f t="shared" si="20"/>
        <v>0</v>
      </c>
      <c r="J107" s="162">
        <f t="shared" si="20"/>
        <v>0</v>
      </c>
      <c r="K107" s="162">
        <f t="shared" si="20"/>
        <v>0</v>
      </c>
      <c r="L107" s="162">
        <f t="shared" si="20"/>
        <v>0</v>
      </c>
      <c r="M107" s="162">
        <f t="shared" si="20"/>
        <v>0</v>
      </c>
      <c r="N107" s="162">
        <f t="shared" si="20"/>
        <v>0</v>
      </c>
      <c r="O107" s="162">
        <f t="shared" si="20"/>
        <v>1293200</v>
      </c>
    </row>
    <row r="108" spans="1:15" s="50" customFormat="1" ht="291" hidden="1" customHeight="1" x14ac:dyDescent="0.25">
      <c r="A108" s="65"/>
      <c r="B108" s="66"/>
      <c r="C108" s="70" t="s">
        <v>549</v>
      </c>
      <c r="D108" s="162">
        <f>D138</f>
        <v>0</v>
      </c>
      <c r="E108" s="162">
        <f t="shared" ref="E108:O108" si="21">E138</f>
        <v>0</v>
      </c>
      <c r="F108" s="162">
        <f t="shared" si="21"/>
        <v>0</v>
      </c>
      <c r="G108" s="162">
        <f t="shared" si="21"/>
        <v>0</v>
      </c>
      <c r="H108" s="162">
        <f t="shared" si="21"/>
        <v>0</v>
      </c>
      <c r="I108" s="162">
        <f t="shared" si="21"/>
        <v>0</v>
      </c>
      <c r="J108" s="162">
        <f t="shared" si="21"/>
        <v>0</v>
      </c>
      <c r="K108" s="162">
        <f t="shared" si="21"/>
        <v>0</v>
      </c>
      <c r="L108" s="162">
        <f t="shared" si="21"/>
        <v>0</v>
      </c>
      <c r="M108" s="162">
        <f t="shared" si="21"/>
        <v>0</v>
      </c>
      <c r="N108" s="162">
        <f t="shared" si="21"/>
        <v>0</v>
      </c>
      <c r="O108" s="162">
        <f t="shared" si="21"/>
        <v>0</v>
      </c>
    </row>
    <row r="109" spans="1:15" s="50" customFormat="1" ht="350.25" hidden="1" customHeight="1" x14ac:dyDescent="0.25">
      <c r="A109" s="65"/>
      <c r="B109" s="66"/>
      <c r="C109" s="70" t="s">
        <v>566</v>
      </c>
      <c r="D109" s="162">
        <f>D140</f>
        <v>0</v>
      </c>
      <c r="E109" s="162">
        <f t="shared" ref="E109:O109" si="22">E140</f>
        <v>0</v>
      </c>
      <c r="F109" s="162">
        <f t="shared" si="22"/>
        <v>0</v>
      </c>
      <c r="G109" s="162">
        <f t="shared" si="22"/>
        <v>0</v>
      </c>
      <c r="H109" s="162">
        <f t="shared" si="22"/>
        <v>0</v>
      </c>
      <c r="I109" s="162">
        <f t="shared" si="22"/>
        <v>0</v>
      </c>
      <c r="J109" s="162">
        <f t="shared" si="22"/>
        <v>0</v>
      </c>
      <c r="K109" s="162">
        <f t="shared" si="22"/>
        <v>0</v>
      </c>
      <c r="L109" s="162">
        <f t="shared" si="22"/>
        <v>0</v>
      </c>
      <c r="M109" s="162">
        <f t="shared" si="22"/>
        <v>0</v>
      </c>
      <c r="N109" s="162">
        <f t="shared" si="22"/>
        <v>0</v>
      </c>
      <c r="O109" s="162">
        <f t="shared" si="22"/>
        <v>0</v>
      </c>
    </row>
    <row r="110" spans="1:15" ht="38.25" customHeight="1" x14ac:dyDescent="0.25">
      <c r="A110" s="37" t="s">
        <v>97</v>
      </c>
      <c r="B110" s="37" t="s">
        <v>51</v>
      </c>
      <c r="C110" s="3" t="s">
        <v>121</v>
      </c>
      <c r="D110" s="160">
        <f>'дод 2'!E178</f>
        <v>675400</v>
      </c>
      <c r="E110" s="160">
        <f>'дод 2'!F178</f>
        <v>675400</v>
      </c>
      <c r="F110" s="160">
        <f>'дод 2'!G178</f>
        <v>0</v>
      </c>
      <c r="G110" s="160">
        <f>'дод 2'!H178</f>
        <v>0</v>
      </c>
      <c r="H110" s="160">
        <f>'дод 2'!I178</f>
        <v>0</v>
      </c>
      <c r="I110" s="160">
        <f>'дод 2'!J178</f>
        <v>0</v>
      </c>
      <c r="J110" s="160">
        <f>'дод 2'!K178</f>
        <v>0</v>
      </c>
      <c r="K110" s="160">
        <f>'дод 2'!L178</f>
        <v>0</v>
      </c>
      <c r="L110" s="160">
        <f>'дод 2'!M178</f>
        <v>0</v>
      </c>
      <c r="M110" s="160">
        <f>'дод 2'!N178</f>
        <v>0</v>
      </c>
      <c r="N110" s="160">
        <f>'дод 2'!O178</f>
        <v>0</v>
      </c>
      <c r="O110" s="160">
        <f>'дод 2'!P178</f>
        <v>675400</v>
      </c>
    </row>
    <row r="111" spans="1:15" ht="36.75" customHeight="1" x14ac:dyDescent="0.25">
      <c r="A111" s="37" t="s">
        <v>122</v>
      </c>
      <c r="B111" s="37" t="s">
        <v>53</v>
      </c>
      <c r="C111" s="3" t="s">
        <v>355</v>
      </c>
      <c r="D111" s="160">
        <f>'дод 2'!E179</f>
        <v>1023300</v>
      </c>
      <c r="E111" s="160">
        <f>'дод 2'!F179</f>
        <v>1023300</v>
      </c>
      <c r="F111" s="160">
        <f>'дод 2'!G179</f>
        <v>0</v>
      </c>
      <c r="G111" s="160">
        <f>'дод 2'!H179</f>
        <v>0</v>
      </c>
      <c r="H111" s="160">
        <f>'дод 2'!I179</f>
        <v>0</v>
      </c>
      <c r="I111" s="160">
        <f>'дод 2'!J179</f>
        <v>0</v>
      </c>
      <c r="J111" s="160">
        <f>'дод 2'!K179</f>
        <v>0</v>
      </c>
      <c r="K111" s="160">
        <f>'дод 2'!L179</f>
        <v>0</v>
      </c>
      <c r="L111" s="160">
        <f>'дод 2'!M179</f>
        <v>0</v>
      </c>
      <c r="M111" s="160">
        <f>'дод 2'!N179</f>
        <v>0</v>
      </c>
      <c r="N111" s="160">
        <f>'дод 2'!O179</f>
        <v>0</v>
      </c>
      <c r="O111" s="160">
        <f>'дод 2'!P179</f>
        <v>1023300</v>
      </c>
    </row>
    <row r="112" spans="1:15" ht="47.25" x14ac:dyDescent="0.25">
      <c r="A112" s="37" t="s">
        <v>98</v>
      </c>
      <c r="B112" s="37" t="s">
        <v>53</v>
      </c>
      <c r="C112" s="3" t="s">
        <v>405</v>
      </c>
      <c r="D112" s="160">
        <f>'дод 2'!E180+'дод 2'!E26</f>
        <v>30572100</v>
      </c>
      <c r="E112" s="160">
        <f>'дод 2'!F180+'дод 2'!F26</f>
        <v>30572100</v>
      </c>
      <c r="F112" s="160">
        <f>'дод 2'!G180+'дод 2'!G26</f>
        <v>0</v>
      </c>
      <c r="G112" s="160">
        <f>'дод 2'!H180+'дод 2'!H26</f>
        <v>0</v>
      </c>
      <c r="H112" s="160">
        <f>'дод 2'!I180+'дод 2'!I26</f>
        <v>0</v>
      </c>
      <c r="I112" s="160">
        <f>'дод 2'!J180+'дод 2'!J26</f>
        <v>0</v>
      </c>
      <c r="J112" s="160">
        <f>'дод 2'!K180+'дод 2'!K26</f>
        <v>0</v>
      </c>
      <c r="K112" s="160">
        <f>'дод 2'!L180+'дод 2'!L26</f>
        <v>0</v>
      </c>
      <c r="L112" s="160">
        <f>'дод 2'!M180+'дод 2'!M26</f>
        <v>0</v>
      </c>
      <c r="M112" s="160">
        <f>'дод 2'!N180+'дод 2'!N26</f>
        <v>0</v>
      </c>
      <c r="N112" s="160">
        <f>'дод 2'!O180+'дод 2'!O26</f>
        <v>0</v>
      </c>
      <c r="O112" s="160">
        <f>'дод 2'!P180+'дод 2'!P26</f>
        <v>30572100</v>
      </c>
    </row>
    <row r="113" spans="1:15" s="51" customFormat="1" ht="21.75" hidden="1" customHeight="1" x14ac:dyDescent="0.25">
      <c r="A113" s="71"/>
      <c r="B113" s="71"/>
      <c r="C113" s="72" t="s">
        <v>388</v>
      </c>
      <c r="D113" s="161">
        <f>'дод 2'!E181</f>
        <v>0</v>
      </c>
      <c r="E113" s="161">
        <f>'дод 2'!F181</f>
        <v>0</v>
      </c>
      <c r="F113" s="161">
        <f>'дод 2'!G181</f>
        <v>0</v>
      </c>
      <c r="G113" s="161">
        <f>'дод 2'!H181</f>
        <v>0</v>
      </c>
      <c r="H113" s="161">
        <f>'дод 2'!I181</f>
        <v>0</v>
      </c>
      <c r="I113" s="161">
        <f>'дод 2'!J181</f>
        <v>0</v>
      </c>
      <c r="J113" s="161">
        <f>'дод 2'!K181</f>
        <v>0</v>
      </c>
      <c r="K113" s="161">
        <f>'дод 2'!L181</f>
        <v>0</v>
      </c>
      <c r="L113" s="161">
        <f>'дод 2'!M181</f>
        <v>0</v>
      </c>
      <c r="M113" s="161">
        <f>'дод 2'!N181</f>
        <v>0</v>
      </c>
      <c r="N113" s="161">
        <f>'дод 2'!O181</f>
        <v>0</v>
      </c>
      <c r="O113" s="161">
        <f>'дод 2'!P181</f>
        <v>0</v>
      </c>
    </row>
    <row r="114" spans="1:15" ht="36" customHeight="1" x14ac:dyDescent="0.25">
      <c r="A114" s="37" t="s">
        <v>318</v>
      </c>
      <c r="B114" s="37" t="s">
        <v>53</v>
      </c>
      <c r="C114" s="3" t="s">
        <v>317</v>
      </c>
      <c r="D114" s="160">
        <f>'дод 2'!E182</f>
        <v>2000000</v>
      </c>
      <c r="E114" s="160">
        <f>'дод 2'!F182</f>
        <v>2000000</v>
      </c>
      <c r="F114" s="160">
        <f>'дод 2'!G182</f>
        <v>0</v>
      </c>
      <c r="G114" s="160">
        <f>'дод 2'!H182</f>
        <v>0</v>
      </c>
      <c r="H114" s="160">
        <f>'дод 2'!I182</f>
        <v>0</v>
      </c>
      <c r="I114" s="160">
        <f>'дод 2'!J182</f>
        <v>0</v>
      </c>
      <c r="J114" s="160">
        <f>'дод 2'!K182</f>
        <v>0</v>
      </c>
      <c r="K114" s="160">
        <f>'дод 2'!L182</f>
        <v>0</v>
      </c>
      <c r="L114" s="160">
        <f>'дод 2'!M182</f>
        <v>0</v>
      </c>
      <c r="M114" s="160">
        <f>'дод 2'!N182</f>
        <v>0</v>
      </c>
      <c r="N114" s="160">
        <f>'дод 2'!O182</f>
        <v>0</v>
      </c>
      <c r="O114" s="160">
        <f>'дод 2'!P182</f>
        <v>2000000</v>
      </c>
    </row>
    <row r="115" spans="1:15" ht="44.25" customHeight="1" x14ac:dyDescent="0.25">
      <c r="A115" s="37" t="s">
        <v>123</v>
      </c>
      <c r="B115" s="37" t="s">
        <v>53</v>
      </c>
      <c r="C115" s="3" t="s">
        <v>19</v>
      </c>
      <c r="D115" s="160">
        <f>'дод 2'!E183+'дод 2'!E27</f>
        <v>60096800</v>
      </c>
      <c r="E115" s="160">
        <f>'дод 2'!F183+'дод 2'!F27</f>
        <v>60096800</v>
      </c>
      <c r="F115" s="160">
        <f>'дод 2'!G183+'дод 2'!G27</f>
        <v>0</v>
      </c>
      <c r="G115" s="160">
        <f>'дод 2'!H183+'дод 2'!H27</f>
        <v>0</v>
      </c>
      <c r="H115" s="160">
        <f>'дод 2'!I183+'дод 2'!I27</f>
        <v>0</v>
      </c>
      <c r="I115" s="160">
        <f>'дод 2'!J183+'дод 2'!J27</f>
        <v>0</v>
      </c>
      <c r="J115" s="160">
        <f>'дод 2'!K183+'дод 2'!K27</f>
        <v>0</v>
      </c>
      <c r="K115" s="160">
        <f>'дод 2'!L183+'дод 2'!L27</f>
        <v>0</v>
      </c>
      <c r="L115" s="160">
        <f>'дод 2'!M183+'дод 2'!M27</f>
        <v>0</v>
      </c>
      <c r="M115" s="160">
        <f>'дод 2'!N183+'дод 2'!N27</f>
        <v>0</v>
      </c>
      <c r="N115" s="160">
        <f>'дод 2'!O183+'дод 2'!O27</f>
        <v>0</v>
      </c>
      <c r="O115" s="160">
        <f>'дод 2'!P183+'дод 2'!P27</f>
        <v>60096800</v>
      </c>
    </row>
    <row r="116" spans="1:15" ht="37.5" customHeight="1" x14ac:dyDescent="0.25">
      <c r="A116" s="37" t="s">
        <v>100</v>
      </c>
      <c r="B116" s="37" t="s">
        <v>53</v>
      </c>
      <c r="C116" s="3" t="s">
        <v>403</v>
      </c>
      <c r="D116" s="160">
        <f>'дод 2'!E184</f>
        <v>713800</v>
      </c>
      <c r="E116" s="160">
        <f>'дод 2'!F184</f>
        <v>713800</v>
      </c>
      <c r="F116" s="160">
        <f>'дод 2'!G184</f>
        <v>0</v>
      </c>
      <c r="G116" s="160">
        <f>'дод 2'!H184</f>
        <v>0</v>
      </c>
      <c r="H116" s="160">
        <f>'дод 2'!I184</f>
        <v>0</v>
      </c>
      <c r="I116" s="160">
        <f>'дод 2'!J184</f>
        <v>0</v>
      </c>
      <c r="J116" s="160">
        <f>'дод 2'!K184</f>
        <v>0</v>
      </c>
      <c r="K116" s="160">
        <f>'дод 2'!L184</f>
        <v>0</v>
      </c>
      <c r="L116" s="160">
        <f>'дод 2'!M184</f>
        <v>0</v>
      </c>
      <c r="M116" s="160">
        <f>'дод 2'!N184</f>
        <v>0</v>
      </c>
      <c r="N116" s="160">
        <f>'дод 2'!O184</f>
        <v>0</v>
      </c>
      <c r="O116" s="160">
        <f>'дод 2'!P184</f>
        <v>713800</v>
      </c>
    </row>
    <row r="117" spans="1:15" s="51" customFormat="1" x14ac:dyDescent="0.25">
      <c r="A117" s="71"/>
      <c r="B117" s="71"/>
      <c r="C117" s="72" t="s">
        <v>388</v>
      </c>
      <c r="D117" s="161">
        <f>'дод 2'!E185</f>
        <v>713800</v>
      </c>
      <c r="E117" s="161">
        <f>'дод 2'!F185</f>
        <v>713800</v>
      </c>
      <c r="F117" s="161">
        <f>'дод 2'!G185</f>
        <v>0</v>
      </c>
      <c r="G117" s="161">
        <f>'дод 2'!H185</f>
        <v>0</v>
      </c>
      <c r="H117" s="161">
        <f>'дод 2'!I185</f>
        <v>0</v>
      </c>
      <c r="I117" s="161">
        <f>'дод 2'!J185</f>
        <v>0</v>
      </c>
      <c r="J117" s="161">
        <f>'дод 2'!K185</f>
        <v>0</v>
      </c>
      <c r="K117" s="161">
        <f>'дод 2'!L185</f>
        <v>0</v>
      </c>
      <c r="L117" s="161">
        <f>'дод 2'!M185</f>
        <v>0</v>
      </c>
      <c r="M117" s="161">
        <f>'дод 2'!N185</f>
        <v>0</v>
      </c>
      <c r="N117" s="161">
        <f>'дод 2'!O185</f>
        <v>0</v>
      </c>
      <c r="O117" s="161">
        <f>'дод 2'!P185</f>
        <v>713800</v>
      </c>
    </row>
    <row r="118" spans="1:15" ht="40.5" customHeight="1" x14ac:dyDescent="0.25">
      <c r="A118" s="37" t="s">
        <v>310</v>
      </c>
      <c r="B118" s="37" t="s">
        <v>51</v>
      </c>
      <c r="C118" s="3" t="s">
        <v>404</v>
      </c>
      <c r="D118" s="160">
        <f>'дод 2'!E186</f>
        <v>260200</v>
      </c>
      <c r="E118" s="160">
        <f>'дод 2'!F186</f>
        <v>260200</v>
      </c>
      <c r="F118" s="160">
        <f>'дод 2'!G186</f>
        <v>0</v>
      </c>
      <c r="G118" s="160">
        <f>'дод 2'!H186</f>
        <v>0</v>
      </c>
      <c r="H118" s="160">
        <f>'дод 2'!I186</f>
        <v>0</v>
      </c>
      <c r="I118" s="160">
        <f>'дод 2'!J186</f>
        <v>0</v>
      </c>
      <c r="J118" s="160">
        <f>'дод 2'!K186</f>
        <v>0</v>
      </c>
      <c r="K118" s="160">
        <f>'дод 2'!L186</f>
        <v>0</v>
      </c>
      <c r="L118" s="160">
        <f>'дод 2'!M186</f>
        <v>0</v>
      </c>
      <c r="M118" s="160">
        <f>'дод 2'!N186</f>
        <v>0</v>
      </c>
      <c r="N118" s="160">
        <f>'дод 2'!O186</f>
        <v>0</v>
      </c>
      <c r="O118" s="160">
        <f>'дод 2'!P186</f>
        <v>260200</v>
      </c>
    </row>
    <row r="119" spans="1:15" s="51" customFormat="1" x14ac:dyDescent="0.25">
      <c r="A119" s="71"/>
      <c r="B119" s="71"/>
      <c r="C119" s="72" t="s">
        <v>388</v>
      </c>
      <c r="D119" s="161">
        <f>'дод 2'!E187</f>
        <v>260200</v>
      </c>
      <c r="E119" s="161">
        <f>'дод 2'!F187</f>
        <v>260200</v>
      </c>
      <c r="F119" s="161">
        <f>'дод 2'!G187</f>
        <v>0</v>
      </c>
      <c r="G119" s="161">
        <f>'дод 2'!H187</f>
        <v>0</v>
      </c>
      <c r="H119" s="161">
        <f>'дод 2'!I187</f>
        <v>0</v>
      </c>
      <c r="I119" s="161">
        <f>'дод 2'!J187</f>
        <v>0</v>
      </c>
      <c r="J119" s="161">
        <f>'дод 2'!K187</f>
        <v>0</v>
      </c>
      <c r="K119" s="161">
        <f>'дод 2'!L187</f>
        <v>0</v>
      </c>
      <c r="L119" s="161">
        <f>'дод 2'!M187</f>
        <v>0</v>
      </c>
      <c r="M119" s="161">
        <f>'дод 2'!N187</f>
        <v>0</v>
      </c>
      <c r="N119" s="161">
        <f>'дод 2'!O187</f>
        <v>0</v>
      </c>
      <c r="O119" s="161">
        <f>'дод 2'!P187</f>
        <v>260200</v>
      </c>
    </row>
    <row r="120" spans="1:15" ht="63.75" customHeight="1" x14ac:dyDescent="0.25">
      <c r="A120" s="37" t="s">
        <v>101</v>
      </c>
      <c r="B120" s="37" t="s">
        <v>49</v>
      </c>
      <c r="C120" s="3" t="s">
        <v>29</v>
      </c>
      <c r="D120" s="160">
        <f>'дод 2'!E188</f>
        <v>20984700</v>
      </c>
      <c r="E120" s="160">
        <f>'дод 2'!F188</f>
        <v>20984700</v>
      </c>
      <c r="F120" s="160">
        <f>'дод 2'!G188</f>
        <v>15797400</v>
      </c>
      <c r="G120" s="160">
        <f>'дод 2'!H188</f>
        <v>658300</v>
      </c>
      <c r="H120" s="160">
        <f>'дод 2'!I188</f>
        <v>0</v>
      </c>
      <c r="I120" s="160">
        <f>'дод 2'!J188</f>
        <v>596200</v>
      </c>
      <c r="J120" s="160">
        <f>'дод 2'!K188</f>
        <v>500000</v>
      </c>
      <c r="K120" s="160">
        <f>'дод 2'!L188</f>
        <v>96200</v>
      </c>
      <c r="L120" s="160">
        <f>'дод 2'!M188</f>
        <v>78600</v>
      </c>
      <c r="M120" s="160">
        <f>'дод 2'!N188</f>
        <v>0</v>
      </c>
      <c r="N120" s="160">
        <f>'дод 2'!O188</f>
        <v>500000</v>
      </c>
      <c r="O120" s="160">
        <f>'дод 2'!P188</f>
        <v>21580900</v>
      </c>
    </row>
    <row r="121" spans="1:15" ht="69.75" customHeight="1" x14ac:dyDescent="0.25">
      <c r="A121" s="37" t="s">
        <v>327</v>
      </c>
      <c r="B121" s="37" t="s">
        <v>99</v>
      </c>
      <c r="C121" s="36" t="s">
        <v>328</v>
      </c>
      <c r="D121" s="160">
        <f>SUM('дод 2'!E217)</f>
        <v>227280</v>
      </c>
      <c r="E121" s="160">
        <f>SUM('дод 2'!F217)</f>
        <v>227280</v>
      </c>
      <c r="F121" s="160">
        <f>SUM('дод 2'!G217)</f>
        <v>0</v>
      </c>
      <c r="G121" s="160">
        <f>SUM('дод 2'!H217)</f>
        <v>0</v>
      </c>
      <c r="H121" s="160">
        <f>SUM('дод 2'!I217)</f>
        <v>0</v>
      </c>
      <c r="I121" s="160">
        <f>SUM('дод 2'!J217)</f>
        <v>0</v>
      </c>
      <c r="J121" s="160">
        <f>SUM('дод 2'!K217)</f>
        <v>0</v>
      </c>
      <c r="K121" s="160">
        <f>SUM('дод 2'!L217)</f>
        <v>0</v>
      </c>
      <c r="L121" s="160">
        <f>SUM('дод 2'!M217)</f>
        <v>0</v>
      </c>
      <c r="M121" s="160">
        <f>SUM('дод 2'!N217)</f>
        <v>0</v>
      </c>
      <c r="N121" s="160">
        <f>SUM('дод 2'!O217)</f>
        <v>0</v>
      </c>
      <c r="O121" s="160">
        <f>SUM('дод 2'!P217)</f>
        <v>227280</v>
      </c>
    </row>
    <row r="122" spans="1:15" s="51" customFormat="1" ht="36" customHeight="1" x14ac:dyDescent="0.25">
      <c r="A122" s="37" t="s">
        <v>102</v>
      </c>
      <c r="B122" s="37" t="s">
        <v>99</v>
      </c>
      <c r="C122" s="3" t="s">
        <v>30</v>
      </c>
      <c r="D122" s="160">
        <f>'дод 2'!E218</f>
        <v>195460</v>
      </c>
      <c r="E122" s="160">
        <f>'дод 2'!F218</f>
        <v>195460</v>
      </c>
      <c r="F122" s="160">
        <f>'дод 2'!G218</f>
        <v>0</v>
      </c>
      <c r="G122" s="160">
        <f>'дод 2'!H218</f>
        <v>0</v>
      </c>
      <c r="H122" s="160">
        <f>'дод 2'!I218</f>
        <v>0</v>
      </c>
      <c r="I122" s="160">
        <f>'дод 2'!J218</f>
        <v>0</v>
      </c>
      <c r="J122" s="160">
        <f>'дод 2'!K218</f>
        <v>0</v>
      </c>
      <c r="K122" s="160">
        <f>'дод 2'!L218</f>
        <v>0</v>
      </c>
      <c r="L122" s="160">
        <f>'дод 2'!M218</f>
        <v>0</v>
      </c>
      <c r="M122" s="160">
        <f>'дод 2'!N218</f>
        <v>0</v>
      </c>
      <c r="N122" s="160">
        <f>'дод 2'!O218</f>
        <v>0</v>
      </c>
      <c r="O122" s="160">
        <f>'дод 2'!P218</f>
        <v>195460</v>
      </c>
    </row>
    <row r="123" spans="1:15" s="51" customFormat="1" ht="38.25" customHeight="1" x14ac:dyDescent="0.25">
      <c r="A123" s="37" t="s">
        <v>124</v>
      </c>
      <c r="B123" s="37" t="s">
        <v>99</v>
      </c>
      <c r="C123" s="3" t="s">
        <v>597</v>
      </c>
      <c r="D123" s="160">
        <f>'дод 2'!E28</f>
        <v>3552000</v>
      </c>
      <c r="E123" s="160">
        <f>'дод 2'!F28</f>
        <v>3552000</v>
      </c>
      <c r="F123" s="160">
        <f>'дод 2'!G28</f>
        <v>2624000</v>
      </c>
      <c r="G123" s="160">
        <f>'дод 2'!H28</f>
        <v>84700</v>
      </c>
      <c r="H123" s="160">
        <f>'дод 2'!I28</f>
        <v>0</v>
      </c>
      <c r="I123" s="160">
        <f>'дод 2'!J28</f>
        <v>200000</v>
      </c>
      <c r="J123" s="160">
        <f>'дод 2'!K28</f>
        <v>200000</v>
      </c>
      <c r="K123" s="160">
        <f>'дод 2'!L28</f>
        <v>0</v>
      </c>
      <c r="L123" s="160">
        <f>'дод 2'!M28</f>
        <v>0</v>
      </c>
      <c r="M123" s="160">
        <f>'дод 2'!N28</f>
        <v>0</v>
      </c>
      <c r="N123" s="160">
        <f>'дод 2'!O28</f>
        <v>200000</v>
      </c>
      <c r="O123" s="160">
        <f>'дод 2'!P28</f>
        <v>3752000</v>
      </c>
    </row>
    <row r="124" spans="1:15" s="51" customFormat="1" ht="55.5" customHeight="1" x14ac:dyDescent="0.25">
      <c r="A124" s="40" t="s">
        <v>106</v>
      </c>
      <c r="B124" s="40" t="s">
        <v>99</v>
      </c>
      <c r="C124" s="3" t="s">
        <v>335</v>
      </c>
      <c r="D124" s="160">
        <f>'дод 2'!E29</f>
        <v>2009310</v>
      </c>
      <c r="E124" s="160">
        <f>'дод 2'!F29</f>
        <v>2009310</v>
      </c>
      <c r="F124" s="160">
        <f>'дод 2'!G29</f>
        <v>0</v>
      </c>
      <c r="G124" s="160">
        <f>'дод 2'!H29</f>
        <v>0</v>
      </c>
      <c r="H124" s="160">
        <f>'дод 2'!I29</f>
        <v>0</v>
      </c>
      <c r="I124" s="160">
        <f>'дод 2'!J29</f>
        <v>0</v>
      </c>
      <c r="J124" s="160">
        <f>'дод 2'!K29</f>
        <v>0</v>
      </c>
      <c r="K124" s="160">
        <f>'дод 2'!L29</f>
        <v>0</v>
      </c>
      <c r="L124" s="160">
        <f>'дод 2'!M29</f>
        <v>0</v>
      </c>
      <c r="M124" s="160">
        <f>'дод 2'!N29</f>
        <v>0</v>
      </c>
      <c r="N124" s="160">
        <f>'дод 2'!O29</f>
        <v>0</v>
      </c>
      <c r="O124" s="160">
        <f>'дод 2'!P29</f>
        <v>2009310</v>
      </c>
    </row>
    <row r="125" spans="1:15" s="51" customFormat="1" ht="26.25" customHeight="1" x14ac:dyDescent="0.25">
      <c r="A125" s="40">
        <v>3133</v>
      </c>
      <c r="B125" s="40">
        <v>1040</v>
      </c>
      <c r="C125" s="3" t="s">
        <v>580</v>
      </c>
      <c r="D125" s="160">
        <f>'дод 2'!E30</f>
        <v>5884800</v>
      </c>
      <c r="E125" s="160">
        <f>'дод 2'!F30</f>
        <v>5884800</v>
      </c>
      <c r="F125" s="160">
        <f>'дод 2'!G30</f>
        <v>2768700</v>
      </c>
      <c r="G125" s="160">
        <f>'дод 2'!H30</f>
        <v>779400</v>
      </c>
      <c r="H125" s="160">
        <f>'дод 2'!I30</f>
        <v>0</v>
      </c>
      <c r="I125" s="160">
        <f>'дод 2'!J30</f>
        <v>1235000</v>
      </c>
      <c r="J125" s="160">
        <f>'дод 2'!K30</f>
        <v>1100000</v>
      </c>
      <c r="K125" s="160">
        <f>'дод 2'!L30</f>
        <v>105558</v>
      </c>
      <c r="L125" s="160">
        <f>'дод 2'!M30</f>
        <v>0</v>
      </c>
      <c r="M125" s="160">
        <f>'дод 2'!N30</f>
        <v>45558</v>
      </c>
      <c r="N125" s="160">
        <f>'дод 2'!O30</f>
        <v>1129442</v>
      </c>
      <c r="O125" s="160">
        <f>'дод 2'!P30</f>
        <v>7119800</v>
      </c>
    </row>
    <row r="126" spans="1:15" ht="69" customHeight="1" x14ac:dyDescent="0.25">
      <c r="A126" s="37" t="s">
        <v>107</v>
      </c>
      <c r="B126" s="37" t="s">
        <v>99</v>
      </c>
      <c r="C126" s="6" t="s">
        <v>20</v>
      </c>
      <c r="D126" s="160">
        <f>'дод 2'!E31+'дод 2'!E118+'дод 2'!E189</f>
        <v>9089400</v>
      </c>
      <c r="E126" s="160">
        <f>'дод 2'!F31+'дод 2'!F118+'дод 2'!F189</f>
        <v>9089400</v>
      </c>
      <c r="F126" s="160">
        <f>'дод 2'!G31+'дод 2'!G118+'дод 2'!G189</f>
        <v>0</v>
      </c>
      <c r="G126" s="160">
        <f>'дод 2'!H31+'дод 2'!H118+'дод 2'!H189</f>
        <v>0</v>
      </c>
      <c r="H126" s="160">
        <f>'дод 2'!I31+'дод 2'!I118+'дод 2'!I189</f>
        <v>0</v>
      </c>
      <c r="I126" s="160">
        <f>'дод 2'!J31+'дод 2'!J118+'дод 2'!J189</f>
        <v>0</v>
      </c>
      <c r="J126" s="160">
        <f>'дод 2'!K31+'дод 2'!K118+'дод 2'!K189</f>
        <v>0</v>
      </c>
      <c r="K126" s="160">
        <f>'дод 2'!L31+'дод 2'!L118+'дод 2'!L189</f>
        <v>0</v>
      </c>
      <c r="L126" s="160">
        <f>'дод 2'!M31+'дод 2'!M118+'дод 2'!M189</f>
        <v>0</v>
      </c>
      <c r="M126" s="160">
        <f>'дод 2'!N31+'дод 2'!N118+'дод 2'!N189</f>
        <v>0</v>
      </c>
      <c r="N126" s="160">
        <f>'дод 2'!O31+'дод 2'!O118+'дод 2'!O189</f>
        <v>0</v>
      </c>
      <c r="O126" s="160">
        <f>'дод 2'!P31+'дод 2'!P118+'дод 2'!P189</f>
        <v>9089400</v>
      </c>
    </row>
    <row r="127" spans="1:15" ht="78.75" x14ac:dyDescent="0.25">
      <c r="A127" s="37" t="s">
        <v>108</v>
      </c>
      <c r="B127" s="37">
        <v>1010</v>
      </c>
      <c r="C127" s="3" t="s">
        <v>281</v>
      </c>
      <c r="D127" s="160">
        <f>'дод 2'!E190</f>
        <v>5461975</v>
      </c>
      <c r="E127" s="160">
        <f>'дод 2'!F190</f>
        <v>5461975</v>
      </c>
      <c r="F127" s="160">
        <f>'дод 2'!G190</f>
        <v>0</v>
      </c>
      <c r="G127" s="160">
        <f>'дод 2'!H190</f>
        <v>0</v>
      </c>
      <c r="H127" s="160">
        <f>'дод 2'!I190</f>
        <v>0</v>
      </c>
      <c r="I127" s="160">
        <f>'дод 2'!J190</f>
        <v>0</v>
      </c>
      <c r="J127" s="160">
        <f>'дод 2'!K190</f>
        <v>0</v>
      </c>
      <c r="K127" s="160">
        <f>'дод 2'!L190</f>
        <v>0</v>
      </c>
      <c r="L127" s="160">
        <f>'дод 2'!M190</f>
        <v>0</v>
      </c>
      <c r="M127" s="160">
        <f>'дод 2'!N190</f>
        <v>0</v>
      </c>
      <c r="N127" s="160">
        <f>'дод 2'!O190</f>
        <v>0</v>
      </c>
      <c r="O127" s="160">
        <f>'дод 2'!P190</f>
        <v>5461975</v>
      </c>
    </row>
    <row r="128" spans="1:15" s="51" customFormat="1" ht="63" hidden="1" customHeight="1" x14ac:dyDescent="0.25">
      <c r="A128" s="37" t="s">
        <v>311</v>
      </c>
      <c r="B128" s="37">
        <v>1010</v>
      </c>
      <c r="C128" s="3" t="s">
        <v>399</v>
      </c>
      <c r="D128" s="160">
        <f>'дод 2'!E191</f>
        <v>0</v>
      </c>
      <c r="E128" s="160">
        <f>'дод 2'!F191</f>
        <v>0</v>
      </c>
      <c r="F128" s="160">
        <f>'дод 2'!G191</f>
        <v>0</v>
      </c>
      <c r="G128" s="160">
        <f>'дод 2'!H191</f>
        <v>0</v>
      </c>
      <c r="H128" s="160">
        <f>'дод 2'!I191</f>
        <v>0</v>
      </c>
      <c r="I128" s="160">
        <f>'дод 2'!J191</f>
        <v>0</v>
      </c>
      <c r="J128" s="160">
        <f>'дод 2'!K191</f>
        <v>0</v>
      </c>
      <c r="K128" s="160">
        <f>'дод 2'!L191</f>
        <v>0</v>
      </c>
      <c r="L128" s="160">
        <f>'дод 2'!M191</f>
        <v>0</v>
      </c>
      <c r="M128" s="160">
        <f>'дод 2'!N191</f>
        <v>0</v>
      </c>
      <c r="N128" s="160">
        <f>'дод 2'!O191</f>
        <v>0</v>
      </c>
      <c r="O128" s="160">
        <f>'дод 2'!P191</f>
        <v>0</v>
      </c>
    </row>
    <row r="129" spans="1:15" s="51" customFormat="1" ht="15.75" hidden="1" customHeight="1" x14ac:dyDescent="0.25">
      <c r="A129" s="71"/>
      <c r="B129" s="71"/>
      <c r="C129" s="72" t="s">
        <v>388</v>
      </c>
      <c r="D129" s="161">
        <f>'дод 2'!E192</f>
        <v>0</v>
      </c>
      <c r="E129" s="161">
        <f>'дод 2'!F192</f>
        <v>0</v>
      </c>
      <c r="F129" s="161">
        <f>'дод 2'!G192</f>
        <v>0</v>
      </c>
      <c r="G129" s="161">
        <f>'дод 2'!H192</f>
        <v>0</v>
      </c>
      <c r="H129" s="161">
        <f>'дод 2'!I192</f>
        <v>0</v>
      </c>
      <c r="I129" s="161">
        <f>'дод 2'!J192</f>
        <v>0</v>
      </c>
      <c r="J129" s="161">
        <f>'дод 2'!K192</f>
        <v>0</v>
      </c>
      <c r="K129" s="161">
        <f>'дод 2'!L192</f>
        <v>0</v>
      </c>
      <c r="L129" s="161">
        <f>'дод 2'!M192</f>
        <v>0</v>
      </c>
      <c r="M129" s="161">
        <f>'дод 2'!N192</f>
        <v>0</v>
      </c>
      <c r="N129" s="161">
        <f>'дод 2'!O192</f>
        <v>0</v>
      </c>
      <c r="O129" s="161">
        <f>'дод 2'!P192</f>
        <v>0</v>
      </c>
    </row>
    <row r="130" spans="1:15" s="51" customFormat="1" ht="36" hidden="1" customHeight="1" x14ac:dyDescent="0.25">
      <c r="A130" s="37" t="s">
        <v>312</v>
      </c>
      <c r="B130" s="37">
        <v>1010</v>
      </c>
      <c r="C130" s="3" t="s">
        <v>400</v>
      </c>
      <c r="D130" s="160">
        <f>'дод 2'!E193</f>
        <v>0</v>
      </c>
      <c r="E130" s="160">
        <f>'дод 2'!F193</f>
        <v>0</v>
      </c>
      <c r="F130" s="160">
        <f>'дод 2'!G193</f>
        <v>0</v>
      </c>
      <c r="G130" s="160">
        <f>'дод 2'!H193</f>
        <v>0</v>
      </c>
      <c r="H130" s="160">
        <f>'дод 2'!I193</f>
        <v>0</v>
      </c>
      <c r="I130" s="160">
        <f>'дод 2'!J193</f>
        <v>0</v>
      </c>
      <c r="J130" s="160">
        <f>'дод 2'!K193</f>
        <v>0</v>
      </c>
      <c r="K130" s="160">
        <f>'дод 2'!L193</f>
        <v>0</v>
      </c>
      <c r="L130" s="160">
        <f>'дод 2'!M193</f>
        <v>0</v>
      </c>
      <c r="M130" s="160">
        <f>'дод 2'!N193</f>
        <v>0</v>
      </c>
      <c r="N130" s="160">
        <f>'дод 2'!O193</f>
        <v>0</v>
      </c>
      <c r="O130" s="160">
        <f>'дод 2'!P193</f>
        <v>0</v>
      </c>
    </row>
    <row r="131" spans="1:15" s="51" customFormat="1" ht="15.75" hidden="1" customHeight="1" x14ac:dyDescent="0.25">
      <c r="A131" s="71"/>
      <c r="B131" s="71"/>
      <c r="C131" s="72" t="s">
        <v>388</v>
      </c>
      <c r="D131" s="161">
        <f>'дод 2'!E194</f>
        <v>0</v>
      </c>
      <c r="E131" s="161">
        <f>'дод 2'!F194</f>
        <v>0</v>
      </c>
      <c r="F131" s="161">
        <f>'дод 2'!G194</f>
        <v>0</v>
      </c>
      <c r="G131" s="161">
        <f>'дод 2'!H194</f>
        <v>0</v>
      </c>
      <c r="H131" s="161">
        <f>'дод 2'!I194</f>
        <v>0</v>
      </c>
      <c r="I131" s="161">
        <f>'дод 2'!J194</f>
        <v>0</v>
      </c>
      <c r="J131" s="161">
        <f>'дод 2'!K194</f>
        <v>0</v>
      </c>
      <c r="K131" s="161">
        <f>'дод 2'!L194</f>
        <v>0</v>
      </c>
      <c r="L131" s="161">
        <f>'дод 2'!M194</f>
        <v>0</v>
      </c>
      <c r="M131" s="161">
        <f>'дод 2'!N194</f>
        <v>0</v>
      </c>
      <c r="N131" s="161">
        <f>'дод 2'!O194</f>
        <v>0</v>
      </c>
      <c r="O131" s="161">
        <f>'дод 2'!P194</f>
        <v>0</v>
      </c>
    </row>
    <row r="132" spans="1:15" ht="72.75" customHeight="1" x14ac:dyDescent="0.25">
      <c r="A132" s="37" t="s">
        <v>103</v>
      </c>
      <c r="B132" s="37" t="s">
        <v>52</v>
      </c>
      <c r="C132" s="3" t="s">
        <v>336</v>
      </c>
      <c r="D132" s="160">
        <f>'дод 2'!E195</f>
        <v>318346</v>
      </c>
      <c r="E132" s="160">
        <f>'дод 2'!F195</f>
        <v>318346</v>
      </c>
      <c r="F132" s="160">
        <f>'дод 2'!G195</f>
        <v>0</v>
      </c>
      <c r="G132" s="160">
        <f>'дод 2'!H195</f>
        <v>0</v>
      </c>
      <c r="H132" s="160">
        <f>'дод 2'!I195</f>
        <v>0</v>
      </c>
      <c r="I132" s="160">
        <f>'дод 2'!J195</f>
        <v>0</v>
      </c>
      <c r="J132" s="160">
        <f>'дод 2'!K195</f>
        <v>0</v>
      </c>
      <c r="K132" s="160">
        <f>'дод 2'!L195</f>
        <v>0</v>
      </c>
      <c r="L132" s="160">
        <f>'дод 2'!M195</f>
        <v>0</v>
      </c>
      <c r="M132" s="160">
        <f>'дод 2'!N195</f>
        <v>0</v>
      </c>
      <c r="N132" s="160">
        <f>'дод 2'!O195</f>
        <v>0</v>
      </c>
      <c r="O132" s="160">
        <f>'дод 2'!P195</f>
        <v>318346</v>
      </c>
    </row>
    <row r="133" spans="1:15" s="51" customFormat="1" ht="34.5" customHeight="1" x14ac:dyDescent="0.25">
      <c r="A133" s="37" t="s">
        <v>282</v>
      </c>
      <c r="B133" s="37" t="s">
        <v>51</v>
      </c>
      <c r="C133" s="3" t="s">
        <v>18</v>
      </c>
      <c r="D133" s="160">
        <f>'дод 2'!E196</f>
        <v>2522957</v>
      </c>
      <c r="E133" s="160">
        <f>'дод 2'!F196</f>
        <v>2522957</v>
      </c>
      <c r="F133" s="160">
        <f>'дод 2'!G196</f>
        <v>0</v>
      </c>
      <c r="G133" s="160">
        <f>'дод 2'!H196</f>
        <v>0</v>
      </c>
      <c r="H133" s="160">
        <f>'дод 2'!I196</f>
        <v>0</v>
      </c>
      <c r="I133" s="160">
        <f>'дод 2'!J196</f>
        <v>0</v>
      </c>
      <c r="J133" s="160">
        <f>'дод 2'!K196</f>
        <v>0</v>
      </c>
      <c r="K133" s="160">
        <f>'дод 2'!L196</f>
        <v>0</v>
      </c>
      <c r="L133" s="160">
        <f>'дод 2'!M196</f>
        <v>0</v>
      </c>
      <c r="M133" s="160">
        <f>'дод 2'!N196</f>
        <v>0</v>
      </c>
      <c r="N133" s="160">
        <f>'дод 2'!O196</f>
        <v>0</v>
      </c>
      <c r="O133" s="160">
        <f>'дод 2'!P196</f>
        <v>2522957</v>
      </c>
    </row>
    <row r="134" spans="1:15" s="51" customFormat="1" ht="51" customHeight="1" x14ac:dyDescent="0.25">
      <c r="A134" s="37" t="s">
        <v>283</v>
      </c>
      <c r="B134" s="37" t="s">
        <v>51</v>
      </c>
      <c r="C134" s="57" t="s">
        <v>485</v>
      </c>
      <c r="D134" s="160">
        <f>'дод 2'!E197</f>
        <v>2390210</v>
      </c>
      <c r="E134" s="160">
        <f>'дод 2'!F197</f>
        <v>2390210</v>
      </c>
      <c r="F134" s="160">
        <f>'дод 2'!G197</f>
        <v>0</v>
      </c>
      <c r="G134" s="160">
        <f>'дод 2'!H197</f>
        <v>0</v>
      </c>
      <c r="H134" s="160">
        <f>'дод 2'!I197</f>
        <v>0</v>
      </c>
      <c r="I134" s="160">
        <f>'дод 2'!J197</f>
        <v>0</v>
      </c>
      <c r="J134" s="160">
        <f>'дод 2'!K197</f>
        <v>0</v>
      </c>
      <c r="K134" s="160">
        <f>'дод 2'!L197</f>
        <v>0</v>
      </c>
      <c r="L134" s="160">
        <f>'дод 2'!M197</f>
        <v>0</v>
      </c>
      <c r="M134" s="160">
        <f>'дод 2'!N197</f>
        <v>0</v>
      </c>
      <c r="N134" s="160">
        <f>'дод 2'!O197</f>
        <v>0</v>
      </c>
      <c r="O134" s="160">
        <f>'дод 2'!P197</f>
        <v>2390210</v>
      </c>
    </row>
    <row r="135" spans="1:15" ht="36.75" customHeight="1" x14ac:dyDescent="0.25">
      <c r="A135" s="37" t="s">
        <v>104</v>
      </c>
      <c r="B135" s="37" t="s">
        <v>55</v>
      </c>
      <c r="C135" s="3" t="s">
        <v>337</v>
      </c>
      <c r="D135" s="160">
        <f>'дод 2'!E198</f>
        <v>96800</v>
      </c>
      <c r="E135" s="160">
        <f>'дод 2'!F198</f>
        <v>96800</v>
      </c>
      <c r="F135" s="160">
        <f>'дод 2'!G198</f>
        <v>0</v>
      </c>
      <c r="G135" s="160">
        <f>'дод 2'!H198</f>
        <v>0</v>
      </c>
      <c r="H135" s="160">
        <f>'дод 2'!I198</f>
        <v>0</v>
      </c>
      <c r="I135" s="160">
        <f>'дод 2'!J198</f>
        <v>0</v>
      </c>
      <c r="J135" s="160">
        <f>'дод 2'!K198</f>
        <v>0</v>
      </c>
      <c r="K135" s="160">
        <f>'дод 2'!L198</f>
        <v>0</v>
      </c>
      <c r="L135" s="160">
        <f>'дод 2'!M198</f>
        <v>0</v>
      </c>
      <c r="M135" s="160">
        <f>'дод 2'!N198</f>
        <v>0</v>
      </c>
      <c r="N135" s="160">
        <f>'дод 2'!O198</f>
        <v>0</v>
      </c>
      <c r="O135" s="160">
        <f>'дод 2'!P198</f>
        <v>96800</v>
      </c>
    </row>
    <row r="136" spans="1:15" ht="20.25" customHeight="1" x14ac:dyDescent="0.25">
      <c r="A136" s="37" t="s">
        <v>284</v>
      </c>
      <c r="B136" s="37" t="s">
        <v>105</v>
      </c>
      <c r="C136" s="3" t="s">
        <v>36</v>
      </c>
      <c r="D136" s="160">
        <f>'дод 2'!E199+'дод 2'!E243</f>
        <v>250000</v>
      </c>
      <c r="E136" s="160">
        <f>'дод 2'!F199+'дод 2'!F243</f>
        <v>250000</v>
      </c>
      <c r="F136" s="160">
        <f>'дод 2'!G199+'дод 2'!G243</f>
        <v>40900</v>
      </c>
      <c r="G136" s="160">
        <f>'дод 2'!H199+'дод 2'!H243</f>
        <v>0</v>
      </c>
      <c r="H136" s="160">
        <f>'дод 2'!I199+'дод 2'!I243</f>
        <v>0</v>
      </c>
      <c r="I136" s="160">
        <f>'дод 2'!J199+'дод 2'!J243</f>
        <v>0</v>
      </c>
      <c r="J136" s="160">
        <f>'дод 2'!K199+'дод 2'!K243</f>
        <v>0</v>
      </c>
      <c r="K136" s="160">
        <f>'дод 2'!L199+'дод 2'!L243</f>
        <v>0</v>
      </c>
      <c r="L136" s="160">
        <f>'дод 2'!M199+'дод 2'!M243</f>
        <v>0</v>
      </c>
      <c r="M136" s="160">
        <f>'дод 2'!N199+'дод 2'!N243</f>
        <v>0</v>
      </c>
      <c r="N136" s="160">
        <f>'дод 2'!O199+'дод 2'!O243</f>
        <v>0</v>
      </c>
      <c r="O136" s="160">
        <f>'дод 2'!P199+'дод 2'!P243</f>
        <v>250000</v>
      </c>
    </row>
    <row r="137" spans="1:15" ht="240.75" hidden="1" customHeight="1" x14ac:dyDescent="0.25">
      <c r="A137" s="37">
        <v>3221</v>
      </c>
      <c r="B137" s="55" t="s">
        <v>52</v>
      </c>
      <c r="C137" s="36" t="s">
        <v>550</v>
      </c>
      <c r="D137" s="160">
        <f>'дод 2'!E200</f>
        <v>0</v>
      </c>
      <c r="E137" s="160">
        <f>'дод 2'!F200</f>
        <v>0</v>
      </c>
      <c r="F137" s="160">
        <f>'дод 2'!G200</f>
        <v>0</v>
      </c>
      <c r="G137" s="160">
        <f>'дод 2'!H200</f>
        <v>0</v>
      </c>
      <c r="H137" s="160">
        <f>'дод 2'!I200</f>
        <v>0</v>
      </c>
      <c r="I137" s="160">
        <f>'дод 2'!J200</f>
        <v>0</v>
      </c>
      <c r="J137" s="160">
        <f>'дод 2'!K200</f>
        <v>0</v>
      </c>
      <c r="K137" s="160">
        <f>'дод 2'!L200</f>
        <v>0</v>
      </c>
      <c r="L137" s="160">
        <f>'дод 2'!M200</f>
        <v>0</v>
      </c>
      <c r="M137" s="160">
        <f>'дод 2'!N200</f>
        <v>0</v>
      </c>
      <c r="N137" s="160">
        <f>'дод 2'!O200</f>
        <v>0</v>
      </c>
      <c r="O137" s="160">
        <f>'дод 2'!P200</f>
        <v>0</v>
      </c>
    </row>
    <row r="138" spans="1:15" s="51" customFormat="1" ht="267.75" hidden="1" customHeight="1" x14ac:dyDescent="0.25">
      <c r="A138" s="71"/>
      <c r="B138" s="81"/>
      <c r="C138" s="79" t="s">
        <v>549</v>
      </c>
      <c r="D138" s="161">
        <f>'дод 2'!E201</f>
        <v>0</v>
      </c>
      <c r="E138" s="161">
        <f>'дод 2'!F201</f>
        <v>0</v>
      </c>
      <c r="F138" s="161">
        <f>'дод 2'!G201</f>
        <v>0</v>
      </c>
      <c r="G138" s="161">
        <f>'дод 2'!H201</f>
        <v>0</v>
      </c>
      <c r="H138" s="161">
        <f>'дод 2'!I201</f>
        <v>0</v>
      </c>
      <c r="I138" s="161">
        <f>'дод 2'!J201</f>
        <v>0</v>
      </c>
      <c r="J138" s="161">
        <f>'дод 2'!K201</f>
        <v>0</v>
      </c>
      <c r="K138" s="161">
        <f>'дод 2'!L201</f>
        <v>0</v>
      </c>
      <c r="L138" s="161">
        <f>'дод 2'!M201</f>
        <v>0</v>
      </c>
      <c r="M138" s="161">
        <f>'дод 2'!N201</f>
        <v>0</v>
      </c>
      <c r="N138" s="161">
        <f>'дод 2'!O201</f>
        <v>0</v>
      </c>
      <c r="O138" s="161">
        <f>'дод 2'!P201</f>
        <v>0</v>
      </c>
    </row>
    <row r="139" spans="1:15" s="51" customFormat="1" ht="293.25" hidden="1" customHeight="1" x14ac:dyDescent="0.25">
      <c r="A139" s="42">
        <v>3222</v>
      </c>
      <c r="B139" s="89" t="s">
        <v>52</v>
      </c>
      <c r="C139" s="36" t="s">
        <v>573</v>
      </c>
      <c r="D139" s="160">
        <f>'дод 2'!E202</f>
        <v>0</v>
      </c>
      <c r="E139" s="160">
        <f>'дод 2'!F202</f>
        <v>0</v>
      </c>
      <c r="F139" s="160">
        <f>'дод 2'!G202</f>
        <v>0</v>
      </c>
      <c r="G139" s="160">
        <f>'дод 2'!H202</f>
        <v>0</v>
      </c>
      <c r="H139" s="160">
        <f>'дод 2'!I202</f>
        <v>0</v>
      </c>
      <c r="I139" s="160">
        <f>'дод 2'!J202</f>
        <v>0</v>
      </c>
      <c r="J139" s="160">
        <f>'дод 2'!K202</f>
        <v>0</v>
      </c>
      <c r="K139" s="160">
        <f>'дод 2'!L202</f>
        <v>0</v>
      </c>
      <c r="L139" s="160">
        <f>'дод 2'!M202</f>
        <v>0</v>
      </c>
      <c r="M139" s="160">
        <f>'дод 2'!N202</f>
        <v>0</v>
      </c>
      <c r="N139" s="160">
        <f>'дод 2'!O202</f>
        <v>0</v>
      </c>
      <c r="O139" s="160">
        <f>'дод 2'!P202</f>
        <v>0</v>
      </c>
    </row>
    <row r="140" spans="1:15" s="51" customFormat="1" ht="333.75" hidden="1" customHeight="1" x14ac:dyDescent="0.25">
      <c r="A140" s="71"/>
      <c r="B140" s="81"/>
      <c r="C140" s="79" t="s">
        <v>566</v>
      </c>
      <c r="D140" s="161">
        <f>'дод 2'!E203</f>
        <v>0</v>
      </c>
      <c r="E140" s="161">
        <f>'дод 2'!F203</f>
        <v>0</v>
      </c>
      <c r="F140" s="161">
        <f>'дод 2'!G203</f>
        <v>0</v>
      </c>
      <c r="G140" s="161">
        <f>'дод 2'!H203</f>
        <v>0</v>
      </c>
      <c r="H140" s="161">
        <f>'дод 2'!I203</f>
        <v>0</v>
      </c>
      <c r="I140" s="161">
        <f>'дод 2'!J203</f>
        <v>0</v>
      </c>
      <c r="J140" s="161">
        <f>'дод 2'!K203</f>
        <v>0</v>
      </c>
      <c r="K140" s="161">
        <f>'дод 2'!L203</f>
        <v>0</v>
      </c>
      <c r="L140" s="161">
        <f>'дод 2'!M203</f>
        <v>0</v>
      </c>
      <c r="M140" s="161">
        <f>'дод 2'!N203</f>
        <v>0</v>
      </c>
      <c r="N140" s="161">
        <f>'дод 2'!O203</f>
        <v>0</v>
      </c>
      <c r="O140" s="161">
        <f>'дод 2'!P203</f>
        <v>0</v>
      </c>
    </row>
    <row r="141" spans="1:15" ht="204.75" hidden="1" customHeight="1" x14ac:dyDescent="0.25">
      <c r="A141" s="37">
        <v>3223</v>
      </c>
      <c r="B141" s="55" t="s">
        <v>52</v>
      </c>
      <c r="C141" s="36" t="s">
        <v>432</v>
      </c>
      <c r="D141" s="160">
        <f>'дод 2'!E204</f>
        <v>0</v>
      </c>
      <c r="E141" s="160">
        <f>'дод 2'!F204</f>
        <v>0</v>
      </c>
      <c r="F141" s="160">
        <f>'дод 2'!G204</f>
        <v>0</v>
      </c>
      <c r="G141" s="160">
        <f>'дод 2'!H204</f>
        <v>0</v>
      </c>
      <c r="H141" s="160">
        <f>'дод 2'!I204</f>
        <v>0</v>
      </c>
      <c r="I141" s="160">
        <f>'дод 2'!J204</f>
        <v>0</v>
      </c>
      <c r="J141" s="160">
        <f>'дод 2'!K204</f>
        <v>0</v>
      </c>
      <c r="K141" s="160">
        <f>'дод 2'!L204</f>
        <v>0</v>
      </c>
      <c r="L141" s="160">
        <f>'дод 2'!M204</f>
        <v>0</v>
      </c>
      <c r="M141" s="160">
        <f>'дод 2'!N204</f>
        <v>0</v>
      </c>
      <c r="N141" s="160">
        <f>'дод 2'!O204</f>
        <v>0</v>
      </c>
      <c r="O141" s="160">
        <f>'дод 2'!P204</f>
        <v>0</v>
      </c>
    </row>
    <row r="142" spans="1:15" s="51" customFormat="1" ht="252" hidden="1" customHeight="1" x14ac:dyDescent="0.25">
      <c r="A142" s="71"/>
      <c r="B142" s="81"/>
      <c r="C142" s="79" t="s">
        <v>433</v>
      </c>
      <c r="D142" s="161">
        <f>'дод 2'!E205</f>
        <v>0</v>
      </c>
      <c r="E142" s="161">
        <f>'дод 2'!F205</f>
        <v>0</v>
      </c>
      <c r="F142" s="161">
        <f>'дод 2'!G205</f>
        <v>0</v>
      </c>
      <c r="G142" s="161">
        <f>'дод 2'!H205</f>
        <v>0</v>
      </c>
      <c r="H142" s="161">
        <f>'дод 2'!I205</f>
        <v>0</v>
      </c>
      <c r="I142" s="161">
        <f>'дод 2'!J205</f>
        <v>0</v>
      </c>
      <c r="J142" s="161">
        <f>'дод 2'!K205</f>
        <v>0</v>
      </c>
      <c r="K142" s="161">
        <f>'дод 2'!L205</f>
        <v>0</v>
      </c>
      <c r="L142" s="161">
        <f>'дод 2'!M205</f>
        <v>0</v>
      </c>
      <c r="M142" s="161">
        <f>'дод 2'!N205</f>
        <v>0</v>
      </c>
      <c r="N142" s="161">
        <f>'дод 2'!O205</f>
        <v>0</v>
      </c>
      <c r="O142" s="161">
        <f>'дод 2'!P205</f>
        <v>0</v>
      </c>
    </row>
    <row r="143" spans="1:15" s="51" customFormat="1" ht="32.25" customHeight="1" x14ac:dyDescent="0.25">
      <c r="A143" s="37" t="s">
        <v>285</v>
      </c>
      <c r="B143" s="37" t="s">
        <v>55</v>
      </c>
      <c r="C143" s="3" t="s">
        <v>287</v>
      </c>
      <c r="D143" s="160">
        <f>'дод 2'!E206+'дод 2'!E32</f>
        <v>6300200</v>
      </c>
      <c r="E143" s="160">
        <f>'дод 2'!F206+'дод 2'!F32</f>
        <v>6300200</v>
      </c>
      <c r="F143" s="160">
        <f>'дод 2'!G206+'дод 2'!G32</f>
        <v>3649000</v>
      </c>
      <c r="G143" s="160">
        <f>'дод 2'!H206+'дод 2'!H32</f>
        <v>605900</v>
      </c>
      <c r="H143" s="160">
        <f>'дод 2'!I206+'дод 2'!I32</f>
        <v>0</v>
      </c>
      <c r="I143" s="160">
        <f>'дод 2'!J206+'дод 2'!J32</f>
        <v>0</v>
      </c>
      <c r="J143" s="160">
        <f>'дод 2'!K206+'дод 2'!K32</f>
        <v>0</v>
      </c>
      <c r="K143" s="160">
        <f>'дод 2'!L206+'дод 2'!L32</f>
        <v>0</v>
      </c>
      <c r="L143" s="160">
        <f>'дод 2'!M206+'дод 2'!M32</f>
        <v>0</v>
      </c>
      <c r="M143" s="160">
        <f>'дод 2'!N206+'дод 2'!N32</f>
        <v>0</v>
      </c>
      <c r="N143" s="160">
        <f>'дод 2'!O206+'дод 2'!O32</f>
        <v>0</v>
      </c>
      <c r="O143" s="160">
        <f>'дод 2'!P206+'дод 2'!P32</f>
        <v>6300200</v>
      </c>
    </row>
    <row r="144" spans="1:15" s="51" customFormat="1" ht="31.5" customHeight="1" x14ac:dyDescent="0.25">
      <c r="A144" s="37" t="s">
        <v>286</v>
      </c>
      <c r="B144" s="37" t="s">
        <v>55</v>
      </c>
      <c r="C144" s="3" t="s">
        <v>496</v>
      </c>
      <c r="D144" s="160">
        <f>'дод 2'!E33+'дод 2'!E119+'дод 2'!E207+'дод 2'!E219</f>
        <v>41250295</v>
      </c>
      <c r="E144" s="160">
        <f>'дод 2'!F33+'дод 2'!F119+'дод 2'!F207+'дод 2'!F219</f>
        <v>41250295</v>
      </c>
      <c r="F144" s="160">
        <f>'дод 2'!G33+'дод 2'!G119+'дод 2'!G207+'дод 2'!G219</f>
        <v>0</v>
      </c>
      <c r="G144" s="160">
        <f>'дод 2'!H33+'дод 2'!H119+'дод 2'!H207+'дод 2'!H219</f>
        <v>0</v>
      </c>
      <c r="H144" s="160">
        <f>'дод 2'!I33+'дод 2'!I119+'дод 2'!I207+'дод 2'!I219</f>
        <v>0</v>
      </c>
      <c r="I144" s="160">
        <f>'дод 2'!J33+'дод 2'!J119+'дод 2'!J207+'дод 2'!J219</f>
        <v>72000</v>
      </c>
      <c r="J144" s="160">
        <f>'дод 2'!K33+'дод 2'!K119+'дод 2'!K207+'дод 2'!K219</f>
        <v>72000</v>
      </c>
      <c r="K144" s="160">
        <f>'дод 2'!L33+'дод 2'!L119+'дод 2'!L207+'дод 2'!L219</f>
        <v>0</v>
      </c>
      <c r="L144" s="160">
        <f>'дод 2'!M33+'дод 2'!M119+'дод 2'!M207+'дод 2'!M219</f>
        <v>0</v>
      </c>
      <c r="M144" s="160">
        <f>'дод 2'!N33+'дод 2'!N119+'дод 2'!N207+'дод 2'!N219</f>
        <v>0</v>
      </c>
      <c r="N144" s="160">
        <f>'дод 2'!O33+'дод 2'!O119+'дод 2'!O207+'дод 2'!O219</f>
        <v>72000</v>
      </c>
      <c r="O144" s="160">
        <f>'дод 2'!P33+'дод 2'!P119+'дод 2'!P207+'дод 2'!P219</f>
        <v>41322295</v>
      </c>
    </row>
    <row r="145" spans="1:15" s="51" customFormat="1" x14ac:dyDescent="0.25">
      <c r="A145" s="71"/>
      <c r="B145" s="71"/>
      <c r="C145" s="72" t="s">
        <v>388</v>
      </c>
      <c r="D145" s="161">
        <f>'дод 2'!E208</f>
        <v>319200</v>
      </c>
      <c r="E145" s="161">
        <f>'дод 2'!F208</f>
        <v>319200</v>
      </c>
      <c r="F145" s="161">
        <f>'дод 2'!G208</f>
        <v>0</v>
      </c>
      <c r="G145" s="161">
        <f>'дод 2'!H208</f>
        <v>0</v>
      </c>
      <c r="H145" s="161">
        <f>'дод 2'!I208</f>
        <v>0</v>
      </c>
      <c r="I145" s="161">
        <f>'дод 2'!J208</f>
        <v>0</v>
      </c>
      <c r="J145" s="161">
        <f>'дод 2'!K208</f>
        <v>0</v>
      </c>
      <c r="K145" s="161">
        <f>'дод 2'!L208</f>
        <v>0</v>
      </c>
      <c r="L145" s="161">
        <f>'дод 2'!M208</f>
        <v>0</v>
      </c>
      <c r="M145" s="161">
        <f>'дод 2'!N208</f>
        <v>0</v>
      </c>
      <c r="N145" s="161">
        <f>'дод 2'!O208</f>
        <v>0</v>
      </c>
      <c r="O145" s="161">
        <f>'дод 2'!P208</f>
        <v>319200</v>
      </c>
    </row>
    <row r="146" spans="1:15" s="49" customFormat="1" ht="19.5" customHeight="1" x14ac:dyDescent="0.25">
      <c r="A146" s="38" t="s">
        <v>70</v>
      </c>
      <c r="B146" s="41"/>
      <c r="C146" s="2" t="s">
        <v>71</v>
      </c>
      <c r="D146" s="47">
        <f t="shared" ref="D146:O146" si="23">D147+D148+D149+D150</f>
        <v>38772638</v>
      </c>
      <c r="E146" s="47">
        <f t="shared" si="23"/>
        <v>38772638</v>
      </c>
      <c r="F146" s="47">
        <f t="shared" si="23"/>
        <v>24551085</v>
      </c>
      <c r="G146" s="47">
        <f t="shared" si="23"/>
        <v>3246650</v>
      </c>
      <c r="H146" s="47">
        <f t="shared" si="23"/>
        <v>0</v>
      </c>
      <c r="I146" s="47">
        <f t="shared" si="23"/>
        <v>484000</v>
      </c>
      <c r="J146" s="47">
        <f t="shared" si="23"/>
        <v>450000</v>
      </c>
      <c r="K146" s="47">
        <f t="shared" si="23"/>
        <v>34000</v>
      </c>
      <c r="L146" s="47">
        <f t="shared" si="23"/>
        <v>14560</v>
      </c>
      <c r="M146" s="47">
        <f t="shared" si="23"/>
        <v>3300</v>
      </c>
      <c r="N146" s="47">
        <f t="shared" si="23"/>
        <v>450000</v>
      </c>
      <c r="O146" s="47">
        <f t="shared" si="23"/>
        <v>39256638</v>
      </c>
    </row>
    <row r="147" spans="1:15" ht="22.5" customHeight="1" x14ac:dyDescent="0.25">
      <c r="A147" s="37" t="s">
        <v>72</v>
      </c>
      <c r="B147" s="37" t="s">
        <v>73</v>
      </c>
      <c r="C147" s="3" t="s">
        <v>15</v>
      </c>
      <c r="D147" s="160">
        <f>'дод 2'!E226</f>
        <v>25433800</v>
      </c>
      <c r="E147" s="160">
        <f>'дод 2'!F226</f>
        <v>25433800</v>
      </c>
      <c r="F147" s="160">
        <f>'дод 2'!G226</f>
        <v>17662700</v>
      </c>
      <c r="G147" s="160">
        <f>'дод 2'!H226</f>
        <v>2568100</v>
      </c>
      <c r="H147" s="160">
        <f>'дод 2'!I226</f>
        <v>0</v>
      </c>
      <c r="I147" s="160">
        <f>'дод 2'!J226</f>
        <v>28000</v>
      </c>
      <c r="J147" s="160">
        <f>'дод 2'!K226</f>
        <v>0</v>
      </c>
      <c r="K147" s="160">
        <f>'дод 2'!L226</f>
        <v>28000</v>
      </c>
      <c r="L147" s="160">
        <f>'дод 2'!M226</f>
        <v>14560</v>
      </c>
      <c r="M147" s="160">
        <f>'дод 2'!N226</f>
        <v>0</v>
      </c>
      <c r="N147" s="160">
        <f>'дод 2'!O226</f>
        <v>0</v>
      </c>
      <c r="O147" s="160">
        <f>'дод 2'!P226</f>
        <v>25461800</v>
      </c>
    </row>
    <row r="148" spans="1:15" ht="33.75" customHeight="1" x14ac:dyDescent="0.25">
      <c r="A148" s="37" t="s">
        <v>314</v>
      </c>
      <c r="B148" s="37" t="s">
        <v>315</v>
      </c>
      <c r="C148" s="3" t="s">
        <v>316</v>
      </c>
      <c r="D148" s="160">
        <f>'дод 2'!E34+'дод 2'!E227</f>
        <v>4681038</v>
      </c>
      <c r="E148" s="160">
        <f>'дод 2'!F34+'дод 2'!F227</f>
        <v>4681038</v>
      </c>
      <c r="F148" s="160">
        <f>'дод 2'!G34+'дод 2'!G227</f>
        <v>3173985</v>
      </c>
      <c r="G148" s="160">
        <f>'дод 2'!H34+'дод 2'!H227</f>
        <v>454450</v>
      </c>
      <c r="H148" s="160">
        <f>'дод 2'!I34+'дод 2'!I227</f>
        <v>0</v>
      </c>
      <c r="I148" s="160">
        <f>'дод 2'!J34+'дод 2'!J227</f>
        <v>456000</v>
      </c>
      <c r="J148" s="160">
        <f>'дод 2'!K34+'дод 2'!K227</f>
        <v>450000</v>
      </c>
      <c r="K148" s="160">
        <f>'дод 2'!L34+'дод 2'!L227</f>
        <v>6000</v>
      </c>
      <c r="L148" s="160">
        <f>'дод 2'!M34+'дод 2'!M227</f>
        <v>0</v>
      </c>
      <c r="M148" s="160">
        <f>'дод 2'!N34+'дод 2'!N227</f>
        <v>3300</v>
      </c>
      <c r="N148" s="160">
        <f>'дод 2'!O34+'дод 2'!O227</f>
        <v>450000</v>
      </c>
      <c r="O148" s="160">
        <f>'дод 2'!P34+'дод 2'!P227</f>
        <v>5137038</v>
      </c>
    </row>
    <row r="149" spans="1:15" s="51" customFormat="1" ht="37.5" customHeight="1" x14ac:dyDescent="0.25">
      <c r="A149" s="37" t="s">
        <v>288</v>
      </c>
      <c r="B149" s="37" t="s">
        <v>74</v>
      </c>
      <c r="C149" s="3" t="s">
        <v>338</v>
      </c>
      <c r="D149" s="160">
        <f>'дод 2'!E35+'дод 2'!E228</f>
        <v>5483500</v>
      </c>
      <c r="E149" s="160">
        <f>'дод 2'!F35+'дод 2'!F228</f>
        <v>5483500</v>
      </c>
      <c r="F149" s="160">
        <f>'дод 2'!G35+'дод 2'!G228</f>
        <v>3714400</v>
      </c>
      <c r="G149" s="160">
        <f>'дод 2'!H35+'дод 2'!H228</f>
        <v>224100</v>
      </c>
      <c r="H149" s="160">
        <f>'дод 2'!I35+'дод 2'!I228</f>
        <v>0</v>
      </c>
      <c r="I149" s="160">
        <f>'дод 2'!J35+'дод 2'!J228</f>
        <v>0</v>
      </c>
      <c r="J149" s="160">
        <f>'дод 2'!K35+'дод 2'!K228</f>
        <v>0</v>
      </c>
      <c r="K149" s="160">
        <f>'дод 2'!L35+'дод 2'!L228</f>
        <v>0</v>
      </c>
      <c r="L149" s="160">
        <f>'дод 2'!M35+'дод 2'!M228</f>
        <v>0</v>
      </c>
      <c r="M149" s="160">
        <f>'дод 2'!N35+'дод 2'!N228</f>
        <v>0</v>
      </c>
      <c r="N149" s="160">
        <f>'дод 2'!O35+'дод 2'!O228</f>
        <v>0</v>
      </c>
      <c r="O149" s="160">
        <f>'дод 2'!P35+'дод 2'!P228</f>
        <v>5483500</v>
      </c>
    </row>
    <row r="150" spans="1:15" s="51" customFormat="1" ht="22.5" customHeight="1" x14ac:dyDescent="0.25">
      <c r="A150" s="37" t="s">
        <v>289</v>
      </c>
      <c r="B150" s="37" t="s">
        <v>74</v>
      </c>
      <c r="C150" s="3" t="s">
        <v>290</v>
      </c>
      <c r="D150" s="160">
        <f>'дод 2'!E36+'дод 2'!E229</f>
        <v>3174300</v>
      </c>
      <c r="E150" s="160">
        <f>'дод 2'!F36+'дод 2'!F229</f>
        <v>3174300</v>
      </c>
      <c r="F150" s="160">
        <f>'дод 2'!G36+'дод 2'!G229</f>
        <v>0</v>
      </c>
      <c r="G150" s="160">
        <f>'дод 2'!H36+'дод 2'!H229</f>
        <v>0</v>
      </c>
      <c r="H150" s="160">
        <f>'дод 2'!I36+'дод 2'!I229</f>
        <v>0</v>
      </c>
      <c r="I150" s="160">
        <f>'дод 2'!J36+'дод 2'!J229</f>
        <v>0</v>
      </c>
      <c r="J150" s="160">
        <f>'дод 2'!K36+'дод 2'!K229</f>
        <v>0</v>
      </c>
      <c r="K150" s="160">
        <f>'дод 2'!L36+'дод 2'!L229</f>
        <v>0</v>
      </c>
      <c r="L150" s="160">
        <f>'дод 2'!M36+'дод 2'!M229</f>
        <v>0</v>
      </c>
      <c r="M150" s="160">
        <f>'дод 2'!N36+'дод 2'!N229</f>
        <v>0</v>
      </c>
      <c r="N150" s="160">
        <f>'дод 2'!O36+'дод 2'!O229</f>
        <v>0</v>
      </c>
      <c r="O150" s="160">
        <f>'дод 2'!P36+'дод 2'!P229</f>
        <v>3174300</v>
      </c>
    </row>
    <row r="151" spans="1:15" s="49" customFormat="1" ht="21.75" customHeight="1" x14ac:dyDescent="0.25">
      <c r="A151" s="38" t="s">
        <v>77</v>
      </c>
      <c r="B151" s="41"/>
      <c r="C151" s="2" t="s">
        <v>591</v>
      </c>
      <c r="D151" s="47">
        <f t="shared" ref="D151:O151" si="24">D153+D154+D155+D157+D158+D159</f>
        <v>72889000</v>
      </c>
      <c r="E151" s="47">
        <f t="shared" si="24"/>
        <v>72889000</v>
      </c>
      <c r="F151" s="47">
        <f t="shared" si="24"/>
        <v>26901100</v>
      </c>
      <c r="G151" s="47">
        <f t="shared" si="24"/>
        <v>2482900</v>
      </c>
      <c r="H151" s="47">
        <f t="shared" si="24"/>
        <v>0</v>
      </c>
      <c r="I151" s="47">
        <f t="shared" si="24"/>
        <v>10786660</v>
      </c>
      <c r="J151" s="47">
        <f t="shared" si="24"/>
        <v>10350000</v>
      </c>
      <c r="K151" s="47">
        <f t="shared" si="24"/>
        <v>436660</v>
      </c>
      <c r="L151" s="47">
        <f t="shared" si="24"/>
        <v>288239</v>
      </c>
      <c r="M151" s="47">
        <f t="shared" si="24"/>
        <v>62532</v>
      </c>
      <c r="N151" s="47">
        <f t="shared" si="24"/>
        <v>10350000</v>
      </c>
      <c r="O151" s="47">
        <f t="shared" si="24"/>
        <v>83675660</v>
      </c>
    </row>
    <row r="152" spans="1:15" s="49" customFormat="1" ht="21.75" hidden="1" customHeight="1" x14ac:dyDescent="0.25">
      <c r="A152" s="38"/>
      <c r="B152" s="41"/>
      <c r="C152" s="70" t="s">
        <v>390</v>
      </c>
      <c r="D152" s="162">
        <f>D156</f>
        <v>0</v>
      </c>
      <c r="E152" s="162">
        <f t="shared" ref="E152:O152" si="25">E156</f>
        <v>0</v>
      </c>
      <c r="F152" s="162">
        <f t="shared" si="25"/>
        <v>0</v>
      </c>
      <c r="G152" s="162">
        <f t="shared" si="25"/>
        <v>0</v>
      </c>
      <c r="H152" s="162">
        <f t="shared" si="25"/>
        <v>0</v>
      </c>
      <c r="I152" s="162">
        <f t="shared" si="25"/>
        <v>0</v>
      </c>
      <c r="J152" s="162">
        <f t="shared" si="25"/>
        <v>0</v>
      </c>
      <c r="K152" s="162">
        <f t="shared" si="25"/>
        <v>0</v>
      </c>
      <c r="L152" s="162">
        <f t="shared" si="25"/>
        <v>0</v>
      </c>
      <c r="M152" s="162">
        <f t="shared" si="25"/>
        <v>0</v>
      </c>
      <c r="N152" s="162">
        <f t="shared" si="25"/>
        <v>0</v>
      </c>
      <c r="O152" s="162">
        <f t="shared" si="25"/>
        <v>0</v>
      </c>
    </row>
    <row r="153" spans="1:15" s="51" customFormat="1" ht="37.5" customHeight="1" x14ac:dyDescent="0.25">
      <c r="A153" s="37" t="s">
        <v>78</v>
      </c>
      <c r="B153" s="37" t="s">
        <v>79</v>
      </c>
      <c r="C153" s="3" t="s">
        <v>21</v>
      </c>
      <c r="D153" s="160">
        <f>'дод 2'!E37</f>
        <v>750000</v>
      </c>
      <c r="E153" s="160">
        <f>'дод 2'!F37</f>
        <v>750000</v>
      </c>
      <c r="F153" s="160">
        <f>'дод 2'!G37</f>
        <v>0</v>
      </c>
      <c r="G153" s="160">
        <f>'дод 2'!H37</f>
        <v>0</v>
      </c>
      <c r="H153" s="160">
        <f>'дод 2'!I37</f>
        <v>0</v>
      </c>
      <c r="I153" s="160">
        <f>'дод 2'!J37</f>
        <v>0</v>
      </c>
      <c r="J153" s="160">
        <f>'дод 2'!K37</f>
        <v>0</v>
      </c>
      <c r="K153" s="160">
        <f>'дод 2'!L37</f>
        <v>0</v>
      </c>
      <c r="L153" s="160">
        <f>'дод 2'!M37</f>
        <v>0</v>
      </c>
      <c r="M153" s="160">
        <f>'дод 2'!N37</f>
        <v>0</v>
      </c>
      <c r="N153" s="160">
        <f>'дод 2'!O37</f>
        <v>0</v>
      </c>
      <c r="O153" s="160">
        <f>'дод 2'!P37</f>
        <v>750000</v>
      </c>
    </row>
    <row r="154" spans="1:15" s="51" customFormat="1" ht="34.5" customHeight="1" x14ac:dyDescent="0.25">
      <c r="A154" s="37" t="s">
        <v>80</v>
      </c>
      <c r="B154" s="37" t="s">
        <v>79</v>
      </c>
      <c r="C154" s="3" t="s">
        <v>16</v>
      </c>
      <c r="D154" s="160">
        <f>'дод 2'!E38</f>
        <v>750000</v>
      </c>
      <c r="E154" s="160">
        <f>'дод 2'!F38</f>
        <v>750000</v>
      </c>
      <c r="F154" s="160">
        <f>'дод 2'!G38</f>
        <v>0</v>
      </c>
      <c r="G154" s="160">
        <f>'дод 2'!H38</f>
        <v>0</v>
      </c>
      <c r="H154" s="160">
        <f>'дод 2'!I38</f>
        <v>0</v>
      </c>
      <c r="I154" s="160">
        <f>'дод 2'!J38</f>
        <v>0</v>
      </c>
      <c r="J154" s="160">
        <f>'дод 2'!K38</f>
        <v>0</v>
      </c>
      <c r="K154" s="160">
        <f>'дод 2'!L38</f>
        <v>0</v>
      </c>
      <c r="L154" s="160">
        <f>'дод 2'!M38</f>
        <v>0</v>
      </c>
      <c r="M154" s="160">
        <f>'дод 2'!N38</f>
        <v>0</v>
      </c>
      <c r="N154" s="160">
        <f>'дод 2'!O38</f>
        <v>0</v>
      </c>
      <c r="O154" s="160">
        <f>'дод 2'!P38</f>
        <v>750000</v>
      </c>
    </row>
    <row r="155" spans="1:15" s="51" customFormat="1" ht="36.75" customHeight="1" x14ac:dyDescent="0.25">
      <c r="A155" s="37" t="s">
        <v>114</v>
      </c>
      <c r="B155" s="37" t="s">
        <v>79</v>
      </c>
      <c r="C155" s="3" t="s">
        <v>563</v>
      </c>
      <c r="D155" s="160">
        <f>'дод 2'!E39+'дод 2'!E120</f>
        <v>32404200</v>
      </c>
      <c r="E155" s="160">
        <f>'дод 2'!F39+'дод 2'!F120</f>
        <v>32404200</v>
      </c>
      <c r="F155" s="160">
        <f>'дод 2'!G39+'дод 2'!G120</f>
        <v>23747000</v>
      </c>
      <c r="G155" s="160">
        <f>'дод 2'!H39+'дод 2'!H120</f>
        <v>1852500</v>
      </c>
      <c r="H155" s="160">
        <f>'дод 2'!I39+'дод 2'!I120</f>
        <v>0</v>
      </c>
      <c r="I155" s="160">
        <f>'дод 2'!J39+'дод 2'!J120</f>
        <v>350000</v>
      </c>
      <c r="J155" s="160">
        <f>'дод 2'!K39+'дод 2'!K120</f>
        <v>350000</v>
      </c>
      <c r="K155" s="160">
        <f>'дод 2'!L39+'дод 2'!L120</f>
        <v>0</v>
      </c>
      <c r="L155" s="160">
        <f>'дод 2'!M39+'дод 2'!M120</f>
        <v>0</v>
      </c>
      <c r="M155" s="160">
        <f>'дод 2'!N39+'дод 2'!N120</f>
        <v>0</v>
      </c>
      <c r="N155" s="160">
        <f>'дод 2'!O39+'дод 2'!O120</f>
        <v>350000</v>
      </c>
      <c r="O155" s="160">
        <f>'дод 2'!P39+'дод 2'!P120</f>
        <v>32754200</v>
      </c>
    </row>
    <row r="156" spans="1:15" s="51" customFormat="1" ht="25.5" hidden="1" customHeight="1" x14ac:dyDescent="0.25">
      <c r="A156" s="37"/>
      <c r="B156" s="37"/>
      <c r="C156" s="79" t="s">
        <v>390</v>
      </c>
      <c r="D156" s="161">
        <f>'дод 2'!E121</f>
        <v>0</v>
      </c>
      <c r="E156" s="161">
        <f>'дод 2'!F121</f>
        <v>0</v>
      </c>
      <c r="F156" s="161">
        <f>'дод 2'!G121</f>
        <v>0</v>
      </c>
      <c r="G156" s="161">
        <f>'дод 2'!H121</f>
        <v>0</v>
      </c>
      <c r="H156" s="161">
        <f>'дод 2'!I121</f>
        <v>0</v>
      </c>
      <c r="I156" s="161">
        <f>'дод 2'!J121</f>
        <v>0</v>
      </c>
      <c r="J156" s="161">
        <f>'дод 2'!K121</f>
        <v>0</v>
      </c>
      <c r="K156" s="161">
        <f>'дод 2'!L121</f>
        <v>0</v>
      </c>
      <c r="L156" s="161">
        <f>'дод 2'!M121</f>
        <v>0</v>
      </c>
      <c r="M156" s="161">
        <f>'дод 2'!N121</f>
        <v>0</v>
      </c>
      <c r="N156" s="161">
        <f>'дод 2'!O121</f>
        <v>0</v>
      </c>
      <c r="O156" s="161">
        <f>'дод 2'!P121</f>
        <v>0</v>
      </c>
    </row>
    <row r="157" spans="1:15" s="51" customFormat="1" ht="38.25" customHeight="1" x14ac:dyDescent="0.25">
      <c r="A157" s="37" t="s">
        <v>115</v>
      </c>
      <c r="B157" s="37" t="s">
        <v>79</v>
      </c>
      <c r="C157" s="3" t="s">
        <v>22</v>
      </c>
      <c r="D157" s="160">
        <f>'дод 2'!E40</f>
        <v>15560000</v>
      </c>
      <c r="E157" s="160">
        <f>'дод 2'!F40</f>
        <v>15560000</v>
      </c>
      <c r="F157" s="160">
        <f>'дод 2'!G40</f>
        <v>0</v>
      </c>
      <c r="G157" s="160">
        <f>'дод 2'!H40</f>
        <v>0</v>
      </c>
      <c r="H157" s="160">
        <f>'дод 2'!I40</f>
        <v>0</v>
      </c>
      <c r="I157" s="160">
        <f>'дод 2'!J40</f>
        <v>0</v>
      </c>
      <c r="J157" s="160">
        <f>'дод 2'!K40</f>
        <v>0</v>
      </c>
      <c r="K157" s="160">
        <f>'дод 2'!L40</f>
        <v>0</v>
      </c>
      <c r="L157" s="160">
        <f>'дод 2'!M40</f>
        <v>0</v>
      </c>
      <c r="M157" s="160">
        <f>'дод 2'!N40</f>
        <v>0</v>
      </c>
      <c r="N157" s="160">
        <f>'дод 2'!O40</f>
        <v>0</v>
      </c>
      <c r="O157" s="160">
        <f>'дод 2'!P40</f>
        <v>15560000</v>
      </c>
    </row>
    <row r="158" spans="1:15" s="51" customFormat="1" ht="54" customHeight="1" x14ac:dyDescent="0.25">
      <c r="A158" s="37" t="s">
        <v>111</v>
      </c>
      <c r="B158" s="37" t="s">
        <v>79</v>
      </c>
      <c r="C158" s="3" t="s">
        <v>598</v>
      </c>
      <c r="D158" s="160">
        <f>'дод 2'!E41</f>
        <v>5512100</v>
      </c>
      <c r="E158" s="160">
        <f>'дод 2'!F41</f>
        <v>5512100</v>
      </c>
      <c r="F158" s="160">
        <f>'дод 2'!G41</f>
        <v>3154100</v>
      </c>
      <c r="G158" s="160">
        <f>'дод 2'!H41</f>
        <v>630400</v>
      </c>
      <c r="H158" s="160">
        <f>'дод 2'!I41</f>
        <v>0</v>
      </c>
      <c r="I158" s="160">
        <f>'дод 2'!J41</f>
        <v>10436660</v>
      </c>
      <c r="J158" s="160">
        <f>'дод 2'!K41</f>
        <v>10000000</v>
      </c>
      <c r="K158" s="160">
        <f>'дод 2'!L41</f>
        <v>436660</v>
      </c>
      <c r="L158" s="160">
        <f>'дод 2'!M41</f>
        <v>288239</v>
      </c>
      <c r="M158" s="160">
        <f>'дод 2'!N41</f>
        <v>62532</v>
      </c>
      <c r="N158" s="160">
        <f>'дод 2'!O41</f>
        <v>10000000</v>
      </c>
      <c r="O158" s="160">
        <f>'дод 2'!P41</f>
        <v>15948760</v>
      </c>
    </row>
    <row r="159" spans="1:15" s="51" customFormat="1" ht="36.75" customHeight="1" x14ac:dyDescent="0.25">
      <c r="A159" s="37" t="s">
        <v>113</v>
      </c>
      <c r="B159" s="37" t="s">
        <v>79</v>
      </c>
      <c r="C159" s="3" t="s">
        <v>112</v>
      </c>
      <c r="D159" s="160">
        <f>'дод 2'!E42</f>
        <v>17912700</v>
      </c>
      <c r="E159" s="160">
        <f>'дод 2'!F42</f>
        <v>17912700</v>
      </c>
      <c r="F159" s="160">
        <f>'дод 2'!G42</f>
        <v>0</v>
      </c>
      <c r="G159" s="160">
        <f>'дод 2'!H42</f>
        <v>0</v>
      </c>
      <c r="H159" s="160">
        <f>'дод 2'!I42</f>
        <v>0</v>
      </c>
      <c r="I159" s="160">
        <f>'дод 2'!J42</f>
        <v>0</v>
      </c>
      <c r="J159" s="160">
        <f>'дод 2'!K42</f>
        <v>0</v>
      </c>
      <c r="K159" s="160">
        <f>'дод 2'!L42</f>
        <v>0</v>
      </c>
      <c r="L159" s="160">
        <f>'дод 2'!M42</f>
        <v>0</v>
      </c>
      <c r="M159" s="160">
        <f>'дод 2'!N42</f>
        <v>0</v>
      </c>
      <c r="N159" s="160">
        <f>'дод 2'!O42</f>
        <v>0</v>
      </c>
      <c r="O159" s="160">
        <f>'дод 2'!P42</f>
        <v>17912700</v>
      </c>
    </row>
    <row r="160" spans="1:15" s="49" customFormat="1" ht="18" customHeight="1" x14ac:dyDescent="0.25">
      <c r="A160" s="38" t="s">
        <v>65</v>
      </c>
      <c r="B160" s="41"/>
      <c r="C160" s="2" t="s">
        <v>66</v>
      </c>
      <c r="D160" s="47">
        <f>D162+D163+D164+D165+D166+D167+D169+D171+D172+D168</f>
        <v>400375334</v>
      </c>
      <c r="E160" s="47">
        <f t="shared" ref="E160:O160" si="26">E162+E163+E164+E165+E166+E167+E169+E171+E172+E168</f>
        <v>219393760</v>
      </c>
      <c r="F160" s="47">
        <f t="shared" si="26"/>
        <v>0</v>
      </c>
      <c r="G160" s="47">
        <f t="shared" si="26"/>
        <v>44470000</v>
      </c>
      <c r="H160" s="47">
        <f t="shared" si="26"/>
        <v>180981574</v>
      </c>
      <c r="I160" s="47">
        <f t="shared" si="26"/>
        <v>130672753</v>
      </c>
      <c r="J160" s="47">
        <f t="shared" si="26"/>
        <v>128690000</v>
      </c>
      <c r="K160" s="47">
        <f t="shared" si="26"/>
        <v>1779900</v>
      </c>
      <c r="L160" s="47">
        <f t="shared" si="26"/>
        <v>0</v>
      </c>
      <c r="M160" s="47">
        <f t="shared" si="26"/>
        <v>0</v>
      </c>
      <c r="N160" s="47">
        <f t="shared" si="26"/>
        <v>128892853</v>
      </c>
      <c r="O160" s="47">
        <f t="shared" si="26"/>
        <v>531048087</v>
      </c>
    </row>
    <row r="161" spans="1:15" s="50" customFormat="1" ht="113.25" hidden="1" customHeight="1" x14ac:dyDescent="0.25">
      <c r="A161" s="65"/>
      <c r="B161" s="66"/>
      <c r="C161" s="124" t="s">
        <v>574</v>
      </c>
      <c r="D161" s="162">
        <f>D170</f>
        <v>0</v>
      </c>
      <c r="E161" s="162">
        <f t="shared" ref="E161:O161" si="27">E170</f>
        <v>0</v>
      </c>
      <c r="F161" s="162">
        <f t="shared" si="27"/>
        <v>0</v>
      </c>
      <c r="G161" s="162">
        <f t="shared" si="27"/>
        <v>0</v>
      </c>
      <c r="H161" s="162">
        <f t="shared" si="27"/>
        <v>0</v>
      </c>
      <c r="I161" s="162">
        <f t="shared" si="27"/>
        <v>0</v>
      </c>
      <c r="J161" s="162">
        <f t="shared" si="27"/>
        <v>0</v>
      </c>
      <c r="K161" s="162">
        <f t="shared" si="27"/>
        <v>0</v>
      </c>
      <c r="L161" s="162">
        <f t="shared" si="27"/>
        <v>0</v>
      </c>
      <c r="M161" s="162">
        <f t="shared" si="27"/>
        <v>0</v>
      </c>
      <c r="N161" s="162">
        <f t="shared" si="27"/>
        <v>0</v>
      </c>
      <c r="O161" s="162">
        <f t="shared" si="27"/>
        <v>0</v>
      </c>
    </row>
    <row r="162" spans="1:15" s="51" customFormat="1" ht="31.5" x14ac:dyDescent="0.25">
      <c r="A162" s="37" t="s">
        <v>125</v>
      </c>
      <c r="B162" s="37" t="s">
        <v>67</v>
      </c>
      <c r="C162" s="3" t="s">
        <v>126</v>
      </c>
      <c r="D162" s="160">
        <f>'дод 2'!E244</f>
        <v>0</v>
      </c>
      <c r="E162" s="160">
        <f>'дод 2'!F244</f>
        <v>0</v>
      </c>
      <c r="F162" s="160">
        <f>'дод 2'!G244</f>
        <v>0</v>
      </c>
      <c r="G162" s="160">
        <f>'дод 2'!H244</f>
        <v>0</v>
      </c>
      <c r="H162" s="160">
        <f>'дод 2'!I244</f>
        <v>0</v>
      </c>
      <c r="I162" s="160">
        <f>'дод 2'!J244</f>
        <v>5560000</v>
      </c>
      <c r="J162" s="160">
        <f>'дод 2'!K244</f>
        <v>5560000</v>
      </c>
      <c r="K162" s="160">
        <f>'дод 2'!L244</f>
        <v>0</v>
      </c>
      <c r="L162" s="160">
        <f>'дод 2'!M244</f>
        <v>0</v>
      </c>
      <c r="M162" s="160">
        <f>'дод 2'!N244</f>
        <v>0</v>
      </c>
      <c r="N162" s="160">
        <f>'дод 2'!O244</f>
        <v>5560000</v>
      </c>
      <c r="O162" s="160">
        <f>'дод 2'!P244</f>
        <v>5560000</v>
      </c>
    </row>
    <row r="163" spans="1:15" s="51" customFormat="1" ht="36.75" customHeight="1" x14ac:dyDescent="0.25">
      <c r="A163" s="37" t="s">
        <v>127</v>
      </c>
      <c r="B163" s="37" t="s">
        <v>69</v>
      </c>
      <c r="C163" s="3" t="s">
        <v>144</v>
      </c>
      <c r="D163" s="160">
        <f>'дод 2'!E245</f>
        <v>576000</v>
      </c>
      <c r="E163" s="160">
        <f>'дод 2'!F245</f>
        <v>376000</v>
      </c>
      <c r="F163" s="160">
        <f>'дод 2'!G245</f>
        <v>0</v>
      </c>
      <c r="G163" s="160">
        <f>'дод 2'!H245</f>
        <v>0</v>
      </c>
      <c r="H163" s="160">
        <f>'дод 2'!I245</f>
        <v>200000</v>
      </c>
      <c r="I163" s="160">
        <f>'дод 2'!J245</f>
        <v>0</v>
      </c>
      <c r="J163" s="160">
        <f>'дод 2'!K245</f>
        <v>0</v>
      </c>
      <c r="K163" s="160">
        <f>'дод 2'!L245</f>
        <v>0</v>
      </c>
      <c r="L163" s="160">
        <f>'дод 2'!M245</f>
        <v>0</v>
      </c>
      <c r="M163" s="160">
        <f>'дод 2'!N245</f>
        <v>0</v>
      </c>
      <c r="N163" s="160">
        <f>'дод 2'!O245</f>
        <v>0</v>
      </c>
      <c r="O163" s="160">
        <f>'дод 2'!P245</f>
        <v>576000</v>
      </c>
    </row>
    <row r="164" spans="1:15" s="51" customFormat="1" ht="33" customHeight="1" x14ac:dyDescent="0.25">
      <c r="A164" s="40" t="s">
        <v>257</v>
      </c>
      <c r="B164" s="40" t="s">
        <v>69</v>
      </c>
      <c r="C164" s="3" t="s">
        <v>258</v>
      </c>
      <c r="D164" s="160">
        <f>'дод 2'!E246</f>
        <v>100000</v>
      </c>
      <c r="E164" s="160">
        <f>'дод 2'!F246</f>
        <v>100000</v>
      </c>
      <c r="F164" s="160">
        <f>'дод 2'!G246</f>
        <v>0</v>
      </c>
      <c r="G164" s="160">
        <f>'дод 2'!H246</f>
        <v>0</v>
      </c>
      <c r="H164" s="160">
        <f>'дод 2'!I246</f>
        <v>0</v>
      </c>
      <c r="I164" s="160">
        <f>'дод 2'!J246</f>
        <v>14472274</v>
      </c>
      <c r="J164" s="160">
        <f>'дод 2'!K246</f>
        <v>14380000</v>
      </c>
      <c r="K164" s="160">
        <f>'дод 2'!L246</f>
        <v>0</v>
      </c>
      <c r="L164" s="160">
        <f>'дод 2'!M246</f>
        <v>0</v>
      </c>
      <c r="M164" s="160">
        <f>'дод 2'!N246</f>
        <v>0</v>
      </c>
      <c r="N164" s="160">
        <f>'дод 2'!O246</f>
        <v>14472274</v>
      </c>
      <c r="O164" s="160">
        <f>'дод 2'!P246</f>
        <v>14572274</v>
      </c>
    </row>
    <row r="165" spans="1:15" s="51" customFormat="1" ht="33" customHeight="1" x14ac:dyDescent="0.25">
      <c r="A165" s="37" t="s">
        <v>260</v>
      </c>
      <c r="B165" s="37" t="s">
        <v>69</v>
      </c>
      <c r="C165" s="3" t="s">
        <v>339</v>
      </c>
      <c r="D165" s="160">
        <f>'дод 2'!E247</f>
        <v>110000</v>
      </c>
      <c r="E165" s="160">
        <f>'дод 2'!F247</f>
        <v>110000</v>
      </c>
      <c r="F165" s="160">
        <f>'дод 2'!G247</f>
        <v>0</v>
      </c>
      <c r="G165" s="160">
        <f>'дод 2'!H247</f>
        <v>0</v>
      </c>
      <c r="H165" s="160">
        <f>'дод 2'!I247</f>
        <v>0</v>
      </c>
      <c r="I165" s="160">
        <f>'дод 2'!J247</f>
        <v>0</v>
      </c>
      <c r="J165" s="160">
        <f>'дод 2'!K247</f>
        <v>0</v>
      </c>
      <c r="K165" s="160">
        <f>'дод 2'!L247</f>
        <v>0</v>
      </c>
      <c r="L165" s="160">
        <f>'дод 2'!M247</f>
        <v>0</v>
      </c>
      <c r="M165" s="160">
        <f>'дод 2'!N247</f>
        <v>0</v>
      </c>
      <c r="N165" s="160">
        <f>'дод 2'!O247</f>
        <v>0</v>
      </c>
      <c r="O165" s="160">
        <f>'дод 2'!P247</f>
        <v>110000</v>
      </c>
    </row>
    <row r="166" spans="1:15" s="51" customFormat="1" ht="52.5" customHeight="1" x14ac:dyDescent="0.25">
      <c r="A166" s="37" t="s">
        <v>68</v>
      </c>
      <c r="B166" s="37" t="s">
        <v>69</v>
      </c>
      <c r="C166" s="3" t="s">
        <v>130</v>
      </c>
      <c r="D166" s="160">
        <f>'дод 2'!E248</f>
        <v>350000</v>
      </c>
      <c r="E166" s="160">
        <f>'дод 2'!F248</f>
        <v>0</v>
      </c>
      <c r="F166" s="160">
        <f>'дод 2'!G248</f>
        <v>0</v>
      </c>
      <c r="G166" s="160">
        <f>'дод 2'!H248</f>
        <v>0</v>
      </c>
      <c r="H166" s="160">
        <f>'дод 2'!I248</f>
        <v>350000</v>
      </c>
      <c r="I166" s="160">
        <f>'дод 2'!J248</f>
        <v>0</v>
      </c>
      <c r="J166" s="160">
        <f>'дод 2'!K248</f>
        <v>0</v>
      </c>
      <c r="K166" s="160">
        <f>'дод 2'!L248</f>
        <v>0</v>
      </c>
      <c r="L166" s="160">
        <f>'дод 2'!M248</f>
        <v>0</v>
      </c>
      <c r="M166" s="160">
        <f>'дод 2'!N248</f>
        <v>0</v>
      </c>
      <c r="N166" s="160">
        <f>'дод 2'!O248</f>
        <v>0</v>
      </c>
      <c r="O166" s="160">
        <f>'дод 2'!P248</f>
        <v>350000</v>
      </c>
    </row>
    <row r="167" spans="1:15" ht="24" customHeight="1" x14ac:dyDescent="0.25">
      <c r="A167" s="37" t="s">
        <v>128</v>
      </c>
      <c r="B167" s="37" t="s">
        <v>69</v>
      </c>
      <c r="C167" s="3" t="s">
        <v>129</v>
      </c>
      <c r="D167" s="160">
        <f>'дод 2'!E249+'дод 2'!E291</f>
        <v>190875000</v>
      </c>
      <c r="E167" s="160">
        <f>'дод 2'!F249+'дод 2'!F291</f>
        <v>190661000</v>
      </c>
      <c r="F167" s="160">
        <f>'дод 2'!G249+'дод 2'!G291</f>
        <v>0</v>
      </c>
      <c r="G167" s="160">
        <f>'дод 2'!H249+'дод 2'!H291</f>
        <v>44410000</v>
      </c>
      <c r="H167" s="160">
        <f>'дод 2'!I249+'дод 2'!I291</f>
        <v>214000</v>
      </c>
      <c r="I167" s="160">
        <f>'дод 2'!J249+'дод 2'!J291</f>
        <v>108750000</v>
      </c>
      <c r="J167" s="160">
        <f>'дод 2'!K249+'дод 2'!K291</f>
        <v>108750000</v>
      </c>
      <c r="K167" s="160">
        <f>'дод 2'!L249+'дод 2'!L291</f>
        <v>0</v>
      </c>
      <c r="L167" s="160">
        <f>'дод 2'!M249+'дод 2'!M291</f>
        <v>0</v>
      </c>
      <c r="M167" s="160">
        <f>'дод 2'!N249+'дод 2'!N291</f>
        <v>0</v>
      </c>
      <c r="N167" s="160">
        <f>'дод 2'!O249+'дод 2'!O291</f>
        <v>108750000</v>
      </c>
      <c r="O167" s="160">
        <f>'дод 2'!P249+'дод 2'!P291</f>
        <v>299625000</v>
      </c>
    </row>
    <row r="168" spans="1:15" ht="94.5" x14ac:dyDescent="0.25">
      <c r="A168" s="37">
        <v>6071</v>
      </c>
      <c r="B168" s="56" t="s">
        <v>307</v>
      </c>
      <c r="C168" s="11" t="s">
        <v>584</v>
      </c>
      <c r="D168" s="160">
        <f>'дод 2'!E252</f>
        <v>180117574</v>
      </c>
      <c r="E168" s="160">
        <f>'дод 2'!F252</f>
        <v>0</v>
      </c>
      <c r="F168" s="160">
        <f>'дод 2'!G252</f>
        <v>0</v>
      </c>
      <c r="G168" s="160">
        <f>'дод 2'!H252</f>
        <v>0</v>
      </c>
      <c r="H168" s="160">
        <f>'дод 2'!I252</f>
        <v>180117574</v>
      </c>
      <c r="I168" s="160">
        <f>'дод 2'!J252</f>
        <v>0</v>
      </c>
      <c r="J168" s="160">
        <f>'дод 2'!K252</f>
        <v>0</v>
      </c>
      <c r="K168" s="160">
        <f>'дод 2'!L252</f>
        <v>0</v>
      </c>
      <c r="L168" s="160">
        <f>'дод 2'!M252</f>
        <v>0</v>
      </c>
      <c r="M168" s="160">
        <f>'дод 2'!N252</f>
        <v>0</v>
      </c>
      <c r="N168" s="160">
        <f>'дод 2'!O252</f>
        <v>0</v>
      </c>
      <c r="O168" s="160">
        <f>'дод 2'!P252</f>
        <v>180117574</v>
      </c>
    </row>
    <row r="169" spans="1:15" ht="83.25" hidden="1" customHeight="1" x14ac:dyDescent="0.25">
      <c r="A169" s="37">
        <v>6083</v>
      </c>
      <c r="B169" s="55" t="s">
        <v>67</v>
      </c>
      <c r="C169" s="11" t="s">
        <v>428</v>
      </c>
      <c r="D169" s="160">
        <f>'дод 2'!E220+'дод 2'!E250</f>
        <v>0</v>
      </c>
      <c r="E169" s="160">
        <f>'дод 2'!F220+'дод 2'!F250</f>
        <v>0</v>
      </c>
      <c r="F169" s="160">
        <f>'дод 2'!G220+'дод 2'!G250</f>
        <v>0</v>
      </c>
      <c r="G169" s="160">
        <f>'дод 2'!H220+'дод 2'!H250</f>
        <v>0</v>
      </c>
      <c r="H169" s="160">
        <f>'дод 2'!I220+'дод 2'!I250</f>
        <v>0</v>
      </c>
      <c r="I169" s="160">
        <f>'дод 2'!J220+'дод 2'!J250</f>
        <v>0</v>
      </c>
      <c r="J169" s="160">
        <f>'дод 2'!K220+'дод 2'!K250</f>
        <v>0</v>
      </c>
      <c r="K169" s="160">
        <f>'дод 2'!L220+'дод 2'!L250</f>
        <v>0</v>
      </c>
      <c r="L169" s="160">
        <f>'дод 2'!M220+'дод 2'!M250</f>
        <v>0</v>
      </c>
      <c r="M169" s="160">
        <f>'дод 2'!N220+'дод 2'!N250</f>
        <v>0</v>
      </c>
      <c r="N169" s="160">
        <f>'дод 2'!O220+'дод 2'!O250</f>
        <v>0</v>
      </c>
      <c r="O169" s="160">
        <f>'дод 2'!P220+'дод 2'!P250</f>
        <v>0</v>
      </c>
    </row>
    <row r="170" spans="1:15" s="51" customFormat="1" ht="126" hidden="1" customHeight="1" x14ac:dyDescent="0.25">
      <c r="A170" s="71"/>
      <c r="B170" s="81"/>
      <c r="C170" s="82" t="s">
        <v>574</v>
      </c>
      <c r="D170" s="161">
        <f>'дод 2'!E221+'дод 2'!E251</f>
        <v>0</v>
      </c>
      <c r="E170" s="161">
        <f>'дод 2'!F221+'дод 2'!F251</f>
        <v>0</v>
      </c>
      <c r="F170" s="161">
        <f>'дод 2'!G221+'дод 2'!G251</f>
        <v>0</v>
      </c>
      <c r="G170" s="161">
        <f>'дод 2'!H221+'дод 2'!H251</f>
        <v>0</v>
      </c>
      <c r="H170" s="161">
        <f>'дод 2'!I221+'дод 2'!I251</f>
        <v>0</v>
      </c>
      <c r="I170" s="161">
        <f>'дод 2'!J221+'дод 2'!J251</f>
        <v>0</v>
      </c>
      <c r="J170" s="161">
        <f>'дод 2'!K221+'дод 2'!K251</f>
        <v>0</v>
      </c>
      <c r="K170" s="161">
        <f>'дод 2'!L221+'дод 2'!L251</f>
        <v>0</v>
      </c>
      <c r="L170" s="161">
        <f>'дод 2'!M221+'дод 2'!M251</f>
        <v>0</v>
      </c>
      <c r="M170" s="161">
        <f>'дод 2'!N221+'дод 2'!N251</f>
        <v>0</v>
      </c>
      <c r="N170" s="161">
        <f>'дод 2'!O221+'дод 2'!O251</f>
        <v>0</v>
      </c>
      <c r="O170" s="161">
        <f>'дод 2'!P221+'дод 2'!P251</f>
        <v>0</v>
      </c>
    </row>
    <row r="171" spans="1:15" s="51" customFormat="1" ht="54" customHeight="1" x14ac:dyDescent="0.25">
      <c r="A171" s="37" t="s">
        <v>132</v>
      </c>
      <c r="B171" s="42" t="s">
        <v>67</v>
      </c>
      <c r="C171" s="3" t="s">
        <v>599</v>
      </c>
      <c r="D171" s="160">
        <f>'дод 2'!E292</f>
        <v>0</v>
      </c>
      <c r="E171" s="160">
        <f>'дод 2'!F292</f>
        <v>0</v>
      </c>
      <c r="F171" s="160">
        <f>'дод 2'!G292</f>
        <v>0</v>
      </c>
      <c r="G171" s="160">
        <f>'дод 2'!H292</f>
        <v>0</v>
      </c>
      <c r="H171" s="160">
        <f>'дод 2'!I292</f>
        <v>0</v>
      </c>
      <c r="I171" s="160">
        <f>'дод 2'!J292</f>
        <v>110579</v>
      </c>
      <c r="J171" s="160">
        <f>'дод 2'!K292</f>
        <v>0</v>
      </c>
      <c r="K171" s="160">
        <f>'дод 2'!L292</f>
        <v>0</v>
      </c>
      <c r="L171" s="160">
        <f>'дод 2'!M292</f>
        <v>0</v>
      </c>
      <c r="M171" s="160">
        <f>'дод 2'!N292</f>
        <v>0</v>
      </c>
      <c r="N171" s="160">
        <f>'дод 2'!O292</f>
        <v>110579</v>
      </c>
      <c r="O171" s="160">
        <f>'дод 2'!P292</f>
        <v>110579</v>
      </c>
    </row>
    <row r="172" spans="1:15" ht="36" customHeight="1" x14ac:dyDescent="0.25">
      <c r="A172" s="37" t="s">
        <v>138</v>
      </c>
      <c r="B172" s="42" t="s">
        <v>307</v>
      </c>
      <c r="C172" s="3" t="s">
        <v>139</v>
      </c>
      <c r="D172" s="160">
        <f>'дод 2'!E253+'дод 2'!E311</f>
        <v>28246760</v>
      </c>
      <c r="E172" s="160">
        <f>'дод 2'!F253+'дод 2'!F311</f>
        <v>28146760</v>
      </c>
      <c r="F172" s="160">
        <f>'дод 2'!G253+'дод 2'!G311</f>
        <v>0</v>
      </c>
      <c r="G172" s="160">
        <f>'дод 2'!H253+'дод 2'!H311</f>
        <v>60000</v>
      </c>
      <c r="H172" s="160">
        <f>'дод 2'!I253+'дод 2'!I311</f>
        <v>100000</v>
      </c>
      <c r="I172" s="160">
        <f>'дод 2'!J253+'дод 2'!J311</f>
        <v>1779900</v>
      </c>
      <c r="J172" s="160">
        <f>'дод 2'!K253+'дод 2'!K311</f>
        <v>0</v>
      </c>
      <c r="K172" s="160">
        <f>'дод 2'!L253+'дод 2'!L311</f>
        <v>1779900</v>
      </c>
      <c r="L172" s="160">
        <f>'дод 2'!M253+'дод 2'!M311</f>
        <v>0</v>
      </c>
      <c r="M172" s="160">
        <f>'дод 2'!N253+'дод 2'!N311</f>
        <v>0</v>
      </c>
      <c r="N172" s="160">
        <f>'дод 2'!O253+'дод 2'!O311</f>
        <v>0</v>
      </c>
      <c r="O172" s="160">
        <f>'дод 2'!P253+'дод 2'!P311</f>
        <v>30026660</v>
      </c>
    </row>
    <row r="173" spans="1:15" s="49" customFormat="1" ht="21.75" customHeight="1" x14ac:dyDescent="0.25">
      <c r="A173" s="38" t="s">
        <v>133</v>
      </c>
      <c r="B173" s="41"/>
      <c r="C173" s="2" t="s">
        <v>401</v>
      </c>
      <c r="D173" s="47">
        <f>D178+D180+D200+D216+D218+D230</f>
        <v>82756903</v>
      </c>
      <c r="E173" s="47">
        <f>E178+E180+E200+E216+E218+E230</f>
        <v>17744757</v>
      </c>
      <c r="F173" s="47">
        <f t="shared" ref="F173:O173" si="28">F178+F180+F200+F216+F218+F230</f>
        <v>0</v>
      </c>
      <c r="G173" s="47">
        <f t="shared" si="28"/>
        <v>0</v>
      </c>
      <c r="H173" s="47">
        <f t="shared" si="28"/>
        <v>65012146</v>
      </c>
      <c r="I173" s="47">
        <f t="shared" si="28"/>
        <v>534819360</v>
      </c>
      <c r="J173" s="47">
        <f t="shared" si="28"/>
        <v>527623961</v>
      </c>
      <c r="K173" s="47">
        <f t="shared" si="28"/>
        <v>1292609</v>
      </c>
      <c r="L173" s="47">
        <f t="shared" si="28"/>
        <v>0</v>
      </c>
      <c r="M173" s="47">
        <f t="shared" si="28"/>
        <v>0</v>
      </c>
      <c r="N173" s="47">
        <f t="shared" si="28"/>
        <v>533526751</v>
      </c>
      <c r="O173" s="47">
        <f t="shared" si="28"/>
        <v>617576263</v>
      </c>
    </row>
    <row r="174" spans="1:15" s="50" customFormat="1" ht="47.25" hidden="1" customHeight="1" x14ac:dyDescent="0.25">
      <c r="A174" s="65"/>
      <c r="B174" s="66"/>
      <c r="C174" s="69" t="s">
        <v>383</v>
      </c>
      <c r="D174" s="162">
        <f>D181</f>
        <v>0</v>
      </c>
      <c r="E174" s="162">
        <f t="shared" ref="E174:O174" si="29">E181</f>
        <v>0</v>
      </c>
      <c r="F174" s="162">
        <f t="shared" si="29"/>
        <v>0</v>
      </c>
      <c r="G174" s="162">
        <f t="shared" si="29"/>
        <v>0</v>
      </c>
      <c r="H174" s="162">
        <f t="shared" si="29"/>
        <v>0</v>
      </c>
      <c r="I174" s="162">
        <f t="shared" si="29"/>
        <v>0</v>
      </c>
      <c r="J174" s="162">
        <f t="shared" si="29"/>
        <v>0</v>
      </c>
      <c r="K174" s="162">
        <f t="shared" si="29"/>
        <v>0</v>
      </c>
      <c r="L174" s="162">
        <f t="shared" si="29"/>
        <v>0</v>
      </c>
      <c r="M174" s="162">
        <f t="shared" si="29"/>
        <v>0</v>
      </c>
      <c r="N174" s="162">
        <f t="shared" si="29"/>
        <v>0</v>
      </c>
      <c r="O174" s="162">
        <f t="shared" si="29"/>
        <v>0</v>
      </c>
    </row>
    <row r="175" spans="1:15" s="50" customFormat="1" ht="110.25" hidden="1" customHeight="1" x14ac:dyDescent="0.25">
      <c r="A175" s="65"/>
      <c r="B175" s="66"/>
      <c r="C175" s="69" t="s">
        <v>391</v>
      </c>
      <c r="D175" s="162">
        <f>D201</f>
        <v>0</v>
      </c>
      <c r="E175" s="162">
        <f t="shared" ref="E175:N175" si="30">E201</f>
        <v>0</v>
      </c>
      <c r="F175" s="162">
        <f t="shared" si="30"/>
        <v>0</v>
      </c>
      <c r="G175" s="162">
        <f t="shared" si="30"/>
        <v>0</v>
      </c>
      <c r="H175" s="162">
        <f t="shared" si="30"/>
        <v>0</v>
      </c>
      <c r="I175" s="162">
        <f t="shared" si="30"/>
        <v>0</v>
      </c>
      <c r="J175" s="162">
        <f t="shared" si="30"/>
        <v>0</v>
      </c>
      <c r="K175" s="162">
        <f t="shared" si="30"/>
        <v>0</v>
      </c>
      <c r="L175" s="162">
        <f t="shared" si="30"/>
        <v>0</v>
      </c>
      <c r="M175" s="162">
        <f t="shared" si="30"/>
        <v>0</v>
      </c>
      <c r="N175" s="162">
        <f t="shared" si="30"/>
        <v>0</v>
      </c>
      <c r="O175" s="162">
        <f t="shared" ref="O175" si="31">O201</f>
        <v>0</v>
      </c>
    </row>
    <row r="176" spans="1:15" s="50" customFormat="1" ht="15.75" hidden="1" customHeight="1" x14ac:dyDescent="0.25">
      <c r="A176" s="65"/>
      <c r="B176" s="66"/>
      <c r="C176" s="70" t="s">
        <v>390</v>
      </c>
      <c r="D176" s="162">
        <f>D182+D203</f>
        <v>0</v>
      </c>
      <c r="E176" s="162">
        <f t="shared" ref="E176:O176" si="32">E182+E203</f>
        <v>0</v>
      </c>
      <c r="F176" s="162">
        <f t="shared" si="32"/>
        <v>0</v>
      </c>
      <c r="G176" s="162">
        <f t="shared" si="32"/>
        <v>0</v>
      </c>
      <c r="H176" s="162">
        <f t="shared" si="32"/>
        <v>0</v>
      </c>
      <c r="I176" s="162">
        <f t="shared" si="32"/>
        <v>0</v>
      </c>
      <c r="J176" s="162">
        <f t="shared" si="32"/>
        <v>0</v>
      </c>
      <c r="K176" s="162">
        <f t="shared" si="32"/>
        <v>0</v>
      </c>
      <c r="L176" s="162">
        <f t="shared" si="32"/>
        <v>0</v>
      </c>
      <c r="M176" s="162">
        <f t="shared" si="32"/>
        <v>0</v>
      </c>
      <c r="N176" s="162">
        <f t="shared" si="32"/>
        <v>0</v>
      </c>
      <c r="O176" s="162">
        <f t="shared" si="32"/>
        <v>0</v>
      </c>
    </row>
    <row r="177" spans="1:15" s="50" customFormat="1" ht="18" customHeight="1" x14ac:dyDescent="0.25">
      <c r="A177" s="65"/>
      <c r="B177" s="65"/>
      <c r="C177" s="75" t="s">
        <v>413</v>
      </c>
      <c r="D177" s="162">
        <f>D219</f>
        <v>0</v>
      </c>
      <c r="E177" s="162">
        <f t="shared" ref="E177:O177" si="33">E219</f>
        <v>0</v>
      </c>
      <c r="F177" s="162">
        <f t="shared" si="33"/>
        <v>0</v>
      </c>
      <c r="G177" s="162">
        <f t="shared" si="33"/>
        <v>0</v>
      </c>
      <c r="H177" s="162">
        <f t="shared" si="33"/>
        <v>0</v>
      </c>
      <c r="I177" s="162">
        <f t="shared" si="33"/>
        <v>180458652</v>
      </c>
      <c r="J177" s="162">
        <f t="shared" si="33"/>
        <v>180458652</v>
      </c>
      <c r="K177" s="162">
        <f t="shared" si="33"/>
        <v>0</v>
      </c>
      <c r="L177" s="162">
        <f t="shared" si="33"/>
        <v>0</v>
      </c>
      <c r="M177" s="162">
        <f t="shared" si="33"/>
        <v>0</v>
      </c>
      <c r="N177" s="162">
        <f t="shared" si="33"/>
        <v>180458652</v>
      </c>
      <c r="O177" s="162">
        <f t="shared" si="33"/>
        <v>180458652</v>
      </c>
    </row>
    <row r="178" spans="1:15" s="49" customFormat="1" x14ac:dyDescent="0.25">
      <c r="A178" s="38" t="s">
        <v>140</v>
      </c>
      <c r="B178" s="41"/>
      <c r="C178" s="2" t="s">
        <v>141</v>
      </c>
      <c r="D178" s="47">
        <f t="shared" ref="D178:O178" si="34">D179</f>
        <v>990000</v>
      </c>
      <c r="E178" s="47">
        <f t="shared" si="34"/>
        <v>990000</v>
      </c>
      <c r="F178" s="47">
        <f t="shared" si="34"/>
        <v>0</v>
      </c>
      <c r="G178" s="47">
        <f t="shared" si="34"/>
        <v>0</v>
      </c>
      <c r="H178" s="47">
        <f t="shared" si="34"/>
        <v>0</v>
      </c>
      <c r="I178" s="47">
        <f t="shared" si="34"/>
        <v>0</v>
      </c>
      <c r="J178" s="47">
        <f t="shared" si="34"/>
        <v>0</v>
      </c>
      <c r="K178" s="47">
        <f t="shared" si="34"/>
        <v>0</v>
      </c>
      <c r="L178" s="47">
        <f t="shared" si="34"/>
        <v>0</v>
      </c>
      <c r="M178" s="47">
        <f t="shared" si="34"/>
        <v>0</v>
      </c>
      <c r="N178" s="47">
        <f t="shared" si="34"/>
        <v>0</v>
      </c>
      <c r="O178" s="47">
        <f t="shared" si="34"/>
        <v>990000</v>
      </c>
    </row>
    <row r="179" spans="1:15" ht="24" customHeight="1" x14ac:dyDescent="0.25">
      <c r="A179" s="37" t="s">
        <v>134</v>
      </c>
      <c r="B179" s="37" t="s">
        <v>82</v>
      </c>
      <c r="C179" s="3" t="s">
        <v>340</v>
      </c>
      <c r="D179" s="160">
        <f>'дод 2'!E322</f>
        <v>990000</v>
      </c>
      <c r="E179" s="160">
        <f>'дод 2'!F322</f>
        <v>990000</v>
      </c>
      <c r="F179" s="160">
        <f>'дод 2'!G322</f>
        <v>0</v>
      </c>
      <c r="G179" s="160">
        <f>'дод 2'!H322</f>
        <v>0</v>
      </c>
      <c r="H179" s="160">
        <f>'дод 2'!I322</f>
        <v>0</v>
      </c>
      <c r="I179" s="160">
        <f>'дод 2'!J322</f>
        <v>0</v>
      </c>
      <c r="J179" s="160">
        <f>'дод 2'!K322</f>
        <v>0</v>
      </c>
      <c r="K179" s="160">
        <f>'дод 2'!L322</f>
        <v>0</v>
      </c>
      <c r="L179" s="160">
        <f>'дод 2'!M322</f>
        <v>0</v>
      </c>
      <c r="M179" s="160">
        <f>'дод 2'!N322</f>
        <v>0</v>
      </c>
      <c r="N179" s="160">
        <f>'дод 2'!O322</f>
        <v>0</v>
      </c>
      <c r="O179" s="160">
        <f>'дод 2'!P322</f>
        <v>990000</v>
      </c>
    </row>
    <row r="180" spans="1:15" s="49" customFormat="1" x14ac:dyDescent="0.25">
      <c r="A180" s="38" t="s">
        <v>96</v>
      </c>
      <c r="B180" s="38"/>
      <c r="C180" s="13" t="s">
        <v>592</v>
      </c>
      <c r="D180" s="47">
        <f>D183+D184+D186+D187+D188+D189+D190+D191+D192+D193+D195+D197+D199</f>
        <v>3397500</v>
      </c>
      <c r="E180" s="47">
        <f t="shared" ref="E180:O180" si="35">E183+E184+E186+E187+E188+E189+E190+E191+E192+E193+E195+E197+E199</f>
        <v>247500</v>
      </c>
      <c r="F180" s="47">
        <f t="shared" si="35"/>
        <v>0</v>
      </c>
      <c r="G180" s="47">
        <f t="shared" si="35"/>
        <v>0</v>
      </c>
      <c r="H180" s="47">
        <f t="shared" si="35"/>
        <v>3150000</v>
      </c>
      <c r="I180" s="47">
        <f t="shared" si="35"/>
        <v>275276115</v>
      </c>
      <c r="J180" s="47">
        <f>J183+J184+J186+J187+J188+J189+J190+J191+J192+J193+J195+J197+J199</f>
        <v>275276115</v>
      </c>
      <c r="K180" s="47">
        <f t="shared" si="35"/>
        <v>0</v>
      </c>
      <c r="L180" s="47">
        <f t="shared" si="35"/>
        <v>0</v>
      </c>
      <c r="M180" s="47">
        <f t="shared" si="35"/>
        <v>0</v>
      </c>
      <c r="N180" s="47">
        <f t="shared" si="35"/>
        <v>275276115</v>
      </c>
      <c r="O180" s="47">
        <f t="shared" si="35"/>
        <v>278673615</v>
      </c>
    </row>
    <row r="181" spans="1:15" s="50" customFormat="1" ht="53.25" hidden="1" customHeight="1" x14ac:dyDescent="0.25">
      <c r="A181" s="65"/>
      <c r="B181" s="65"/>
      <c r="C181" s="69" t="s">
        <v>383</v>
      </c>
      <c r="D181" s="162">
        <f>D196</f>
        <v>0</v>
      </c>
      <c r="E181" s="162">
        <f t="shared" ref="E181:O181" si="36">E196</f>
        <v>0</v>
      </c>
      <c r="F181" s="162">
        <f t="shared" si="36"/>
        <v>0</v>
      </c>
      <c r="G181" s="162">
        <f t="shared" si="36"/>
        <v>0</v>
      </c>
      <c r="H181" s="162">
        <f t="shared" si="36"/>
        <v>0</v>
      </c>
      <c r="I181" s="162">
        <f t="shared" si="36"/>
        <v>0</v>
      </c>
      <c r="J181" s="162">
        <f t="shared" si="36"/>
        <v>0</v>
      </c>
      <c r="K181" s="162">
        <f t="shared" si="36"/>
        <v>0</v>
      </c>
      <c r="L181" s="162">
        <f t="shared" si="36"/>
        <v>0</v>
      </c>
      <c r="M181" s="162">
        <f t="shared" si="36"/>
        <v>0</v>
      </c>
      <c r="N181" s="162">
        <f t="shared" si="36"/>
        <v>0</v>
      </c>
      <c r="O181" s="162">
        <f t="shared" si="36"/>
        <v>0</v>
      </c>
    </row>
    <row r="182" spans="1:15" s="50" customFormat="1" ht="15.75" hidden="1" customHeight="1" x14ac:dyDescent="0.25">
      <c r="A182" s="65"/>
      <c r="B182" s="65"/>
      <c r="C182" s="70" t="s">
        <v>390</v>
      </c>
      <c r="D182" s="162">
        <f>D185+D198</f>
        <v>0</v>
      </c>
      <c r="E182" s="162">
        <f t="shared" ref="E182:O182" si="37">E185+E198</f>
        <v>0</v>
      </c>
      <c r="F182" s="162">
        <f t="shared" si="37"/>
        <v>0</v>
      </c>
      <c r="G182" s="162">
        <f t="shared" si="37"/>
        <v>0</v>
      </c>
      <c r="H182" s="162">
        <f t="shared" si="37"/>
        <v>0</v>
      </c>
      <c r="I182" s="162">
        <f t="shared" si="37"/>
        <v>0</v>
      </c>
      <c r="J182" s="162">
        <f>J185+J198</f>
        <v>0</v>
      </c>
      <c r="K182" s="162">
        <f t="shared" si="37"/>
        <v>0</v>
      </c>
      <c r="L182" s="162">
        <f t="shared" si="37"/>
        <v>0</v>
      </c>
      <c r="M182" s="162">
        <f t="shared" si="37"/>
        <v>0</v>
      </c>
      <c r="N182" s="162">
        <f t="shared" si="37"/>
        <v>0</v>
      </c>
      <c r="O182" s="162">
        <f t="shared" si="37"/>
        <v>0</v>
      </c>
    </row>
    <row r="183" spans="1:15" ht="33" customHeight="1" x14ac:dyDescent="0.25">
      <c r="A183" s="40" t="s">
        <v>269</v>
      </c>
      <c r="B183" s="40" t="s">
        <v>110</v>
      </c>
      <c r="C183" s="6" t="s">
        <v>528</v>
      </c>
      <c r="D183" s="160">
        <f>'дод 2'!E293+'дод 2'!E254</f>
        <v>0</v>
      </c>
      <c r="E183" s="160">
        <f>'дод 2'!F293+'дод 2'!F254</f>
        <v>0</v>
      </c>
      <c r="F183" s="160">
        <f>'дод 2'!G293+'дод 2'!G254</f>
        <v>0</v>
      </c>
      <c r="G183" s="160">
        <f>'дод 2'!H293+'дод 2'!H254</f>
        <v>0</v>
      </c>
      <c r="H183" s="160">
        <f>'дод 2'!I293+'дод 2'!I254</f>
        <v>0</v>
      </c>
      <c r="I183" s="160">
        <f>'дод 2'!J293+'дод 2'!J254</f>
        <v>145355680</v>
      </c>
      <c r="J183" s="160">
        <f>'дод 2'!K293+'дод 2'!K254</f>
        <v>145355680</v>
      </c>
      <c r="K183" s="160">
        <f>'дод 2'!L293+'дод 2'!L254</f>
        <v>0</v>
      </c>
      <c r="L183" s="160">
        <f>'дод 2'!M293+'дод 2'!M254</f>
        <v>0</v>
      </c>
      <c r="M183" s="160">
        <f>'дод 2'!N293+'дод 2'!N254</f>
        <v>0</v>
      </c>
      <c r="N183" s="160">
        <f>'дод 2'!O293+'дод 2'!O254</f>
        <v>145355680</v>
      </c>
      <c r="O183" s="160">
        <f>'дод 2'!P293+'дод 2'!P254</f>
        <v>145355680</v>
      </c>
    </row>
    <row r="184" spans="1:15" s="51" customFormat="1" ht="18.75" x14ac:dyDescent="0.25">
      <c r="A184" s="40" t="s">
        <v>274</v>
      </c>
      <c r="B184" s="40" t="s">
        <v>110</v>
      </c>
      <c r="C184" s="6" t="s">
        <v>524</v>
      </c>
      <c r="D184" s="160">
        <f>'дод 2'!E122+'дод 2'!E294</f>
        <v>0</v>
      </c>
      <c r="E184" s="160">
        <f>'дод 2'!F122+'дод 2'!F294</f>
        <v>0</v>
      </c>
      <c r="F184" s="160">
        <f>'дод 2'!G122+'дод 2'!G294</f>
        <v>0</v>
      </c>
      <c r="G184" s="160">
        <f>'дод 2'!H122+'дод 2'!H294</f>
        <v>0</v>
      </c>
      <c r="H184" s="160">
        <f>'дод 2'!I122+'дод 2'!I294</f>
        <v>0</v>
      </c>
      <c r="I184" s="160">
        <f>'дод 2'!J122+'дод 2'!J294</f>
        <v>7500000</v>
      </c>
      <c r="J184" s="160">
        <f>'дод 2'!K122+'дод 2'!K294</f>
        <v>7500000</v>
      </c>
      <c r="K184" s="160">
        <f>'дод 2'!L122+'дод 2'!L294</f>
        <v>0</v>
      </c>
      <c r="L184" s="160">
        <f>'дод 2'!M122+'дод 2'!M294</f>
        <v>0</v>
      </c>
      <c r="M184" s="160">
        <f>'дод 2'!N122+'дод 2'!N294</f>
        <v>0</v>
      </c>
      <c r="N184" s="160">
        <f>'дод 2'!O122+'дод 2'!O294</f>
        <v>7500000</v>
      </c>
      <c r="O184" s="160">
        <f>'дод 2'!P122+'дод 2'!P294</f>
        <v>7500000</v>
      </c>
    </row>
    <row r="185" spans="1:15" s="51" customFormat="1" ht="21.75" hidden="1" customHeight="1" x14ac:dyDescent="0.25">
      <c r="A185" s="74"/>
      <c r="B185" s="74"/>
      <c r="C185" s="79" t="s">
        <v>390</v>
      </c>
      <c r="D185" s="161">
        <f>'дод 2'!E123</f>
        <v>0</v>
      </c>
      <c r="E185" s="161">
        <f>'дод 2'!F123</f>
        <v>0</v>
      </c>
      <c r="F185" s="161">
        <f>'дод 2'!G123</f>
        <v>0</v>
      </c>
      <c r="G185" s="161">
        <f>'дод 2'!H123</f>
        <v>0</v>
      </c>
      <c r="H185" s="161">
        <f>'дод 2'!I123</f>
        <v>0</v>
      </c>
      <c r="I185" s="161">
        <f>'дод 2'!J123</f>
        <v>0</v>
      </c>
      <c r="J185" s="161">
        <f>'дод 2'!K123</f>
        <v>0</v>
      </c>
      <c r="K185" s="161">
        <f>'дод 2'!L123</f>
        <v>0</v>
      </c>
      <c r="L185" s="161">
        <f>'дод 2'!M123</f>
        <v>0</v>
      </c>
      <c r="M185" s="161">
        <f>'дод 2'!N123</f>
        <v>0</v>
      </c>
      <c r="N185" s="161">
        <f>'дод 2'!O123</f>
        <v>0</v>
      </c>
      <c r="O185" s="161">
        <f>'дод 2'!P123</f>
        <v>0</v>
      </c>
    </row>
    <row r="186" spans="1:15" s="51" customFormat="1" ht="24" customHeight="1" x14ac:dyDescent="0.25">
      <c r="A186" s="40" t="s">
        <v>276</v>
      </c>
      <c r="B186" s="40" t="s">
        <v>110</v>
      </c>
      <c r="C186" s="6" t="s">
        <v>525</v>
      </c>
      <c r="D186" s="160">
        <f>'дод 2'!E295+'дод 2'!E160</f>
        <v>0</v>
      </c>
      <c r="E186" s="160">
        <f>'дод 2'!F295+'дод 2'!F160</f>
        <v>0</v>
      </c>
      <c r="F186" s="160">
        <f>'дод 2'!G295+'дод 2'!G160</f>
        <v>0</v>
      </c>
      <c r="G186" s="160">
        <f>'дод 2'!H295+'дод 2'!H160</f>
        <v>0</v>
      </c>
      <c r="H186" s="160">
        <f>'дод 2'!I295+'дод 2'!I160</f>
        <v>0</v>
      </c>
      <c r="I186" s="160">
        <f>'дод 2'!J295+'дод 2'!J160</f>
        <v>3000000</v>
      </c>
      <c r="J186" s="160">
        <f>'дод 2'!K295+'дод 2'!K160</f>
        <v>3000000</v>
      </c>
      <c r="K186" s="160">
        <f>'дод 2'!L295+'дод 2'!L160</f>
        <v>0</v>
      </c>
      <c r="L186" s="160">
        <f>'дод 2'!M295+'дод 2'!M160</f>
        <v>0</v>
      </c>
      <c r="M186" s="160">
        <f>'дод 2'!N295+'дод 2'!N160</f>
        <v>0</v>
      </c>
      <c r="N186" s="160">
        <f>'дод 2'!O295+'дод 2'!O160</f>
        <v>3000000</v>
      </c>
      <c r="O186" s="160">
        <f>'дод 2'!P295+'дод 2'!P160</f>
        <v>3000000</v>
      </c>
    </row>
    <row r="187" spans="1:15" s="51" customFormat="1" ht="22.5" hidden="1" customHeight="1" x14ac:dyDescent="0.25">
      <c r="A187" s="40">
        <v>7323</v>
      </c>
      <c r="B187" s="67" t="s">
        <v>110</v>
      </c>
      <c r="C187" s="113" t="s">
        <v>526</v>
      </c>
      <c r="D187" s="160">
        <f>'дод 2'!E209+'дод 2'!E43</f>
        <v>0</v>
      </c>
      <c r="E187" s="160">
        <f>'дод 2'!F209+'дод 2'!F43</f>
        <v>0</v>
      </c>
      <c r="F187" s="160">
        <f>'дод 2'!G209+'дод 2'!G43</f>
        <v>0</v>
      </c>
      <c r="G187" s="160">
        <f>'дод 2'!H209+'дод 2'!H43</f>
        <v>0</v>
      </c>
      <c r="H187" s="160">
        <f>'дод 2'!I209+'дод 2'!I43</f>
        <v>0</v>
      </c>
      <c r="I187" s="160">
        <f>'дод 2'!J209+'дод 2'!J43</f>
        <v>0</v>
      </c>
      <c r="J187" s="160">
        <f>'дод 2'!K209+'дод 2'!K43</f>
        <v>0</v>
      </c>
      <c r="K187" s="160">
        <f>'дод 2'!L209+'дод 2'!L43</f>
        <v>0</v>
      </c>
      <c r="L187" s="160">
        <f>'дод 2'!M209+'дод 2'!M43</f>
        <v>0</v>
      </c>
      <c r="M187" s="160">
        <f>'дод 2'!N209+'дод 2'!N43</f>
        <v>0</v>
      </c>
      <c r="N187" s="160">
        <f>'дод 2'!O209+'дод 2'!O43</f>
        <v>0</v>
      </c>
      <c r="O187" s="160">
        <f>'дод 2'!P209+'дод 2'!P43</f>
        <v>0</v>
      </c>
    </row>
    <row r="188" spans="1:15" s="51" customFormat="1" ht="19.5" customHeight="1" x14ac:dyDescent="0.25">
      <c r="A188" s="40">
        <v>7324</v>
      </c>
      <c r="B188" s="67" t="s">
        <v>110</v>
      </c>
      <c r="C188" s="6" t="s">
        <v>527</v>
      </c>
      <c r="D188" s="160">
        <f>'дод 2'!E230+'дод 2'!E296</f>
        <v>0</v>
      </c>
      <c r="E188" s="160">
        <f>'дод 2'!F230+'дод 2'!F296</f>
        <v>0</v>
      </c>
      <c r="F188" s="160">
        <f>'дод 2'!G230+'дод 2'!G296</f>
        <v>0</v>
      </c>
      <c r="G188" s="160">
        <f>'дод 2'!H230+'дод 2'!H296</f>
        <v>0</v>
      </c>
      <c r="H188" s="160">
        <f>'дод 2'!I230+'дод 2'!I296</f>
        <v>0</v>
      </c>
      <c r="I188" s="160">
        <f>'дод 2'!J230+'дод 2'!J296</f>
        <v>300000</v>
      </c>
      <c r="J188" s="160">
        <f>'дод 2'!K230+'дод 2'!K296</f>
        <v>300000</v>
      </c>
      <c r="K188" s="160">
        <f>'дод 2'!L230+'дод 2'!L296</f>
        <v>0</v>
      </c>
      <c r="L188" s="160">
        <f>'дод 2'!M230+'дод 2'!M296</f>
        <v>0</v>
      </c>
      <c r="M188" s="160">
        <f>'дод 2'!N230+'дод 2'!N296</f>
        <v>0</v>
      </c>
      <c r="N188" s="160">
        <f>'дод 2'!O230+'дод 2'!O296</f>
        <v>300000</v>
      </c>
      <c r="O188" s="160">
        <f>'дод 2'!P230+'дод 2'!P296</f>
        <v>300000</v>
      </c>
    </row>
    <row r="189" spans="1:15" s="51" customFormat="1" ht="41.25" customHeight="1" x14ac:dyDescent="0.25">
      <c r="A189" s="40">
        <v>7325</v>
      </c>
      <c r="B189" s="67" t="s">
        <v>110</v>
      </c>
      <c r="C189" s="6" t="s">
        <v>522</v>
      </c>
      <c r="D189" s="160">
        <f>'дод 2'!E297+'дод 2'!E44</f>
        <v>0</v>
      </c>
      <c r="E189" s="160">
        <f>'дод 2'!F297+'дод 2'!F44</f>
        <v>0</v>
      </c>
      <c r="F189" s="160">
        <f>'дод 2'!G297+'дод 2'!G44</f>
        <v>0</v>
      </c>
      <c r="G189" s="160">
        <f>'дод 2'!H297+'дод 2'!H44</f>
        <v>0</v>
      </c>
      <c r="H189" s="160">
        <f>'дод 2'!I297+'дод 2'!I44</f>
        <v>0</v>
      </c>
      <c r="I189" s="160">
        <f>'дод 2'!J297+'дод 2'!J44</f>
        <v>20150000</v>
      </c>
      <c r="J189" s="160">
        <f>'дод 2'!K297+'дод 2'!K44</f>
        <v>20150000</v>
      </c>
      <c r="K189" s="160">
        <f>'дод 2'!L297+'дод 2'!L44</f>
        <v>0</v>
      </c>
      <c r="L189" s="160">
        <f>'дод 2'!M297+'дод 2'!M44</f>
        <v>0</v>
      </c>
      <c r="M189" s="160">
        <f>'дод 2'!N297+'дод 2'!N44</f>
        <v>0</v>
      </c>
      <c r="N189" s="160">
        <f>'дод 2'!O297+'дод 2'!O44</f>
        <v>20150000</v>
      </c>
      <c r="O189" s="160">
        <f>'дод 2'!P297+'дод 2'!P44</f>
        <v>20150000</v>
      </c>
    </row>
    <row r="190" spans="1:15" ht="21.75" customHeight="1" x14ac:dyDescent="0.25">
      <c r="A190" s="40" t="s">
        <v>271</v>
      </c>
      <c r="B190" s="40" t="s">
        <v>110</v>
      </c>
      <c r="C190" s="6" t="s">
        <v>523</v>
      </c>
      <c r="D190" s="160">
        <f>'дод 2'!E298+'дод 2'!E255+'дод 2'!E45</f>
        <v>0</v>
      </c>
      <c r="E190" s="160">
        <f>'дод 2'!F298+'дод 2'!F255+'дод 2'!F45</f>
        <v>0</v>
      </c>
      <c r="F190" s="160">
        <f>'дод 2'!G298+'дод 2'!G255+'дод 2'!G45</f>
        <v>0</v>
      </c>
      <c r="G190" s="160">
        <f>'дод 2'!H298+'дод 2'!H255+'дод 2'!H45</f>
        <v>0</v>
      </c>
      <c r="H190" s="160">
        <f>'дод 2'!I298+'дод 2'!I255+'дод 2'!I45</f>
        <v>0</v>
      </c>
      <c r="I190" s="160">
        <f>'дод 2'!J298+'дод 2'!J255+'дод 2'!J45</f>
        <v>63489651</v>
      </c>
      <c r="J190" s="160">
        <f>'дод 2'!K298+'дод 2'!K255+'дод 2'!K45</f>
        <v>63489651</v>
      </c>
      <c r="K190" s="160">
        <f>'дод 2'!L298+'дод 2'!L255+'дод 2'!L45</f>
        <v>0</v>
      </c>
      <c r="L190" s="160">
        <f>'дод 2'!M298+'дод 2'!M255+'дод 2'!M45</f>
        <v>0</v>
      </c>
      <c r="M190" s="160">
        <f>'дод 2'!N298+'дод 2'!N255+'дод 2'!N45</f>
        <v>0</v>
      </c>
      <c r="N190" s="160">
        <f>'дод 2'!O298+'дод 2'!O255+'дод 2'!O45</f>
        <v>63489651</v>
      </c>
      <c r="O190" s="160">
        <f>'дод 2'!P298+'дод 2'!P255+'дод 2'!P45</f>
        <v>63489651</v>
      </c>
    </row>
    <row r="191" spans="1:15" ht="31.5" customHeight="1" x14ac:dyDescent="0.25">
      <c r="A191" s="37" t="s">
        <v>135</v>
      </c>
      <c r="B191" s="37" t="s">
        <v>110</v>
      </c>
      <c r="C191" s="3" t="s">
        <v>1</v>
      </c>
      <c r="D191" s="160">
        <f>'дод 2'!E256+'дод 2'!E299+'дод 2'!E312</f>
        <v>247500</v>
      </c>
      <c r="E191" s="160">
        <f>'дод 2'!F256+'дод 2'!F299+'дод 2'!F312</f>
        <v>247500</v>
      </c>
      <c r="F191" s="160">
        <f>'дод 2'!G256+'дод 2'!G299+'дод 2'!G312</f>
        <v>0</v>
      </c>
      <c r="G191" s="160">
        <f>'дод 2'!H256+'дод 2'!H299+'дод 2'!H312</f>
        <v>0</v>
      </c>
      <c r="H191" s="160">
        <f>'дод 2'!I256+'дод 2'!I299+'дод 2'!I312</f>
        <v>0</v>
      </c>
      <c r="I191" s="160">
        <f>'дод 2'!J256+'дод 2'!J299+'дод 2'!J312</f>
        <v>500000</v>
      </c>
      <c r="J191" s="160">
        <f>'дод 2'!K256+'дод 2'!K299+'дод 2'!K312</f>
        <v>500000</v>
      </c>
      <c r="K191" s="160">
        <f>'дод 2'!L256+'дод 2'!L299+'дод 2'!L312</f>
        <v>0</v>
      </c>
      <c r="L191" s="160">
        <f>'дод 2'!M256+'дод 2'!M299+'дод 2'!M312</f>
        <v>0</v>
      </c>
      <c r="M191" s="160">
        <f>'дод 2'!N256+'дод 2'!N299+'дод 2'!N312</f>
        <v>0</v>
      </c>
      <c r="N191" s="160">
        <f>'дод 2'!O256+'дод 2'!O299+'дод 2'!O312</f>
        <v>500000</v>
      </c>
      <c r="O191" s="160">
        <f>'дод 2'!P256+'дод 2'!P299+'дод 2'!P312</f>
        <v>747500</v>
      </c>
    </row>
    <row r="192" spans="1:15" ht="35.25" hidden="1" customHeight="1" x14ac:dyDescent="0.25">
      <c r="A192" s="55" t="s">
        <v>446</v>
      </c>
      <c r="B192" s="55" t="s">
        <v>110</v>
      </c>
      <c r="C192" s="3" t="s">
        <v>447</v>
      </c>
      <c r="D192" s="160">
        <f>'дод 2'!E313</f>
        <v>0</v>
      </c>
      <c r="E192" s="160">
        <f>'дод 2'!F313</f>
        <v>0</v>
      </c>
      <c r="F192" s="160">
        <f>'дод 2'!G313</f>
        <v>0</v>
      </c>
      <c r="G192" s="160">
        <f>'дод 2'!H313</f>
        <v>0</v>
      </c>
      <c r="H192" s="160">
        <f>'дод 2'!I313</f>
        <v>0</v>
      </c>
      <c r="I192" s="160">
        <f>'дод 2'!J313</f>
        <v>0</v>
      </c>
      <c r="J192" s="160">
        <f>'дод 2'!K313</f>
        <v>0</v>
      </c>
      <c r="K192" s="160">
        <f>'дод 2'!L313</f>
        <v>0</v>
      </c>
      <c r="L192" s="160">
        <f>'дод 2'!M313</f>
        <v>0</v>
      </c>
      <c r="M192" s="160">
        <f>'дод 2'!N313</f>
        <v>0</v>
      </c>
      <c r="N192" s="160">
        <f>'дод 2'!O313</f>
        <v>0</v>
      </c>
      <c r="O192" s="160">
        <f>'дод 2'!P313</f>
        <v>0</v>
      </c>
    </row>
    <row r="193" spans="1:15" ht="51.75" customHeight="1" x14ac:dyDescent="0.25">
      <c r="A193" s="37">
        <v>7361</v>
      </c>
      <c r="B193" s="37" t="s">
        <v>81</v>
      </c>
      <c r="C193" s="3" t="s">
        <v>367</v>
      </c>
      <c r="D193" s="160">
        <f>'дод 2'!E257+'дод 2'!E300+'дод 2'!E161</f>
        <v>0</v>
      </c>
      <c r="E193" s="160">
        <f>'дод 2'!F257+'дод 2'!F300+'дод 2'!F161</f>
        <v>0</v>
      </c>
      <c r="F193" s="160">
        <f>'дод 2'!G257+'дод 2'!G300+'дод 2'!G161</f>
        <v>0</v>
      </c>
      <c r="G193" s="160">
        <f>'дод 2'!H257+'дод 2'!H300+'дод 2'!H161</f>
        <v>0</v>
      </c>
      <c r="H193" s="160">
        <f>'дод 2'!I257+'дод 2'!I300+'дод 2'!I161</f>
        <v>0</v>
      </c>
      <c r="I193" s="160">
        <f>'дод 2'!J257+'дод 2'!J300+'дод 2'!J161</f>
        <v>28980784</v>
      </c>
      <c r="J193" s="160">
        <f>'дод 2'!K257+'дод 2'!K300+'дод 2'!K161</f>
        <v>28980784</v>
      </c>
      <c r="K193" s="160">
        <f>'дод 2'!L257+'дод 2'!L300+'дод 2'!L161</f>
        <v>0</v>
      </c>
      <c r="L193" s="160">
        <f>'дод 2'!M257+'дод 2'!M300+'дод 2'!M161</f>
        <v>0</v>
      </c>
      <c r="M193" s="160">
        <f>'дод 2'!N257+'дод 2'!N300+'дод 2'!N161</f>
        <v>0</v>
      </c>
      <c r="N193" s="160">
        <f>'дод 2'!O257+'дод 2'!O300+'дод 2'!O161</f>
        <v>28980784</v>
      </c>
      <c r="O193" s="160">
        <f>'дод 2'!P257+'дод 2'!P300+'дод 2'!P161</f>
        <v>28980784</v>
      </c>
    </row>
    <row r="194" spans="1:15" s="51" customFormat="1" ht="46.5" hidden="1" customHeight="1" x14ac:dyDescent="0.25">
      <c r="A194" s="37">
        <v>7362</v>
      </c>
      <c r="B194" s="37" t="s">
        <v>81</v>
      </c>
      <c r="C194" s="3" t="s">
        <v>359</v>
      </c>
      <c r="D194" s="160">
        <f>'дод 2'!E258</f>
        <v>0</v>
      </c>
      <c r="E194" s="160">
        <f>'дод 2'!F258</f>
        <v>0</v>
      </c>
      <c r="F194" s="160">
        <f>'дод 2'!G258</f>
        <v>0</v>
      </c>
      <c r="G194" s="160">
        <f>'дод 2'!H258</f>
        <v>0</v>
      </c>
      <c r="H194" s="160">
        <f>'дод 2'!I258</f>
        <v>0</v>
      </c>
      <c r="I194" s="160">
        <f>'дод 2'!J258</f>
        <v>0</v>
      </c>
      <c r="J194" s="160">
        <f>'дод 2'!K258</f>
        <v>0</v>
      </c>
      <c r="K194" s="160">
        <f>'дод 2'!L258</f>
        <v>0</v>
      </c>
      <c r="L194" s="160">
        <f>'дод 2'!M258</f>
        <v>0</v>
      </c>
      <c r="M194" s="160">
        <f>'дод 2'!N258</f>
        <v>0</v>
      </c>
      <c r="N194" s="160">
        <f>'дод 2'!O258</f>
        <v>0</v>
      </c>
      <c r="O194" s="160">
        <f>'дод 2'!P258</f>
        <v>0</v>
      </c>
    </row>
    <row r="195" spans="1:15" s="51" customFormat="1" ht="47.25" x14ac:dyDescent="0.25">
      <c r="A195" s="37">
        <v>7363</v>
      </c>
      <c r="B195" s="56" t="s">
        <v>81</v>
      </c>
      <c r="C195" s="57" t="s">
        <v>606</v>
      </c>
      <c r="D195" s="160">
        <f>'дод 2'!E259+'дод 2'!E124+'дод 2'!E162+'дод 2'!E301</f>
        <v>0</v>
      </c>
      <c r="E195" s="160">
        <f>'дод 2'!F259+'дод 2'!F124+'дод 2'!F162+'дод 2'!F301</f>
        <v>0</v>
      </c>
      <c r="F195" s="160">
        <f>'дод 2'!G259+'дод 2'!G124+'дод 2'!G162+'дод 2'!G301</f>
        <v>0</v>
      </c>
      <c r="G195" s="160">
        <f>'дод 2'!H259+'дод 2'!H124+'дод 2'!H162+'дод 2'!H301</f>
        <v>0</v>
      </c>
      <c r="H195" s="160">
        <f>'дод 2'!I259+'дод 2'!I124+'дод 2'!I162+'дод 2'!I301</f>
        <v>0</v>
      </c>
      <c r="I195" s="160">
        <f>'дод 2'!J259+'дод 2'!J124+'дод 2'!J162+'дод 2'!J301</f>
        <v>6000000</v>
      </c>
      <c r="J195" s="160">
        <f>'дод 2'!K259+'дод 2'!K124+'дод 2'!K162+'дод 2'!K301</f>
        <v>6000000</v>
      </c>
      <c r="K195" s="160">
        <f>'дод 2'!L259+'дод 2'!L124+'дод 2'!L162+'дод 2'!L301</f>
        <v>0</v>
      </c>
      <c r="L195" s="160">
        <f>'дод 2'!M259+'дод 2'!M124+'дод 2'!M162+'дод 2'!M301</f>
        <v>0</v>
      </c>
      <c r="M195" s="160">
        <f>'дод 2'!N259+'дод 2'!N124+'дод 2'!N162+'дод 2'!N301</f>
        <v>0</v>
      </c>
      <c r="N195" s="160">
        <f>'дод 2'!O259+'дод 2'!O124+'дод 2'!O162+'дод 2'!O301</f>
        <v>6000000</v>
      </c>
      <c r="O195" s="160">
        <f>'дод 2'!P259+'дод 2'!P124+'дод 2'!P162+'дод 2'!P301</f>
        <v>6000000</v>
      </c>
    </row>
    <row r="196" spans="1:15" s="51" customFormat="1" ht="47.25" hidden="1" customHeight="1" x14ac:dyDescent="0.25">
      <c r="A196" s="71"/>
      <c r="B196" s="76"/>
      <c r="C196" s="72" t="s">
        <v>383</v>
      </c>
      <c r="D196" s="161">
        <f>'дод 2'!E125+'дод 2'!E163+'дод 2'!E260+'дод 2'!E302</f>
        <v>0</v>
      </c>
      <c r="E196" s="161">
        <f>'дод 2'!F125+'дод 2'!F163+'дод 2'!F260+'дод 2'!F302</f>
        <v>0</v>
      </c>
      <c r="F196" s="161">
        <f>'дод 2'!G125+'дод 2'!G163+'дод 2'!G260+'дод 2'!G302</f>
        <v>0</v>
      </c>
      <c r="G196" s="161">
        <f>'дод 2'!H125+'дод 2'!H163+'дод 2'!H260+'дод 2'!H302</f>
        <v>0</v>
      </c>
      <c r="H196" s="161">
        <f>'дод 2'!I125+'дод 2'!I163+'дод 2'!I260+'дод 2'!I302</f>
        <v>0</v>
      </c>
      <c r="I196" s="161">
        <f>'дод 2'!J125+'дод 2'!J163+'дод 2'!J260+'дод 2'!J302</f>
        <v>0</v>
      </c>
      <c r="J196" s="161">
        <f>'дод 2'!K125+'дод 2'!K163+'дод 2'!K260+'дод 2'!K302</f>
        <v>0</v>
      </c>
      <c r="K196" s="161">
        <f>'дод 2'!L125+'дод 2'!L163+'дод 2'!L260+'дод 2'!L302</f>
        <v>0</v>
      </c>
      <c r="L196" s="161">
        <f>'дод 2'!M125+'дод 2'!M163+'дод 2'!M260+'дод 2'!M302</f>
        <v>0</v>
      </c>
      <c r="M196" s="161">
        <f>'дод 2'!N125+'дод 2'!N163+'дод 2'!N260+'дод 2'!N302</f>
        <v>0</v>
      </c>
      <c r="N196" s="161">
        <f>'дод 2'!O125+'дод 2'!O163+'дод 2'!O260+'дод 2'!O302</f>
        <v>0</v>
      </c>
      <c r="O196" s="161">
        <f>'дод 2'!P125+'дод 2'!P163+'дод 2'!P260+'дод 2'!P302</f>
        <v>0</v>
      </c>
    </row>
    <row r="197" spans="1:15" ht="31.5" hidden="1" customHeight="1" x14ac:dyDescent="0.25">
      <c r="A197" s="37">
        <v>7368</v>
      </c>
      <c r="B197" s="37" t="s">
        <v>81</v>
      </c>
      <c r="C197" s="36" t="s">
        <v>557</v>
      </c>
      <c r="D197" s="160">
        <f>'дод 2'!E261</f>
        <v>0</v>
      </c>
      <c r="E197" s="160">
        <f>'дод 2'!F261</f>
        <v>0</v>
      </c>
      <c r="F197" s="160">
        <f>'дод 2'!G261</f>
        <v>0</v>
      </c>
      <c r="G197" s="160">
        <f>'дод 2'!H261</f>
        <v>0</v>
      </c>
      <c r="H197" s="160">
        <f>'дод 2'!I261</f>
        <v>0</v>
      </c>
      <c r="I197" s="160">
        <f>'дод 2'!J261</f>
        <v>0</v>
      </c>
      <c r="J197" s="160">
        <f>'дод 2'!K261</f>
        <v>0</v>
      </c>
      <c r="K197" s="160">
        <f>'дод 2'!L261</f>
        <v>0</v>
      </c>
      <c r="L197" s="160">
        <f>'дод 2'!M261</f>
        <v>0</v>
      </c>
      <c r="M197" s="160">
        <f>'дод 2'!N261</f>
        <v>0</v>
      </c>
      <c r="N197" s="160">
        <f>'дод 2'!O261</f>
        <v>0</v>
      </c>
      <c r="O197" s="160">
        <f>'дод 2'!P261</f>
        <v>0</v>
      </c>
    </row>
    <row r="198" spans="1:15" s="51" customFormat="1" ht="15.75" hidden="1" customHeight="1" x14ac:dyDescent="0.25">
      <c r="A198" s="71"/>
      <c r="B198" s="76"/>
      <c r="C198" s="77" t="s">
        <v>388</v>
      </c>
      <c r="D198" s="161">
        <f>'дод 2'!E262</f>
        <v>0</v>
      </c>
      <c r="E198" s="161">
        <f>'дод 2'!F262</f>
        <v>0</v>
      </c>
      <c r="F198" s="161">
        <f>'дод 2'!G262</f>
        <v>0</v>
      </c>
      <c r="G198" s="161">
        <f>'дод 2'!H262</f>
        <v>0</v>
      </c>
      <c r="H198" s="161">
        <f>'дод 2'!I262</f>
        <v>0</v>
      </c>
      <c r="I198" s="161">
        <f>'дод 2'!J262</f>
        <v>0</v>
      </c>
      <c r="J198" s="161">
        <f>'дод 2'!K262</f>
        <v>0</v>
      </c>
      <c r="K198" s="161">
        <f>'дод 2'!L262</f>
        <v>0</v>
      </c>
      <c r="L198" s="161">
        <f>'дод 2'!M262</f>
        <v>0</v>
      </c>
      <c r="M198" s="161">
        <f>'дод 2'!N262</f>
        <v>0</v>
      </c>
      <c r="N198" s="161">
        <f>'дод 2'!O262</f>
        <v>0</v>
      </c>
      <c r="O198" s="161">
        <f>'дод 2'!P262</f>
        <v>0</v>
      </c>
    </row>
    <row r="199" spans="1:15" s="51" customFormat="1" ht="31.5" x14ac:dyDescent="0.25">
      <c r="A199" s="37">
        <v>7370</v>
      </c>
      <c r="B199" s="56" t="s">
        <v>81</v>
      </c>
      <c r="C199" s="57" t="s">
        <v>421</v>
      </c>
      <c r="D199" s="160">
        <f>'дод 2'!E303+'дод 2'!E314</f>
        <v>3150000</v>
      </c>
      <c r="E199" s="160">
        <f>'дод 2'!F303+'дод 2'!F314</f>
        <v>0</v>
      </c>
      <c r="F199" s="160">
        <f>'дод 2'!G303+'дод 2'!G314</f>
        <v>0</v>
      </c>
      <c r="G199" s="160">
        <f>'дод 2'!H303+'дод 2'!H314</f>
        <v>0</v>
      </c>
      <c r="H199" s="160">
        <f>'дод 2'!I303+'дод 2'!I314</f>
        <v>3150000</v>
      </c>
      <c r="I199" s="160">
        <f>'дод 2'!J303+'дод 2'!J314</f>
        <v>0</v>
      </c>
      <c r="J199" s="160">
        <f>'дод 2'!K303+'дод 2'!K314</f>
        <v>0</v>
      </c>
      <c r="K199" s="160">
        <f>'дод 2'!L303+'дод 2'!L314</f>
        <v>0</v>
      </c>
      <c r="L199" s="160">
        <f>'дод 2'!M303+'дод 2'!M314</f>
        <v>0</v>
      </c>
      <c r="M199" s="160">
        <f>'дод 2'!N303+'дод 2'!N314</f>
        <v>0</v>
      </c>
      <c r="N199" s="160">
        <f>'дод 2'!O303+'дод 2'!O314</f>
        <v>0</v>
      </c>
      <c r="O199" s="160">
        <f>'дод 2'!P303+'дод 2'!P314</f>
        <v>3150000</v>
      </c>
    </row>
    <row r="200" spans="1:15" s="49" customFormat="1" ht="34.5" customHeight="1" x14ac:dyDescent="0.25">
      <c r="A200" s="38" t="s">
        <v>84</v>
      </c>
      <c r="B200" s="41"/>
      <c r="C200" s="2" t="s">
        <v>593</v>
      </c>
      <c r="D200" s="47">
        <f>D204+D205+D206+D207+D211+D212+D214</f>
        <v>61447626</v>
      </c>
      <c r="E200" s="47">
        <f t="shared" ref="E200:O200" si="38">E204+E205+E206+E207+E211+E212+E214</f>
        <v>2585480</v>
      </c>
      <c r="F200" s="47">
        <f t="shared" si="38"/>
        <v>0</v>
      </c>
      <c r="G200" s="47">
        <f t="shared" si="38"/>
        <v>0</v>
      </c>
      <c r="H200" s="47">
        <f t="shared" si="38"/>
        <v>58862146</v>
      </c>
      <c r="I200" s="47">
        <f t="shared" si="38"/>
        <v>0</v>
      </c>
      <c r="J200" s="47">
        <f t="shared" si="38"/>
        <v>0</v>
      </c>
      <c r="K200" s="47">
        <f t="shared" si="38"/>
        <v>0</v>
      </c>
      <c r="L200" s="47">
        <f t="shared" si="38"/>
        <v>0</v>
      </c>
      <c r="M200" s="47">
        <f t="shared" si="38"/>
        <v>0</v>
      </c>
      <c r="N200" s="47">
        <f t="shared" si="38"/>
        <v>0</v>
      </c>
      <c r="O200" s="47">
        <f t="shared" si="38"/>
        <v>61447626</v>
      </c>
    </row>
    <row r="201" spans="1:15" s="50" customFormat="1" ht="97.5" hidden="1" customHeight="1" x14ac:dyDescent="0.25">
      <c r="A201" s="65"/>
      <c r="B201" s="66"/>
      <c r="C201" s="69" t="s">
        <v>391</v>
      </c>
      <c r="D201" s="162">
        <f>D209</f>
        <v>0</v>
      </c>
      <c r="E201" s="162">
        <f t="shared" ref="E201:O201" si="39">E209</f>
        <v>0</v>
      </c>
      <c r="F201" s="162">
        <f t="shared" si="39"/>
        <v>0</v>
      </c>
      <c r="G201" s="162">
        <f t="shared" si="39"/>
        <v>0</v>
      </c>
      <c r="H201" s="162">
        <f t="shared" si="39"/>
        <v>0</v>
      </c>
      <c r="I201" s="162">
        <f t="shared" si="39"/>
        <v>0</v>
      </c>
      <c r="J201" s="162">
        <f t="shared" si="39"/>
        <v>0</v>
      </c>
      <c r="K201" s="162">
        <f t="shared" si="39"/>
        <v>0</v>
      </c>
      <c r="L201" s="162">
        <f t="shared" si="39"/>
        <v>0</v>
      </c>
      <c r="M201" s="162">
        <f t="shared" si="39"/>
        <v>0</v>
      </c>
      <c r="N201" s="162">
        <f t="shared" si="39"/>
        <v>0</v>
      </c>
      <c r="O201" s="162">
        <f t="shared" si="39"/>
        <v>0</v>
      </c>
    </row>
    <row r="202" spans="1:15" s="50" customFormat="1" ht="65.25" hidden="1" customHeight="1" x14ac:dyDescent="0.25">
      <c r="A202" s="65"/>
      <c r="B202" s="66"/>
      <c r="C202" s="69" t="s">
        <v>435</v>
      </c>
      <c r="D202" s="162">
        <f>D213</f>
        <v>0</v>
      </c>
      <c r="E202" s="162">
        <f t="shared" ref="E202:O202" si="40">E213</f>
        <v>0</v>
      </c>
      <c r="F202" s="162">
        <f t="shared" si="40"/>
        <v>0</v>
      </c>
      <c r="G202" s="162">
        <f t="shared" si="40"/>
        <v>0</v>
      </c>
      <c r="H202" s="162">
        <f t="shared" si="40"/>
        <v>0</v>
      </c>
      <c r="I202" s="162">
        <f t="shared" si="40"/>
        <v>0</v>
      </c>
      <c r="J202" s="162">
        <f t="shared" si="40"/>
        <v>0</v>
      </c>
      <c r="K202" s="162">
        <f t="shared" si="40"/>
        <v>0</v>
      </c>
      <c r="L202" s="162">
        <f t="shared" si="40"/>
        <v>0</v>
      </c>
      <c r="M202" s="162">
        <f t="shared" si="40"/>
        <v>0</v>
      </c>
      <c r="N202" s="162">
        <f t="shared" si="40"/>
        <v>0</v>
      </c>
      <c r="O202" s="162">
        <f t="shared" si="40"/>
        <v>0</v>
      </c>
    </row>
    <row r="203" spans="1:15" s="50" customFormat="1" ht="15.75" hidden="1" customHeight="1" x14ac:dyDescent="0.25">
      <c r="A203" s="65"/>
      <c r="B203" s="66"/>
      <c r="C203" s="75" t="s">
        <v>388</v>
      </c>
      <c r="D203" s="162">
        <f>D215</f>
        <v>0</v>
      </c>
      <c r="E203" s="162">
        <f t="shared" ref="E203:O203" si="41">E215</f>
        <v>0</v>
      </c>
      <c r="F203" s="162">
        <f t="shared" si="41"/>
        <v>0</v>
      </c>
      <c r="G203" s="162">
        <f t="shared" si="41"/>
        <v>0</v>
      </c>
      <c r="H203" s="162">
        <f t="shared" si="41"/>
        <v>0</v>
      </c>
      <c r="I203" s="162">
        <f t="shared" si="41"/>
        <v>0</v>
      </c>
      <c r="J203" s="162">
        <f t="shared" si="41"/>
        <v>0</v>
      </c>
      <c r="K203" s="162">
        <f t="shared" si="41"/>
        <v>0</v>
      </c>
      <c r="L203" s="162">
        <f t="shared" si="41"/>
        <v>0</v>
      </c>
      <c r="M203" s="162">
        <f t="shared" si="41"/>
        <v>0</v>
      </c>
      <c r="N203" s="162">
        <f t="shared" si="41"/>
        <v>0</v>
      </c>
      <c r="O203" s="162">
        <f t="shared" si="41"/>
        <v>0</v>
      </c>
    </row>
    <row r="204" spans="1:15" s="51" customFormat="1" ht="18.75" customHeight="1" x14ac:dyDescent="0.25">
      <c r="A204" s="37" t="s">
        <v>3</v>
      </c>
      <c r="B204" s="37" t="s">
        <v>83</v>
      </c>
      <c r="C204" s="3" t="s">
        <v>35</v>
      </c>
      <c r="D204" s="160">
        <f>'дод 2'!E46</f>
        <v>17594929</v>
      </c>
      <c r="E204" s="160">
        <f>'дод 2'!F46</f>
        <v>0</v>
      </c>
      <c r="F204" s="160">
        <f>'дод 2'!G46</f>
        <v>0</v>
      </c>
      <c r="G204" s="160">
        <f>'дод 2'!H46</f>
        <v>0</v>
      </c>
      <c r="H204" s="160">
        <f>'дод 2'!I46</f>
        <v>17594929</v>
      </c>
      <c r="I204" s="160">
        <f>'дод 2'!J46</f>
        <v>0</v>
      </c>
      <c r="J204" s="160">
        <f>'дод 2'!K46</f>
        <v>0</v>
      </c>
      <c r="K204" s="160">
        <f>'дод 2'!L46</f>
        <v>0</v>
      </c>
      <c r="L204" s="160">
        <f>'дод 2'!M46</f>
        <v>0</v>
      </c>
      <c r="M204" s="160">
        <f>'дод 2'!N46</f>
        <v>0</v>
      </c>
      <c r="N204" s="160">
        <f>'дод 2'!O46</f>
        <v>0</v>
      </c>
      <c r="O204" s="160">
        <f>'дод 2'!P46</f>
        <v>17594929</v>
      </c>
    </row>
    <row r="205" spans="1:15" s="51" customFormat="1" ht="20.25" hidden="1" customHeight="1" x14ac:dyDescent="0.25">
      <c r="A205" s="37">
        <v>7413</v>
      </c>
      <c r="B205" s="37" t="s">
        <v>83</v>
      </c>
      <c r="C205" s="3" t="s">
        <v>370</v>
      </c>
      <c r="D205" s="160">
        <f>'дод 2'!E47</f>
        <v>0</v>
      </c>
      <c r="E205" s="160">
        <f>'дод 2'!F47</f>
        <v>0</v>
      </c>
      <c r="F205" s="160">
        <f>'дод 2'!G47</f>
        <v>0</v>
      </c>
      <c r="G205" s="160">
        <f>'дод 2'!H47</f>
        <v>0</v>
      </c>
      <c r="H205" s="160">
        <f>'дод 2'!I47</f>
        <v>0</v>
      </c>
      <c r="I205" s="160">
        <f>'дод 2'!J47</f>
        <v>0</v>
      </c>
      <c r="J205" s="160">
        <f>'дод 2'!K47</f>
        <v>0</v>
      </c>
      <c r="K205" s="160">
        <f>'дод 2'!L47</f>
        <v>0</v>
      </c>
      <c r="L205" s="160">
        <f>'дод 2'!M47</f>
        <v>0</v>
      </c>
      <c r="M205" s="160">
        <f>'дод 2'!N47</f>
        <v>0</v>
      </c>
      <c r="N205" s="160">
        <f>'дод 2'!O47</f>
        <v>0</v>
      </c>
      <c r="O205" s="160">
        <f>'дод 2'!P47</f>
        <v>0</v>
      </c>
    </row>
    <row r="206" spans="1:15" s="51" customFormat="1" ht="31.5" x14ac:dyDescent="0.25">
      <c r="A206" s="42">
        <v>7422</v>
      </c>
      <c r="B206" s="89" t="s">
        <v>407</v>
      </c>
      <c r="C206" s="90" t="s">
        <v>541</v>
      </c>
      <c r="D206" s="160">
        <f>'дод 2'!E48</f>
        <v>41267217</v>
      </c>
      <c r="E206" s="160">
        <f>'дод 2'!F48</f>
        <v>0</v>
      </c>
      <c r="F206" s="160">
        <f>'дод 2'!G48</f>
        <v>0</v>
      </c>
      <c r="G206" s="160">
        <f>'дод 2'!H48</f>
        <v>0</v>
      </c>
      <c r="H206" s="160">
        <f>'дод 2'!I48</f>
        <v>41267217</v>
      </c>
      <c r="I206" s="160">
        <f>'дод 2'!J48</f>
        <v>0</v>
      </c>
      <c r="J206" s="160">
        <f>'дод 2'!K48</f>
        <v>0</v>
      </c>
      <c r="K206" s="160">
        <f>'дод 2'!L48</f>
        <v>0</v>
      </c>
      <c r="L206" s="160">
        <f>'дод 2'!M48</f>
        <v>0</v>
      </c>
      <c r="M206" s="160">
        <f>'дод 2'!N48</f>
        <v>0</v>
      </c>
      <c r="N206" s="160">
        <f>'дод 2'!O48</f>
        <v>0</v>
      </c>
      <c r="O206" s="160">
        <f>'дод 2'!P48</f>
        <v>41267217</v>
      </c>
    </row>
    <row r="207" spans="1:15" s="51" customFormat="1" ht="24" hidden="1" customHeight="1" x14ac:dyDescent="0.25">
      <c r="A207" s="37">
        <v>7426</v>
      </c>
      <c r="B207" s="55" t="s">
        <v>407</v>
      </c>
      <c r="C207" s="3" t="s">
        <v>371</v>
      </c>
      <c r="D207" s="160">
        <f>'дод 2'!E49</f>
        <v>0</v>
      </c>
      <c r="E207" s="160">
        <f>'дод 2'!F49</f>
        <v>0</v>
      </c>
      <c r="F207" s="160">
        <f>'дод 2'!G49</f>
        <v>0</v>
      </c>
      <c r="G207" s="160">
        <f>'дод 2'!H49</f>
        <v>0</v>
      </c>
      <c r="H207" s="160">
        <f>'дод 2'!I49</f>
        <v>0</v>
      </c>
      <c r="I207" s="160">
        <f>'дод 2'!J49</f>
        <v>0</v>
      </c>
      <c r="J207" s="160">
        <f>'дод 2'!K49</f>
        <v>0</v>
      </c>
      <c r="K207" s="160">
        <f>'дод 2'!L49</f>
        <v>0</v>
      </c>
      <c r="L207" s="160">
        <f>'дод 2'!M49</f>
        <v>0</v>
      </c>
      <c r="M207" s="160">
        <f>'дод 2'!N49</f>
        <v>0</v>
      </c>
      <c r="N207" s="160">
        <f>'дод 2'!O49</f>
        <v>0</v>
      </c>
      <c r="O207" s="160">
        <f>'дод 2'!P49</f>
        <v>0</v>
      </c>
    </row>
    <row r="208" spans="1:15" s="51" customFormat="1" ht="53.25" hidden="1" customHeight="1" x14ac:dyDescent="0.25">
      <c r="A208" s="37">
        <v>7462</v>
      </c>
      <c r="B208" s="55" t="s">
        <v>394</v>
      </c>
      <c r="C208" s="3" t="s">
        <v>393</v>
      </c>
      <c r="D208" s="160">
        <f>'дод 2'!E263</f>
        <v>0</v>
      </c>
      <c r="E208" s="160">
        <f>'дод 2'!F263</f>
        <v>0</v>
      </c>
      <c r="F208" s="160">
        <f>'дод 2'!G263</f>
        <v>0</v>
      </c>
      <c r="G208" s="160">
        <f>'дод 2'!H263</f>
        <v>0</v>
      </c>
      <c r="H208" s="160">
        <f>'дод 2'!I263</f>
        <v>0</v>
      </c>
      <c r="I208" s="160">
        <f>'дод 2'!J263</f>
        <v>0</v>
      </c>
      <c r="J208" s="160">
        <f>'дод 2'!K263</f>
        <v>0</v>
      </c>
      <c r="K208" s="160">
        <f>'дод 2'!L263</f>
        <v>0</v>
      </c>
      <c r="L208" s="160">
        <f>'дод 2'!M263</f>
        <v>0</v>
      </c>
      <c r="M208" s="160">
        <f>'дод 2'!N263</f>
        <v>0</v>
      </c>
      <c r="N208" s="160">
        <f>'дод 2'!O263</f>
        <v>0</v>
      </c>
      <c r="O208" s="160">
        <f>'дод 2'!P263</f>
        <v>0</v>
      </c>
    </row>
    <row r="209" spans="1:15" s="51" customFormat="1" ht="94.5" hidden="1" customHeight="1" x14ac:dyDescent="0.25">
      <c r="A209" s="71"/>
      <c r="B209" s="71"/>
      <c r="C209" s="72" t="s">
        <v>391</v>
      </c>
      <c r="D209" s="161">
        <f>'дод 2'!E264</f>
        <v>0</v>
      </c>
      <c r="E209" s="161">
        <f>'дод 2'!F264</f>
        <v>0</v>
      </c>
      <c r="F209" s="161">
        <f>'дод 2'!G264</f>
        <v>0</v>
      </c>
      <c r="G209" s="161">
        <f>'дод 2'!H264</f>
        <v>0</v>
      </c>
      <c r="H209" s="161">
        <f>'дод 2'!I264</f>
        <v>0</v>
      </c>
      <c r="I209" s="161">
        <f>'дод 2'!J264</f>
        <v>0</v>
      </c>
      <c r="J209" s="161">
        <f>'дод 2'!K264</f>
        <v>0</v>
      </c>
      <c r="K209" s="161">
        <f>'дод 2'!L264</f>
        <v>0</v>
      </c>
      <c r="L209" s="161">
        <f>'дод 2'!M264</f>
        <v>0</v>
      </c>
      <c r="M209" s="161">
        <f>'дод 2'!N264</f>
        <v>0</v>
      </c>
      <c r="N209" s="161">
        <f>'дод 2'!O264</f>
        <v>0</v>
      </c>
      <c r="O209" s="161">
        <f>'дод 2'!P264</f>
        <v>0</v>
      </c>
    </row>
    <row r="210" spans="1:15" s="51" customFormat="1" ht="63" hidden="1" customHeight="1" x14ac:dyDescent="0.25">
      <c r="A210" s="71"/>
      <c r="B210" s="71"/>
      <c r="C210" s="72" t="s">
        <v>435</v>
      </c>
      <c r="D210" s="161">
        <f>'дод 2'!E265</f>
        <v>0</v>
      </c>
      <c r="E210" s="161">
        <f>'дод 2'!F265</f>
        <v>0</v>
      </c>
      <c r="F210" s="161">
        <f>'дод 2'!G265</f>
        <v>0</v>
      </c>
      <c r="G210" s="161">
        <f>'дод 2'!H265</f>
        <v>0</v>
      </c>
      <c r="H210" s="161">
        <f>'дод 2'!I265</f>
        <v>0</v>
      </c>
      <c r="I210" s="161">
        <f>'дод 2'!J265</f>
        <v>0</v>
      </c>
      <c r="J210" s="161">
        <f>'дод 2'!K265</f>
        <v>0</v>
      </c>
      <c r="K210" s="161">
        <f>'дод 2'!L265</f>
        <v>0</v>
      </c>
      <c r="L210" s="161">
        <f>'дод 2'!M265</f>
        <v>0</v>
      </c>
      <c r="M210" s="161">
        <f>'дод 2'!N265</f>
        <v>0</v>
      </c>
      <c r="N210" s="161">
        <f>'дод 2'!O265</f>
        <v>0</v>
      </c>
      <c r="O210" s="161">
        <f>'дод 2'!P265</f>
        <v>0</v>
      </c>
    </row>
    <row r="211" spans="1:15" s="51" customFormat="1" ht="18" customHeight="1" x14ac:dyDescent="0.25">
      <c r="A211" s="55" t="s">
        <v>442</v>
      </c>
      <c r="B211" s="55" t="s">
        <v>394</v>
      </c>
      <c r="C211" s="3" t="s">
        <v>448</v>
      </c>
      <c r="D211" s="160">
        <f>'дод 2'!E50</f>
        <v>2585480</v>
      </c>
      <c r="E211" s="160">
        <f>'дод 2'!F50</f>
        <v>2585480</v>
      </c>
      <c r="F211" s="160">
        <f>'дод 2'!G50</f>
        <v>0</v>
      </c>
      <c r="G211" s="160">
        <f>'дод 2'!H50</f>
        <v>0</v>
      </c>
      <c r="H211" s="160">
        <f>'дод 2'!I50</f>
        <v>0</v>
      </c>
      <c r="I211" s="160">
        <f>'дод 2'!J50</f>
        <v>0</v>
      </c>
      <c r="J211" s="160">
        <f>'дод 2'!K50</f>
        <v>0</v>
      </c>
      <c r="K211" s="160">
        <f>'дод 2'!L50</f>
        <v>0</v>
      </c>
      <c r="L211" s="160">
        <f>'дод 2'!M50</f>
        <v>0</v>
      </c>
      <c r="M211" s="160">
        <f>'дод 2'!N50</f>
        <v>0</v>
      </c>
      <c r="N211" s="160">
        <f>'дод 2'!O50</f>
        <v>0</v>
      </c>
      <c r="O211" s="160">
        <f>'дод 2'!P50</f>
        <v>2585480</v>
      </c>
    </row>
    <row r="212" spans="1:15" s="51" customFormat="1" ht="54.75" hidden="1" customHeight="1" x14ac:dyDescent="0.25">
      <c r="A212" s="55" t="s">
        <v>519</v>
      </c>
      <c r="B212" s="55" t="s">
        <v>394</v>
      </c>
      <c r="C212" s="99" t="s">
        <v>393</v>
      </c>
      <c r="D212" s="160">
        <f>'дод 2'!E263</f>
        <v>0</v>
      </c>
      <c r="E212" s="160">
        <f>'дод 2'!F263</f>
        <v>0</v>
      </c>
      <c r="F212" s="160">
        <f>'дод 2'!G263</f>
        <v>0</v>
      </c>
      <c r="G212" s="160">
        <f>'дод 2'!H263</f>
        <v>0</v>
      </c>
      <c r="H212" s="160">
        <f>'дод 2'!I263</f>
        <v>0</v>
      </c>
      <c r="I212" s="160">
        <f>'дод 2'!J263</f>
        <v>0</v>
      </c>
      <c r="J212" s="160">
        <f>'дод 2'!K263</f>
        <v>0</v>
      </c>
      <c r="K212" s="160">
        <f>'дод 2'!L263</f>
        <v>0</v>
      </c>
      <c r="L212" s="160">
        <f>'дод 2'!M263</f>
        <v>0</v>
      </c>
      <c r="M212" s="160">
        <f>'дод 2'!N263</f>
        <v>0</v>
      </c>
      <c r="N212" s="160">
        <f>'дод 2'!O263</f>
        <v>0</v>
      </c>
      <c r="O212" s="160">
        <f>'дод 2'!P263</f>
        <v>0</v>
      </c>
    </row>
    <row r="213" spans="1:15" s="51" customFormat="1" ht="63" hidden="1" customHeight="1" x14ac:dyDescent="0.25">
      <c r="A213" s="81"/>
      <c r="B213" s="81"/>
      <c r="C213" s="79" t="s">
        <v>517</v>
      </c>
      <c r="D213" s="161">
        <f>'дод 2'!E265</f>
        <v>0</v>
      </c>
      <c r="E213" s="161">
        <f>'дод 2'!F265</f>
        <v>0</v>
      </c>
      <c r="F213" s="161">
        <f>'дод 2'!G265</f>
        <v>0</v>
      </c>
      <c r="G213" s="161">
        <f>'дод 2'!H265</f>
        <v>0</v>
      </c>
      <c r="H213" s="161">
        <f>'дод 2'!I265</f>
        <v>0</v>
      </c>
      <c r="I213" s="161">
        <f>'дод 2'!J265</f>
        <v>0</v>
      </c>
      <c r="J213" s="161">
        <f>'дод 2'!K265</f>
        <v>0</v>
      </c>
      <c r="K213" s="161">
        <f>'дод 2'!L265</f>
        <v>0</v>
      </c>
      <c r="L213" s="161">
        <f>'дод 2'!M265</f>
        <v>0</v>
      </c>
      <c r="M213" s="161">
        <f>'дод 2'!N265</f>
        <v>0</v>
      </c>
      <c r="N213" s="161">
        <f>'дод 2'!O265</f>
        <v>0</v>
      </c>
      <c r="O213" s="161">
        <f>'дод 2'!P265</f>
        <v>0</v>
      </c>
    </row>
    <row r="214" spans="1:15" ht="49.5" hidden="1" customHeight="1" x14ac:dyDescent="0.25">
      <c r="A214" s="55" t="s">
        <v>558</v>
      </c>
      <c r="B214" s="56" t="s">
        <v>394</v>
      </c>
      <c r="C214" s="99" t="s">
        <v>555</v>
      </c>
      <c r="D214" s="160">
        <f>'дод 2'!E266</f>
        <v>0</v>
      </c>
      <c r="E214" s="160">
        <f>'дод 2'!F266</f>
        <v>0</v>
      </c>
      <c r="F214" s="160">
        <f>'дод 2'!G266</f>
        <v>0</v>
      </c>
      <c r="G214" s="160">
        <f>'дод 2'!H266</f>
        <v>0</v>
      </c>
      <c r="H214" s="160">
        <f>'дод 2'!I266</f>
        <v>0</v>
      </c>
      <c r="I214" s="160">
        <f>'дод 2'!J266</f>
        <v>0</v>
      </c>
      <c r="J214" s="160">
        <f>'дод 2'!K266</f>
        <v>0</v>
      </c>
      <c r="K214" s="160">
        <f>'дод 2'!L266</f>
        <v>0</v>
      </c>
      <c r="L214" s="160">
        <f>'дод 2'!M266</f>
        <v>0</v>
      </c>
      <c r="M214" s="160">
        <f>'дод 2'!N266</f>
        <v>0</v>
      </c>
      <c r="N214" s="160">
        <f>'дод 2'!O266</f>
        <v>0</v>
      </c>
      <c r="O214" s="160">
        <f>'дод 2'!P266</f>
        <v>0</v>
      </c>
    </row>
    <row r="215" spans="1:15" s="51" customFormat="1" ht="15.75" hidden="1" customHeight="1" x14ac:dyDescent="0.25">
      <c r="A215" s="81"/>
      <c r="B215" s="81"/>
      <c r="C215" s="77" t="s">
        <v>388</v>
      </c>
      <c r="D215" s="161">
        <f>'дод 2'!E267</f>
        <v>0</v>
      </c>
      <c r="E215" s="161">
        <f>'дод 2'!F267</f>
        <v>0</v>
      </c>
      <c r="F215" s="161">
        <f>'дод 2'!G267</f>
        <v>0</v>
      </c>
      <c r="G215" s="161">
        <f>'дод 2'!H267</f>
        <v>0</v>
      </c>
      <c r="H215" s="161">
        <f>'дод 2'!I267</f>
        <v>0</v>
      </c>
      <c r="I215" s="161">
        <f>'дод 2'!J267</f>
        <v>0</v>
      </c>
      <c r="J215" s="161">
        <f>'дод 2'!K267</f>
        <v>0</v>
      </c>
      <c r="K215" s="161">
        <f>'дод 2'!L267</f>
        <v>0</v>
      </c>
      <c r="L215" s="161">
        <f>'дод 2'!M267</f>
        <v>0</v>
      </c>
      <c r="M215" s="161">
        <f>'дод 2'!N267</f>
        <v>0</v>
      </c>
      <c r="N215" s="161">
        <f>'дод 2'!O267</f>
        <v>0</v>
      </c>
      <c r="O215" s="161">
        <f>'дод 2'!P267</f>
        <v>0</v>
      </c>
    </row>
    <row r="216" spans="1:15" s="49" customFormat="1" ht="18.75" customHeight="1" x14ac:dyDescent="0.25">
      <c r="A216" s="39" t="s">
        <v>234</v>
      </c>
      <c r="B216" s="41"/>
      <c r="C216" s="2" t="s">
        <v>235</v>
      </c>
      <c r="D216" s="47">
        <f>D217</f>
        <v>7850000</v>
      </c>
      <c r="E216" s="47">
        <f t="shared" ref="E216:O216" si="42">E217</f>
        <v>7850000</v>
      </c>
      <c r="F216" s="47">
        <f t="shared" si="42"/>
        <v>0</v>
      </c>
      <c r="G216" s="47">
        <f t="shared" si="42"/>
        <v>0</v>
      </c>
      <c r="H216" s="47">
        <f t="shared" si="42"/>
        <v>0</v>
      </c>
      <c r="I216" s="47">
        <f t="shared" si="42"/>
        <v>3150000</v>
      </c>
      <c r="J216" s="47">
        <f t="shared" si="42"/>
        <v>3150000</v>
      </c>
      <c r="K216" s="47">
        <f t="shared" si="42"/>
        <v>0</v>
      </c>
      <c r="L216" s="47">
        <f t="shared" si="42"/>
        <v>0</v>
      </c>
      <c r="M216" s="47">
        <f t="shared" si="42"/>
        <v>0</v>
      </c>
      <c r="N216" s="47">
        <f t="shared" si="42"/>
        <v>3150000</v>
      </c>
      <c r="O216" s="47">
        <f t="shared" si="42"/>
        <v>11000000</v>
      </c>
    </row>
    <row r="217" spans="1:15" ht="37.5" customHeight="1" x14ac:dyDescent="0.25">
      <c r="A217" s="40" t="s">
        <v>232</v>
      </c>
      <c r="B217" s="40" t="s">
        <v>233</v>
      </c>
      <c r="C217" s="11" t="s">
        <v>231</v>
      </c>
      <c r="D217" s="160">
        <f>'дод 2'!E51+'дод 2'!E268</f>
        <v>7850000</v>
      </c>
      <c r="E217" s="160">
        <f>'дод 2'!F51+'дод 2'!F268</f>
        <v>7850000</v>
      </c>
      <c r="F217" s="160">
        <f>'дод 2'!G51+'дод 2'!G268</f>
        <v>0</v>
      </c>
      <c r="G217" s="160">
        <f>'дод 2'!H51+'дод 2'!H268</f>
        <v>0</v>
      </c>
      <c r="H217" s="160">
        <f>'дод 2'!I51+'дод 2'!I268</f>
        <v>0</v>
      </c>
      <c r="I217" s="160">
        <f>'дод 2'!J51+'дод 2'!J268</f>
        <v>3150000</v>
      </c>
      <c r="J217" s="160">
        <f>'дод 2'!K51+'дод 2'!K268</f>
        <v>3150000</v>
      </c>
      <c r="K217" s="160">
        <f>'дод 2'!L51+'дод 2'!L268</f>
        <v>0</v>
      </c>
      <c r="L217" s="160">
        <f>'дод 2'!M51+'дод 2'!M268</f>
        <v>0</v>
      </c>
      <c r="M217" s="160">
        <f>'дод 2'!N51+'дод 2'!N268</f>
        <v>0</v>
      </c>
      <c r="N217" s="160">
        <f>'дод 2'!O51+'дод 2'!O268</f>
        <v>3150000</v>
      </c>
      <c r="O217" s="160">
        <f>'дод 2'!P51+'дод 2'!P268</f>
        <v>11000000</v>
      </c>
    </row>
    <row r="218" spans="1:15" s="49" customFormat="1" ht="39.75" customHeight="1" x14ac:dyDescent="0.25">
      <c r="A218" s="38" t="s">
        <v>87</v>
      </c>
      <c r="B218" s="41"/>
      <c r="C218" s="2" t="s">
        <v>415</v>
      </c>
      <c r="D218" s="47">
        <f>D220+D221+D223+D224+D225+D227+D228+D229</f>
        <v>9071777</v>
      </c>
      <c r="E218" s="47">
        <f t="shared" ref="E218:O218" si="43">E220+E221+E223+E224+E225+E227+E228+E229</f>
        <v>6071777</v>
      </c>
      <c r="F218" s="47">
        <f t="shared" si="43"/>
        <v>0</v>
      </c>
      <c r="G218" s="47">
        <f t="shared" si="43"/>
        <v>0</v>
      </c>
      <c r="H218" s="47">
        <f t="shared" si="43"/>
        <v>3000000</v>
      </c>
      <c r="I218" s="47">
        <f t="shared" si="43"/>
        <v>256393245</v>
      </c>
      <c r="J218" s="47">
        <f t="shared" si="43"/>
        <v>249197846</v>
      </c>
      <c r="K218" s="47">
        <f t="shared" si="43"/>
        <v>1292609</v>
      </c>
      <c r="L218" s="47">
        <f t="shared" si="43"/>
        <v>0</v>
      </c>
      <c r="M218" s="47">
        <f t="shared" si="43"/>
        <v>0</v>
      </c>
      <c r="N218" s="47">
        <f t="shared" si="43"/>
        <v>255100636</v>
      </c>
      <c r="O218" s="47">
        <f t="shared" si="43"/>
        <v>265465022</v>
      </c>
    </row>
    <row r="219" spans="1:15" s="50" customFormat="1" ht="16.5" customHeight="1" x14ac:dyDescent="0.25">
      <c r="A219" s="65"/>
      <c r="B219" s="65"/>
      <c r="C219" s="75" t="s">
        <v>413</v>
      </c>
      <c r="D219" s="162">
        <f>D222+D226</f>
        <v>0</v>
      </c>
      <c r="E219" s="162">
        <f t="shared" ref="E219:O219" si="44">E222+E226</f>
        <v>0</v>
      </c>
      <c r="F219" s="162">
        <f t="shared" si="44"/>
        <v>0</v>
      </c>
      <c r="G219" s="162">
        <f t="shared" si="44"/>
        <v>0</v>
      </c>
      <c r="H219" s="162">
        <f t="shared" si="44"/>
        <v>0</v>
      </c>
      <c r="I219" s="162">
        <f t="shared" si="44"/>
        <v>180458652</v>
      </c>
      <c r="J219" s="162">
        <f t="shared" si="44"/>
        <v>180458652</v>
      </c>
      <c r="K219" s="162">
        <f t="shared" si="44"/>
        <v>0</v>
      </c>
      <c r="L219" s="162">
        <f t="shared" si="44"/>
        <v>0</v>
      </c>
      <c r="M219" s="162">
        <f t="shared" si="44"/>
        <v>0</v>
      </c>
      <c r="N219" s="162">
        <f t="shared" si="44"/>
        <v>180458652</v>
      </c>
      <c r="O219" s="162">
        <f t="shared" si="44"/>
        <v>180458652</v>
      </c>
    </row>
    <row r="220" spans="1:15" ht="32.25" customHeight="1" x14ac:dyDescent="0.25">
      <c r="A220" s="37" t="s">
        <v>4</v>
      </c>
      <c r="B220" s="37" t="s">
        <v>86</v>
      </c>
      <c r="C220" s="3" t="s">
        <v>23</v>
      </c>
      <c r="D220" s="160">
        <f>'дод 2'!E52+'дод 2'!E323</f>
        <v>1060000</v>
      </c>
      <c r="E220" s="160">
        <f>'дод 2'!F52+'дод 2'!F323</f>
        <v>460000</v>
      </c>
      <c r="F220" s="160">
        <f>'дод 2'!G52+'дод 2'!G323</f>
        <v>0</v>
      </c>
      <c r="G220" s="160">
        <f>'дод 2'!H52+'дод 2'!H323</f>
        <v>0</v>
      </c>
      <c r="H220" s="160">
        <f>'дод 2'!I52+'дод 2'!I323</f>
        <v>600000</v>
      </c>
      <c r="I220" s="160">
        <f>'дод 2'!J52+'дод 2'!J323</f>
        <v>0</v>
      </c>
      <c r="J220" s="160">
        <f>'дод 2'!K52+'дод 2'!K323</f>
        <v>0</v>
      </c>
      <c r="K220" s="160">
        <f>'дод 2'!L52+'дод 2'!L323</f>
        <v>0</v>
      </c>
      <c r="L220" s="160">
        <f>'дод 2'!M52+'дод 2'!M323</f>
        <v>0</v>
      </c>
      <c r="M220" s="160">
        <f>'дод 2'!N52+'дод 2'!N323</f>
        <v>0</v>
      </c>
      <c r="N220" s="160">
        <f>'дод 2'!O52+'дод 2'!O323</f>
        <v>0</v>
      </c>
      <c r="O220" s="160">
        <f>'дод 2'!P52+'дод 2'!P323</f>
        <v>1060000</v>
      </c>
    </row>
    <row r="221" spans="1:15" ht="30" customHeight="1" x14ac:dyDescent="0.25">
      <c r="A221" s="37" t="s">
        <v>2</v>
      </c>
      <c r="B221" s="37" t="s">
        <v>85</v>
      </c>
      <c r="C221" s="3" t="s">
        <v>412</v>
      </c>
      <c r="D221" s="160">
        <f>'дод 2'!E126+'дод 2'!E164+'дод 2'!E231+'дод 2'!E269+'дод 2'!E304+'дод 2'!E330+'дод 2'!E210</f>
        <v>5202038</v>
      </c>
      <c r="E221" s="160">
        <f>'дод 2'!F126+'дод 2'!F164+'дод 2'!F231+'дод 2'!F269+'дод 2'!F304+'дод 2'!F330+'дод 2'!F210</f>
        <v>2802038</v>
      </c>
      <c r="F221" s="160">
        <f>'дод 2'!G126+'дод 2'!G164+'дод 2'!G231+'дод 2'!G269+'дод 2'!G304+'дод 2'!G330+'дод 2'!G210</f>
        <v>0</v>
      </c>
      <c r="G221" s="160">
        <f>'дод 2'!H126+'дод 2'!H164+'дод 2'!H231+'дод 2'!H269+'дод 2'!H304+'дод 2'!H330+'дод 2'!H210</f>
        <v>0</v>
      </c>
      <c r="H221" s="160">
        <f>'дод 2'!I126+'дод 2'!I164+'дод 2'!I231+'дод 2'!I269+'дод 2'!I304+'дод 2'!I330+'дод 2'!I210</f>
        <v>2400000</v>
      </c>
      <c r="I221" s="160">
        <f>'дод 2'!J126+'дод 2'!J164+'дод 2'!J231+'дод 2'!J269+'дод 2'!J304+'дод 2'!J330+'дод 2'!J210</f>
        <v>181103036</v>
      </c>
      <c r="J221" s="160">
        <f>'дод 2'!K126+'дод 2'!K164+'дод 2'!K231+'дод 2'!K269+'дод 2'!K304+'дод 2'!K330+'дод 2'!K210</f>
        <v>177107846</v>
      </c>
      <c r="K221" s="160">
        <f>'дод 2'!L126+'дод 2'!L164+'дод 2'!L231+'дод 2'!L269+'дод 2'!L304+'дод 2'!L330+'дод 2'!L210</f>
        <v>0</v>
      </c>
      <c r="L221" s="160">
        <f>'дод 2'!M126+'дод 2'!M164+'дод 2'!M231+'дод 2'!M269+'дод 2'!M304+'дод 2'!M330+'дод 2'!M210</f>
        <v>0</v>
      </c>
      <c r="M221" s="160">
        <f>'дод 2'!N126+'дод 2'!N164+'дод 2'!N231+'дод 2'!N269+'дод 2'!N304+'дод 2'!N330+'дод 2'!N210</f>
        <v>0</v>
      </c>
      <c r="N221" s="160">
        <f>'дод 2'!O126+'дод 2'!O164+'дод 2'!O231+'дод 2'!O269+'дод 2'!O304+'дод 2'!O330+'дод 2'!O210</f>
        <v>181103036</v>
      </c>
      <c r="O221" s="160">
        <f>'дод 2'!P126+'дод 2'!P164+'дод 2'!P231+'дод 2'!P269+'дод 2'!P304+'дод 2'!P330+'дод 2'!P210</f>
        <v>186305074</v>
      </c>
    </row>
    <row r="222" spans="1:15" s="51" customFormat="1" ht="17.25" customHeight="1" x14ac:dyDescent="0.25">
      <c r="A222" s="71"/>
      <c r="B222" s="71"/>
      <c r="C222" s="77" t="s">
        <v>413</v>
      </c>
      <c r="D222" s="161">
        <f>'дод 2'!E165+'дод 2'!E305</f>
        <v>0</v>
      </c>
      <c r="E222" s="161">
        <f>'дод 2'!F165+'дод 2'!F305</f>
        <v>0</v>
      </c>
      <c r="F222" s="161">
        <f>'дод 2'!G165+'дод 2'!G305</f>
        <v>0</v>
      </c>
      <c r="G222" s="161">
        <f>'дод 2'!H165+'дод 2'!H305</f>
        <v>0</v>
      </c>
      <c r="H222" s="161">
        <f>'дод 2'!I165+'дод 2'!I305</f>
        <v>0</v>
      </c>
      <c r="I222" s="161">
        <f>'дод 2'!J165+'дод 2'!J305</f>
        <v>133343652</v>
      </c>
      <c r="J222" s="161">
        <f>'дод 2'!K165+'дод 2'!K305</f>
        <v>133343652</v>
      </c>
      <c r="K222" s="161">
        <f>'дод 2'!L165+'дод 2'!L305</f>
        <v>0</v>
      </c>
      <c r="L222" s="161">
        <f>'дод 2'!M165+'дод 2'!M305</f>
        <v>0</v>
      </c>
      <c r="M222" s="161">
        <f>'дод 2'!N165+'дод 2'!N305</f>
        <v>0</v>
      </c>
      <c r="N222" s="161">
        <f>'дод 2'!O165+'дод 2'!O305</f>
        <v>133343652</v>
      </c>
      <c r="O222" s="161">
        <f>'дод 2'!P165+'дод 2'!P305</f>
        <v>133343652</v>
      </c>
    </row>
    <row r="223" spans="1:15" ht="33.75" customHeight="1" x14ac:dyDescent="0.25">
      <c r="A223" s="37" t="s">
        <v>264</v>
      </c>
      <c r="B223" s="37" t="s">
        <v>81</v>
      </c>
      <c r="C223" s="3" t="s">
        <v>341</v>
      </c>
      <c r="D223" s="160">
        <f>'дод 2'!E324</f>
        <v>0</v>
      </c>
      <c r="E223" s="160">
        <f>'дод 2'!F324</f>
        <v>0</v>
      </c>
      <c r="F223" s="160">
        <f>'дод 2'!G324</f>
        <v>0</v>
      </c>
      <c r="G223" s="160">
        <f>'дод 2'!H324</f>
        <v>0</v>
      </c>
      <c r="H223" s="160">
        <f>'дод 2'!I324</f>
        <v>0</v>
      </c>
      <c r="I223" s="160">
        <f>'дод 2'!J324</f>
        <v>30000</v>
      </c>
      <c r="J223" s="160">
        <f>'дод 2'!K324</f>
        <v>30000</v>
      </c>
      <c r="K223" s="160">
        <f>'дод 2'!L324</f>
        <v>0</v>
      </c>
      <c r="L223" s="160">
        <f>'дод 2'!M324</f>
        <v>0</v>
      </c>
      <c r="M223" s="160">
        <f>'дод 2'!N324</f>
        <v>0</v>
      </c>
      <c r="N223" s="160">
        <f>'дод 2'!O324</f>
        <v>30000</v>
      </c>
      <c r="O223" s="160">
        <f>'дод 2'!P324</f>
        <v>30000</v>
      </c>
    </row>
    <row r="224" spans="1:15" ht="47.25" customHeight="1" x14ac:dyDescent="0.25">
      <c r="A224" s="37" t="s">
        <v>266</v>
      </c>
      <c r="B224" s="37" t="s">
        <v>81</v>
      </c>
      <c r="C224" s="3" t="s">
        <v>267</v>
      </c>
      <c r="D224" s="160">
        <f>'дод 2'!E325</f>
        <v>0</v>
      </c>
      <c r="E224" s="160">
        <f>'дод 2'!F325</f>
        <v>0</v>
      </c>
      <c r="F224" s="160">
        <f>'дод 2'!G325</f>
        <v>0</v>
      </c>
      <c r="G224" s="160">
        <f>'дод 2'!H325</f>
        <v>0</v>
      </c>
      <c r="H224" s="160">
        <f>'дод 2'!I325</f>
        <v>0</v>
      </c>
      <c r="I224" s="160">
        <f>'дод 2'!J325</f>
        <v>145000</v>
      </c>
      <c r="J224" s="160">
        <f>'дод 2'!K325</f>
        <v>145000</v>
      </c>
      <c r="K224" s="160">
        <f>'дод 2'!L325</f>
        <v>0</v>
      </c>
      <c r="L224" s="160">
        <f>'дод 2'!M325</f>
        <v>0</v>
      </c>
      <c r="M224" s="160">
        <f>'дод 2'!N325</f>
        <v>0</v>
      </c>
      <c r="N224" s="160">
        <f>'дод 2'!O325</f>
        <v>145000</v>
      </c>
      <c r="O224" s="160">
        <f>'дод 2'!P325</f>
        <v>145000</v>
      </c>
    </row>
    <row r="225" spans="1:15" ht="42" customHeight="1" x14ac:dyDescent="0.25">
      <c r="A225" s="37" t="s">
        <v>5</v>
      </c>
      <c r="B225" s="37" t="s">
        <v>81</v>
      </c>
      <c r="C225" s="3" t="s">
        <v>600</v>
      </c>
      <c r="D225" s="160">
        <f>'дод 2'!E53+'дод 2'!E270</f>
        <v>0</v>
      </c>
      <c r="E225" s="160">
        <f>'дод 2'!F53+'дод 2'!F270</f>
        <v>0</v>
      </c>
      <c r="F225" s="160">
        <f>'дод 2'!G53+'дод 2'!G270</f>
        <v>0</v>
      </c>
      <c r="G225" s="160">
        <f>'дод 2'!H53+'дод 2'!H270</f>
        <v>0</v>
      </c>
      <c r="H225" s="160">
        <f>'дод 2'!I53+'дод 2'!I270</f>
        <v>0</v>
      </c>
      <c r="I225" s="160">
        <f>'дод 2'!J53+'дод 2'!J270</f>
        <v>71915000</v>
      </c>
      <c r="J225" s="160">
        <f>'дод 2'!K53+'дод 2'!K270</f>
        <v>71915000</v>
      </c>
      <c r="K225" s="160">
        <f>'дод 2'!L53+'дод 2'!L270</f>
        <v>0</v>
      </c>
      <c r="L225" s="160">
        <f>'дод 2'!M53+'дод 2'!M270</f>
        <v>0</v>
      </c>
      <c r="M225" s="160">
        <f>'дод 2'!N53+'дод 2'!N270</f>
        <v>0</v>
      </c>
      <c r="N225" s="160">
        <f>'дод 2'!O53+'дод 2'!O270</f>
        <v>71915000</v>
      </c>
      <c r="O225" s="160">
        <f>'дод 2'!P53+'дод 2'!P270</f>
        <v>71915000</v>
      </c>
    </row>
    <row r="226" spans="1:15" ht="16.5" customHeight="1" x14ac:dyDescent="0.25">
      <c r="A226" s="37"/>
      <c r="B226" s="37"/>
      <c r="C226" s="77" t="s">
        <v>413</v>
      </c>
      <c r="D226" s="160">
        <f>'дод 2'!E271</f>
        <v>0</v>
      </c>
      <c r="E226" s="160">
        <f>'дод 2'!F271</f>
        <v>0</v>
      </c>
      <c r="F226" s="160">
        <f>'дод 2'!G271</f>
        <v>0</v>
      </c>
      <c r="G226" s="160">
        <f>'дод 2'!H271</f>
        <v>0</v>
      </c>
      <c r="H226" s="160">
        <f>'дод 2'!I271</f>
        <v>0</v>
      </c>
      <c r="I226" s="160">
        <f>'дод 2'!J271</f>
        <v>47115000</v>
      </c>
      <c r="J226" s="160">
        <f>'дод 2'!K271</f>
        <v>47115000</v>
      </c>
      <c r="K226" s="160">
        <f>'дод 2'!L271</f>
        <v>0</v>
      </c>
      <c r="L226" s="160">
        <f>'дод 2'!M271</f>
        <v>0</v>
      </c>
      <c r="M226" s="160">
        <f>'дод 2'!N271</f>
        <v>0</v>
      </c>
      <c r="N226" s="160">
        <f>'дод 2'!O271</f>
        <v>47115000</v>
      </c>
      <c r="O226" s="160">
        <f>'дод 2'!P271</f>
        <v>47115000</v>
      </c>
    </row>
    <row r="227" spans="1:15" ht="36.75" customHeight="1" x14ac:dyDescent="0.25">
      <c r="A227" s="37" t="s">
        <v>245</v>
      </c>
      <c r="B227" s="37" t="s">
        <v>81</v>
      </c>
      <c r="C227" s="3" t="s">
        <v>246</v>
      </c>
      <c r="D227" s="160">
        <f>'дод 2'!E54</f>
        <v>366939</v>
      </c>
      <c r="E227" s="160">
        <f>'дод 2'!F54</f>
        <v>366939</v>
      </c>
      <c r="F227" s="160">
        <f>'дод 2'!G54</f>
        <v>0</v>
      </c>
      <c r="G227" s="160">
        <f>'дод 2'!H54</f>
        <v>0</v>
      </c>
      <c r="H227" s="160">
        <f>'дод 2'!I54</f>
        <v>0</v>
      </c>
      <c r="I227" s="160">
        <f>'дод 2'!J54</f>
        <v>0</v>
      </c>
      <c r="J227" s="160">
        <f>'дод 2'!K54</f>
        <v>0</v>
      </c>
      <c r="K227" s="160">
        <f>'дод 2'!L54</f>
        <v>0</v>
      </c>
      <c r="L227" s="160">
        <f>'дод 2'!M54</f>
        <v>0</v>
      </c>
      <c r="M227" s="160">
        <f>'дод 2'!N54</f>
        <v>0</v>
      </c>
      <c r="N227" s="160">
        <f>'дод 2'!O54</f>
        <v>0</v>
      </c>
      <c r="O227" s="160">
        <f>'дод 2'!P54</f>
        <v>366939</v>
      </c>
    </row>
    <row r="228" spans="1:15" s="51" customFormat="1" ht="117" customHeight="1" x14ac:dyDescent="0.25">
      <c r="A228" s="37" t="s">
        <v>291</v>
      </c>
      <c r="B228" s="37" t="s">
        <v>81</v>
      </c>
      <c r="C228" s="3" t="s">
        <v>309</v>
      </c>
      <c r="D228" s="160">
        <f>'дод 2'!E55+'дод 2'!E272+'дод 2'!E306+'дод 2'!E315</f>
        <v>0</v>
      </c>
      <c r="E228" s="160">
        <f>'дод 2'!F55+'дод 2'!F272+'дод 2'!F306+'дод 2'!F315</f>
        <v>0</v>
      </c>
      <c r="F228" s="160">
        <f>'дод 2'!G55+'дод 2'!G272+'дод 2'!G306+'дод 2'!G315</f>
        <v>0</v>
      </c>
      <c r="G228" s="160">
        <f>'дод 2'!H55+'дод 2'!H272+'дод 2'!H306+'дод 2'!H315</f>
        <v>0</v>
      </c>
      <c r="H228" s="160">
        <f>'дод 2'!I55+'дод 2'!I272+'дод 2'!I306+'дод 2'!I315</f>
        <v>0</v>
      </c>
      <c r="I228" s="160">
        <f>'дод 2'!J55+'дод 2'!J272+'дод 2'!J306+'дод 2'!J315</f>
        <v>3200209</v>
      </c>
      <c r="J228" s="160">
        <f>'дод 2'!K55+'дод 2'!K272+'дод 2'!K306+'дод 2'!K315</f>
        <v>0</v>
      </c>
      <c r="K228" s="160">
        <f>'дод 2'!L55+'дод 2'!L272+'дод 2'!L306+'дод 2'!L315</f>
        <v>1292609</v>
      </c>
      <c r="L228" s="160">
        <f>'дод 2'!M55+'дод 2'!M272+'дод 2'!M306+'дод 2'!M315</f>
        <v>0</v>
      </c>
      <c r="M228" s="160">
        <f>'дод 2'!N55+'дод 2'!N272+'дод 2'!N306+'дод 2'!N315</f>
        <v>0</v>
      </c>
      <c r="N228" s="160">
        <f>'дод 2'!O55+'дод 2'!O272+'дод 2'!O306+'дод 2'!O315</f>
        <v>1907600</v>
      </c>
      <c r="O228" s="160">
        <f>'дод 2'!P55+'дод 2'!P272+'дод 2'!P306+'дод 2'!P315</f>
        <v>3200209</v>
      </c>
    </row>
    <row r="229" spans="1:15" s="51" customFormat="1" ht="23.25" customHeight="1" x14ac:dyDescent="0.25">
      <c r="A229" s="37" t="s">
        <v>236</v>
      </c>
      <c r="B229" s="37" t="s">
        <v>81</v>
      </c>
      <c r="C229" s="3" t="s">
        <v>17</v>
      </c>
      <c r="D229" s="160">
        <f>'дод 2'!E56+'дод 2'!E326+'дод 2'!E331</f>
        <v>2442800</v>
      </c>
      <c r="E229" s="160">
        <f>'дод 2'!F56+'дод 2'!F326+'дод 2'!F331</f>
        <v>2442800</v>
      </c>
      <c r="F229" s="160">
        <f>'дод 2'!G56+'дод 2'!G326+'дод 2'!G331</f>
        <v>0</v>
      </c>
      <c r="G229" s="160">
        <f>'дод 2'!H56+'дод 2'!H326+'дод 2'!H331</f>
        <v>0</v>
      </c>
      <c r="H229" s="160">
        <f>'дод 2'!I56+'дод 2'!I326+'дод 2'!I331</f>
        <v>0</v>
      </c>
      <c r="I229" s="160">
        <f>'дод 2'!J56+'дод 2'!J326+'дод 2'!J331</f>
        <v>0</v>
      </c>
      <c r="J229" s="160">
        <f>'дод 2'!K56+'дод 2'!K326+'дод 2'!K331</f>
        <v>0</v>
      </c>
      <c r="K229" s="160">
        <f>'дод 2'!L56+'дод 2'!L326+'дод 2'!L331</f>
        <v>0</v>
      </c>
      <c r="L229" s="160">
        <f>'дод 2'!M56+'дод 2'!M326+'дод 2'!M331</f>
        <v>0</v>
      </c>
      <c r="M229" s="160">
        <f>'дод 2'!N56+'дод 2'!N326+'дод 2'!N331</f>
        <v>0</v>
      </c>
      <c r="N229" s="160">
        <f>'дод 2'!O56+'дод 2'!O326+'дод 2'!O331</f>
        <v>0</v>
      </c>
      <c r="O229" s="160">
        <f>'дод 2'!P56+'дод 2'!P326+'дод 2'!P331</f>
        <v>2442800</v>
      </c>
    </row>
    <row r="230" spans="1:15" s="50" customFormat="1" ht="48.75" hidden="1" customHeight="1" x14ac:dyDescent="0.25">
      <c r="A230" s="38">
        <v>7700</v>
      </c>
      <c r="B230" s="38"/>
      <c r="C230" s="83" t="s">
        <v>357</v>
      </c>
      <c r="D230" s="47">
        <f>D231</f>
        <v>0</v>
      </c>
      <c r="E230" s="47">
        <f t="shared" ref="E230:O230" si="45">E231</f>
        <v>0</v>
      </c>
      <c r="F230" s="47">
        <f t="shared" si="45"/>
        <v>0</v>
      </c>
      <c r="G230" s="47">
        <f t="shared" si="45"/>
        <v>0</v>
      </c>
      <c r="H230" s="47">
        <f t="shared" si="45"/>
        <v>0</v>
      </c>
      <c r="I230" s="47">
        <f t="shared" si="45"/>
        <v>0</v>
      </c>
      <c r="J230" s="47">
        <f t="shared" si="45"/>
        <v>0</v>
      </c>
      <c r="K230" s="47">
        <f t="shared" si="45"/>
        <v>0</v>
      </c>
      <c r="L230" s="47">
        <f t="shared" si="45"/>
        <v>0</v>
      </c>
      <c r="M230" s="47">
        <f t="shared" si="45"/>
        <v>0</v>
      </c>
      <c r="N230" s="47">
        <f t="shared" si="45"/>
        <v>0</v>
      </c>
      <c r="O230" s="47">
        <f t="shared" si="45"/>
        <v>0</v>
      </c>
    </row>
    <row r="231" spans="1:15" s="51" customFormat="1" ht="46.5" hidden="1" customHeight="1" x14ac:dyDescent="0.25">
      <c r="A231" s="37">
        <v>7700</v>
      </c>
      <c r="B231" s="55" t="s">
        <v>92</v>
      </c>
      <c r="C231" s="57" t="s">
        <v>357</v>
      </c>
      <c r="D231" s="160">
        <f>'дод 2'!E127</f>
        <v>0</v>
      </c>
      <c r="E231" s="160">
        <f>'дод 2'!F127</f>
        <v>0</v>
      </c>
      <c r="F231" s="160">
        <f>'дод 2'!G127</f>
        <v>0</v>
      </c>
      <c r="G231" s="160">
        <f>'дод 2'!H127</f>
        <v>0</v>
      </c>
      <c r="H231" s="160">
        <f>'дод 2'!I127</f>
        <v>0</v>
      </c>
      <c r="I231" s="160">
        <f>'дод 2'!J127</f>
        <v>0</v>
      </c>
      <c r="J231" s="160">
        <f>'дод 2'!K127</f>
        <v>0</v>
      </c>
      <c r="K231" s="160">
        <f>'дод 2'!L127</f>
        <v>0</v>
      </c>
      <c r="L231" s="160">
        <f>'дод 2'!M127</f>
        <v>0</v>
      </c>
      <c r="M231" s="160">
        <f>'дод 2'!N127</f>
        <v>0</v>
      </c>
      <c r="N231" s="160">
        <f>'дод 2'!O127</f>
        <v>0</v>
      </c>
      <c r="O231" s="160">
        <f>'дод 2'!P127</f>
        <v>0</v>
      </c>
    </row>
    <row r="232" spans="1:15" s="49" customFormat="1" ht="30.75" customHeight="1" x14ac:dyDescent="0.25">
      <c r="A232" s="38" t="s">
        <v>93</v>
      </c>
      <c r="B232" s="39"/>
      <c r="C232" s="2" t="s">
        <v>553</v>
      </c>
      <c r="D232" s="47">
        <f>D234+D239+D241+D244+D246+D247</f>
        <v>72750842</v>
      </c>
      <c r="E232" s="47">
        <f t="shared" ref="E232:O232" si="46">E234+E239+E241+E244+E246+E247</f>
        <v>22011150</v>
      </c>
      <c r="F232" s="47">
        <f t="shared" si="46"/>
        <v>1998000</v>
      </c>
      <c r="G232" s="47">
        <f t="shared" si="46"/>
        <v>515200</v>
      </c>
      <c r="H232" s="47">
        <f t="shared" si="46"/>
        <v>0</v>
      </c>
      <c r="I232" s="47">
        <f t="shared" si="46"/>
        <v>4495200</v>
      </c>
      <c r="J232" s="47">
        <f t="shared" si="46"/>
        <v>0</v>
      </c>
      <c r="K232" s="47">
        <f t="shared" si="46"/>
        <v>4115200</v>
      </c>
      <c r="L232" s="47">
        <f t="shared" si="46"/>
        <v>0</v>
      </c>
      <c r="M232" s="47">
        <f t="shared" si="46"/>
        <v>1600</v>
      </c>
      <c r="N232" s="47">
        <f t="shared" si="46"/>
        <v>380000</v>
      </c>
      <c r="O232" s="47">
        <f t="shared" si="46"/>
        <v>77246042</v>
      </c>
    </row>
    <row r="233" spans="1:15" s="50" customFormat="1" ht="71.25" customHeight="1" x14ac:dyDescent="0.25">
      <c r="A233" s="65"/>
      <c r="B233" s="68"/>
      <c r="C233" s="69" t="s">
        <v>377</v>
      </c>
      <c r="D233" s="162">
        <f>D235</f>
        <v>493540</v>
      </c>
      <c r="E233" s="162">
        <f t="shared" ref="E233:O233" si="47">E235</f>
        <v>493540</v>
      </c>
      <c r="F233" s="162">
        <f t="shared" si="47"/>
        <v>404541</v>
      </c>
      <c r="G233" s="162">
        <f t="shared" si="47"/>
        <v>0</v>
      </c>
      <c r="H233" s="162">
        <f t="shared" si="47"/>
        <v>0</v>
      </c>
      <c r="I233" s="162">
        <f t="shared" si="47"/>
        <v>0</v>
      </c>
      <c r="J233" s="162">
        <f t="shared" si="47"/>
        <v>0</v>
      </c>
      <c r="K233" s="162">
        <f t="shared" si="47"/>
        <v>0</v>
      </c>
      <c r="L233" s="162">
        <f t="shared" si="47"/>
        <v>0</v>
      </c>
      <c r="M233" s="162">
        <f t="shared" si="47"/>
        <v>0</v>
      </c>
      <c r="N233" s="162">
        <f t="shared" si="47"/>
        <v>0</v>
      </c>
      <c r="O233" s="162">
        <f t="shared" si="47"/>
        <v>493540</v>
      </c>
    </row>
    <row r="234" spans="1:15" s="49" customFormat="1" ht="51.75" customHeight="1" x14ac:dyDescent="0.25">
      <c r="A234" s="38" t="s">
        <v>95</v>
      </c>
      <c r="B234" s="39"/>
      <c r="C234" s="2" t="s">
        <v>501</v>
      </c>
      <c r="D234" s="47">
        <f t="shared" ref="D234:O234" si="48">D236+D237</f>
        <v>3335050</v>
      </c>
      <c r="E234" s="47">
        <f t="shared" si="48"/>
        <v>3335050</v>
      </c>
      <c r="F234" s="47">
        <f t="shared" si="48"/>
        <v>1998000</v>
      </c>
      <c r="G234" s="47">
        <f t="shared" si="48"/>
        <v>88300</v>
      </c>
      <c r="H234" s="47">
        <f t="shared" si="48"/>
        <v>0</v>
      </c>
      <c r="I234" s="47">
        <f t="shared" si="48"/>
        <v>5900</v>
      </c>
      <c r="J234" s="47">
        <f t="shared" si="48"/>
        <v>0</v>
      </c>
      <c r="K234" s="47">
        <f t="shared" si="48"/>
        <v>5900</v>
      </c>
      <c r="L234" s="47">
        <f t="shared" si="48"/>
        <v>0</v>
      </c>
      <c r="M234" s="47">
        <f t="shared" si="48"/>
        <v>1600</v>
      </c>
      <c r="N234" s="47">
        <f t="shared" si="48"/>
        <v>0</v>
      </c>
      <c r="O234" s="47">
        <f t="shared" si="48"/>
        <v>3340950</v>
      </c>
    </row>
    <row r="235" spans="1:15" s="50" customFormat="1" ht="69.75" customHeight="1" x14ac:dyDescent="0.25">
      <c r="A235" s="65"/>
      <c r="B235" s="68"/>
      <c r="C235" s="70" t="str">
        <f>C238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35" s="162">
        <f>D238</f>
        <v>493540</v>
      </c>
      <c r="E235" s="162">
        <f t="shared" ref="E235:O235" si="49">E238</f>
        <v>493540</v>
      </c>
      <c r="F235" s="162">
        <f t="shared" si="49"/>
        <v>404541</v>
      </c>
      <c r="G235" s="162">
        <f t="shared" si="49"/>
        <v>0</v>
      </c>
      <c r="H235" s="162">
        <f t="shared" si="49"/>
        <v>0</v>
      </c>
      <c r="I235" s="162">
        <f t="shared" si="49"/>
        <v>0</v>
      </c>
      <c r="J235" s="162">
        <f t="shared" si="49"/>
        <v>0</v>
      </c>
      <c r="K235" s="162">
        <f t="shared" si="49"/>
        <v>0</v>
      </c>
      <c r="L235" s="162">
        <f t="shared" si="49"/>
        <v>0</v>
      </c>
      <c r="M235" s="162">
        <f t="shared" si="49"/>
        <v>0</v>
      </c>
      <c r="N235" s="162">
        <f t="shared" si="49"/>
        <v>0</v>
      </c>
      <c r="O235" s="162">
        <f t="shared" si="49"/>
        <v>493540</v>
      </c>
    </row>
    <row r="236" spans="1:15" s="49" customFormat="1" ht="36.75" customHeight="1" x14ac:dyDescent="0.25">
      <c r="A236" s="40" t="s">
        <v>7</v>
      </c>
      <c r="B236" s="40" t="s">
        <v>88</v>
      </c>
      <c r="C236" s="3" t="s">
        <v>292</v>
      </c>
      <c r="D236" s="160">
        <f>'дод 2'!E57+'дод 2'!E273</f>
        <v>735850</v>
      </c>
      <c r="E236" s="160">
        <f>'дод 2'!F57+'дод 2'!F273</f>
        <v>735850</v>
      </c>
      <c r="F236" s="160">
        <f>'дод 2'!G57+'дод 2'!G273</f>
        <v>0</v>
      </c>
      <c r="G236" s="160">
        <f>'дод 2'!H57+'дод 2'!H273</f>
        <v>8500</v>
      </c>
      <c r="H236" s="160">
        <f>'дод 2'!I57+'дод 2'!I273</f>
        <v>0</v>
      </c>
      <c r="I236" s="160">
        <f>'дод 2'!J57+'дод 2'!J273</f>
        <v>0</v>
      </c>
      <c r="J236" s="160">
        <f>'дод 2'!K57+'дод 2'!K273</f>
        <v>0</v>
      </c>
      <c r="K236" s="160">
        <f>'дод 2'!L57+'дод 2'!L273</f>
        <v>0</v>
      </c>
      <c r="L236" s="160">
        <f>'дод 2'!M57+'дод 2'!M273</f>
        <v>0</v>
      </c>
      <c r="M236" s="160">
        <f>'дод 2'!N57+'дод 2'!N273</f>
        <v>0</v>
      </c>
      <c r="N236" s="160">
        <f>'дод 2'!O57+'дод 2'!O273</f>
        <v>0</v>
      </c>
      <c r="O236" s="160">
        <f>'дод 2'!P57+'дод 2'!P273</f>
        <v>735850</v>
      </c>
    </row>
    <row r="237" spans="1:15" ht="30" customHeight="1" x14ac:dyDescent="0.25">
      <c r="A237" s="37" t="s">
        <v>145</v>
      </c>
      <c r="B237" s="42" t="s">
        <v>88</v>
      </c>
      <c r="C237" s="3" t="s">
        <v>499</v>
      </c>
      <c r="D237" s="160">
        <f>'дод 2'!E58</f>
        <v>2599200</v>
      </c>
      <c r="E237" s="160">
        <f>'дод 2'!F58</f>
        <v>2599200</v>
      </c>
      <c r="F237" s="160">
        <f>'дод 2'!G58</f>
        <v>1998000</v>
      </c>
      <c r="G237" s="160">
        <f>'дод 2'!H58</f>
        <v>79800</v>
      </c>
      <c r="H237" s="160">
        <f>'дод 2'!I58</f>
        <v>0</v>
      </c>
      <c r="I237" s="160">
        <f>'дод 2'!J58</f>
        <v>5900</v>
      </c>
      <c r="J237" s="160">
        <f>'дод 2'!K58</f>
        <v>0</v>
      </c>
      <c r="K237" s="160">
        <f>'дод 2'!L58</f>
        <v>5900</v>
      </c>
      <c r="L237" s="160">
        <f>'дод 2'!M58</f>
        <v>0</v>
      </c>
      <c r="M237" s="160">
        <f>'дод 2'!N58</f>
        <v>1600</v>
      </c>
      <c r="N237" s="160">
        <f>'дод 2'!O58</f>
        <v>0</v>
      </c>
      <c r="O237" s="160">
        <f>'дод 2'!P58</f>
        <v>2605100</v>
      </c>
    </row>
    <row r="238" spans="1:15" s="51" customFormat="1" ht="52.5" customHeight="1" x14ac:dyDescent="0.25">
      <c r="A238" s="71"/>
      <c r="B238" s="80"/>
      <c r="C238" s="79" t="s">
        <v>377</v>
      </c>
      <c r="D238" s="161">
        <f>'дод 2'!E59</f>
        <v>493540</v>
      </c>
      <c r="E238" s="161">
        <f>'дод 2'!F59</f>
        <v>493540</v>
      </c>
      <c r="F238" s="161">
        <f>'дод 2'!G59</f>
        <v>404541</v>
      </c>
      <c r="G238" s="161">
        <f>'дод 2'!H59</f>
        <v>0</v>
      </c>
      <c r="H238" s="161">
        <f>'дод 2'!I59</f>
        <v>0</v>
      </c>
      <c r="I238" s="161">
        <f>'дод 2'!J59</f>
        <v>0</v>
      </c>
      <c r="J238" s="161">
        <f>'дод 2'!K59</f>
        <v>0</v>
      </c>
      <c r="K238" s="161">
        <f>'дод 2'!L59</f>
        <v>0</v>
      </c>
      <c r="L238" s="161">
        <f>'дод 2'!M59</f>
        <v>0</v>
      </c>
      <c r="M238" s="161">
        <f>'дод 2'!N59</f>
        <v>0</v>
      </c>
      <c r="N238" s="161">
        <f>'дод 2'!O59</f>
        <v>0</v>
      </c>
      <c r="O238" s="161">
        <f>'дод 2'!P59</f>
        <v>493540</v>
      </c>
    </row>
    <row r="239" spans="1:15" s="49" customFormat="1" ht="23.25" customHeight="1" x14ac:dyDescent="0.25">
      <c r="A239" s="38" t="s">
        <v>247</v>
      </c>
      <c r="B239" s="38"/>
      <c r="C239" s="12" t="s">
        <v>248</v>
      </c>
      <c r="D239" s="47">
        <f t="shared" ref="D239:O239" si="50">D240</f>
        <v>589100</v>
      </c>
      <c r="E239" s="47">
        <f t="shared" si="50"/>
        <v>589100</v>
      </c>
      <c r="F239" s="47">
        <f t="shared" si="50"/>
        <v>0</v>
      </c>
      <c r="G239" s="47">
        <f t="shared" si="50"/>
        <v>426900</v>
      </c>
      <c r="H239" s="47">
        <f t="shared" si="50"/>
        <v>0</v>
      </c>
      <c r="I239" s="47">
        <f t="shared" si="50"/>
        <v>0</v>
      </c>
      <c r="J239" s="47">
        <f t="shared" si="50"/>
        <v>0</v>
      </c>
      <c r="K239" s="47">
        <f t="shared" si="50"/>
        <v>0</v>
      </c>
      <c r="L239" s="47">
        <f t="shared" si="50"/>
        <v>0</v>
      </c>
      <c r="M239" s="47">
        <f t="shared" si="50"/>
        <v>0</v>
      </c>
      <c r="N239" s="47">
        <f t="shared" si="50"/>
        <v>0</v>
      </c>
      <c r="O239" s="47">
        <f t="shared" si="50"/>
        <v>589100</v>
      </c>
    </row>
    <row r="240" spans="1:15" ht="22.5" customHeight="1" x14ac:dyDescent="0.25">
      <c r="A240" s="37" t="s">
        <v>241</v>
      </c>
      <c r="B240" s="42" t="s">
        <v>242</v>
      </c>
      <c r="C240" s="3" t="s">
        <v>243</v>
      </c>
      <c r="D240" s="160">
        <f>'дод 2'!E60+'дод 2'!E274</f>
        <v>589100</v>
      </c>
      <c r="E240" s="160">
        <f>'дод 2'!F60+'дод 2'!F274</f>
        <v>589100</v>
      </c>
      <c r="F240" s="160">
        <f>'дод 2'!G60+'дод 2'!G274</f>
        <v>0</v>
      </c>
      <c r="G240" s="160">
        <f>'дод 2'!H60+'дод 2'!H274</f>
        <v>426900</v>
      </c>
      <c r="H240" s="160">
        <f>'дод 2'!I60+'дод 2'!I274</f>
        <v>0</v>
      </c>
      <c r="I240" s="160">
        <f>'дод 2'!J60+'дод 2'!J274</f>
        <v>0</v>
      </c>
      <c r="J240" s="160">
        <f>'дод 2'!K60+'дод 2'!K274</f>
        <v>0</v>
      </c>
      <c r="K240" s="160">
        <f>'дод 2'!L60+'дод 2'!L274</f>
        <v>0</v>
      </c>
      <c r="L240" s="160">
        <f>'дод 2'!M60+'дод 2'!M274</f>
        <v>0</v>
      </c>
      <c r="M240" s="160">
        <f>'дод 2'!N60+'дод 2'!N274</f>
        <v>0</v>
      </c>
      <c r="N240" s="160">
        <f>'дод 2'!O60+'дод 2'!O274</f>
        <v>0</v>
      </c>
      <c r="O240" s="160">
        <f>'дод 2'!P60+'дод 2'!P274</f>
        <v>589100</v>
      </c>
    </row>
    <row r="241" spans="1:16" s="49" customFormat="1" ht="22.5" customHeight="1" x14ac:dyDescent="0.25">
      <c r="A241" s="38" t="s">
        <v>6</v>
      </c>
      <c r="B241" s="39"/>
      <c r="C241" s="2" t="s">
        <v>8</v>
      </c>
      <c r="D241" s="47">
        <f t="shared" ref="D241:O241" si="51">D243+D242</f>
        <v>80000</v>
      </c>
      <c r="E241" s="47">
        <f t="shared" si="51"/>
        <v>80000</v>
      </c>
      <c r="F241" s="47">
        <f t="shared" si="51"/>
        <v>0</v>
      </c>
      <c r="G241" s="47">
        <f t="shared" si="51"/>
        <v>0</v>
      </c>
      <c r="H241" s="47">
        <f t="shared" si="51"/>
        <v>0</v>
      </c>
      <c r="I241" s="47">
        <f t="shared" si="51"/>
        <v>4489300</v>
      </c>
      <c r="J241" s="47">
        <f t="shared" si="51"/>
        <v>0</v>
      </c>
      <c r="K241" s="47">
        <f t="shared" si="51"/>
        <v>4109300</v>
      </c>
      <c r="L241" s="47">
        <f t="shared" si="51"/>
        <v>0</v>
      </c>
      <c r="M241" s="47">
        <f t="shared" si="51"/>
        <v>0</v>
      </c>
      <c r="N241" s="47">
        <f t="shared" si="51"/>
        <v>380000</v>
      </c>
      <c r="O241" s="47">
        <f t="shared" si="51"/>
        <v>4569300</v>
      </c>
    </row>
    <row r="242" spans="1:16" s="49" customFormat="1" ht="33.75" customHeight="1" x14ac:dyDescent="0.25">
      <c r="A242" s="37">
        <v>8330</v>
      </c>
      <c r="B242" s="55" t="s">
        <v>91</v>
      </c>
      <c r="C242" s="3" t="s">
        <v>343</v>
      </c>
      <c r="D242" s="160">
        <f>'дод 2'!E332</f>
        <v>80000</v>
      </c>
      <c r="E242" s="160">
        <f>'дод 2'!F332</f>
        <v>80000</v>
      </c>
      <c r="F242" s="160">
        <f>'дод 2'!G332</f>
        <v>0</v>
      </c>
      <c r="G242" s="160">
        <f>'дод 2'!H332</f>
        <v>0</v>
      </c>
      <c r="H242" s="160">
        <f>'дод 2'!I332</f>
        <v>0</v>
      </c>
      <c r="I242" s="160">
        <f>'дод 2'!J332</f>
        <v>0</v>
      </c>
      <c r="J242" s="160">
        <f>'дод 2'!K332</f>
        <v>0</v>
      </c>
      <c r="K242" s="160">
        <f>'дод 2'!L332</f>
        <v>0</v>
      </c>
      <c r="L242" s="160">
        <f>'дод 2'!M332</f>
        <v>0</v>
      </c>
      <c r="M242" s="160">
        <f>'дод 2'!N332</f>
        <v>0</v>
      </c>
      <c r="N242" s="160">
        <f>'дод 2'!O332</f>
        <v>0</v>
      </c>
      <c r="O242" s="160">
        <f>'дод 2'!P332</f>
        <v>80000</v>
      </c>
    </row>
    <row r="243" spans="1:16" s="49" customFormat="1" ht="19.5" customHeight="1" x14ac:dyDescent="0.25">
      <c r="A243" s="37" t="s">
        <v>9</v>
      </c>
      <c r="B243" s="37" t="s">
        <v>91</v>
      </c>
      <c r="C243" s="3" t="s">
        <v>10</v>
      </c>
      <c r="D243" s="160">
        <f>'дод 2'!E61+'дод 2'!E128+'дод 2'!E275+'дод 2'!E333+'дод 2'!E232</f>
        <v>0</v>
      </c>
      <c r="E243" s="160">
        <f>'дод 2'!F61+'дод 2'!F128+'дод 2'!F275+'дод 2'!F333+'дод 2'!F232</f>
        <v>0</v>
      </c>
      <c r="F243" s="160">
        <f>'дод 2'!G61+'дод 2'!G128+'дод 2'!G275+'дод 2'!G333+'дод 2'!G232</f>
        <v>0</v>
      </c>
      <c r="G243" s="160">
        <f>'дод 2'!H61+'дод 2'!H128+'дод 2'!H275+'дод 2'!H333+'дод 2'!H232</f>
        <v>0</v>
      </c>
      <c r="H243" s="160">
        <f>'дод 2'!I61+'дод 2'!I128+'дод 2'!I275+'дод 2'!I333+'дод 2'!I232</f>
        <v>0</v>
      </c>
      <c r="I243" s="160">
        <f>'дод 2'!J61+'дод 2'!J128+'дод 2'!J275+'дод 2'!J333+'дод 2'!J232</f>
        <v>4489300</v>
      </c>
      <c r="J243" s="160">
        <f>'дод 2'!K61+'дод 2'!K128+'дод 2'!K275+'дод 2'!K333+'дод 2'!K232</f>
        <v>0</v>
      </c>
      <c r="K243" s="160">
        <f>'дод 2'!L61+'дод 2'!L128+'дод 2'!L275+'дод 2'!L333+'дод 2'!L232</f>
        <v>4109300</v>
      </c>
      <c r="L243" s="160">
        <f>'дод 2'!M61+'дод 2'!M128+'дод 2'!M275+'дод 2'!M333+'дод 2'!M232</f>
        <v>0</v>
      </c>
      <c r="M243" s="160">
        <f>'дод 2'!N61+'дод 2'!N128+'дод 2'!N275+'дод 2'!N333+'дод 2'!N232</f>
        <v>0</v>
      </c>
      <c r="N243" s="160">
        <f>'дод 2'!O61+'дод 2'!O128+'дод 2'!O275+'дод 2'!O333+'дод 2'!O232</f>
        <v>380000</v>
      </c>
      <c r="O243" s="160">
        <f>'дод 2'!P61+'дод 2'!P128+'дод 2'!P275+'дод 2'!P333+'дод 2'!P232</f>
        <v>4489300</v>
      </c>
    </row>
    <row r="244" spans="1:16" s="49" customFormat="1" ht="20.25" hidden="1" customHeight="1" x14ac:dyDescent="0.25">
      <c r="A244" s="38" t="s">
        <v>131</v>
      </c>
      <c r="B244" s="39"/>
      <c r="C244" s="2" t="s">
        <v>75</v>
      </c>
      <c r="D244" s="47">
        <f t="shared" ref="D244:O244" si="52">D245</f>
        <v>0</v>
      </c>
      <c r="E244" s="47">
        <f t="shared" si="52"/>
        <v>0</v>
      </c>
      <c r="F244" s="47">
        <f t="shared" si="52"/>
        <v>0</v>
      </c>
      <c r="G244" s="47">
        <f t="shared" si="52"/>
        <v>0</v>
      </c>
      <c r="H244" s="47">
        <f t="shared" si="52"/>
        <v>0</v>
      </c>
      <c r="I244" s="47">
        <f t="shared" si="52"/>
        <v>0</v>
      </c>
      <c r="J244" s="47">
        <f t="shared" si="52"/>
        <v>0</v>
      </c>
      <c r="K244" s="47">
        <f t="shared" si="52"/>
        <v>0</v>
      </c>
      <c r="L244" s="47">
        <f t="shared" si="52"/>
        <v>0</v>
      </c>
      <c r="M244" s="47">
        <f t="shared" si="52"/>
        <v>0</v>
      </c>
      <c r="N244" s="47">
        <f t="shared" si="52"/>
        <v>0</v>
      </c>
      <c r="O244" s="47">
        <f t="shared" si="52"/>
        <v>0</v>
      </c>
    </row>
    <row r="245" spans="1:16" s="49" customFormat="1" ht="21" hidden="1" customHeight="1" x14ac:dyDescent="0.25">
      <c r="A245" s="37" t="s">
        <v>252</v>
      </c>
      <c r="B245" s="42" t="s">
        <v>76</v>
      </c>
      <c r="C245" s="3" t="s">
        <v>253</v>
      </c>
      <c r="D245" s="160">
        <f>'дод 2'!E62</f>
        <v>0</v>
      </c>
      <c r="E245" s="160">
        <f>'дод 2'!F62</f>
        <v>0</v>
      </c>
      <c r="F245" s="160">
        <f>'дод 2'!G62</f>
        <v>0</v>
      </c>
      <c r="G245" s="160">
        <f>'дод 2'!H62</f>
        <v>0</v>
      </c>
      <c r="H245" s="160">
        <f>'дод 2'!I62</f>
        <v>0</v>
      </c>
      <c r="I245" s="160">
        <f>'дод 2'!J62</f>
        <v>0</v>
      </c>
      <c r="J245" s="160">
        <f>'дод 2'!K62</f>
        <v>0</v>
      </c>
      <c r="K245" s="160">
        <f>'дод 2'!L62</f>
        <v>0</v>
      </c>
      <c r="L245" s="160">
        <f>'дод 2'!M62</f>
        <v>0</v>
      </c>
      <c r="M245" s="160">
        <f>'дод 2'!N62</f>
        <v>0</v>
      </c>
      <c r="N245" s="160">
        <f>'дод 2'!O62</f>
        <v>0</v>
      </c>
      <c r="O245" s="160">
        <f>'дод 2'!P62</f>
        <v>0</v>
      </c>
    </row>
    <row r="246" spans="1:16" s="49" customFormat="1" ht="21" customHeight="1" x14ac:dyDescent="0.25">
      <c r="A246" s="38" t="s">
        <v>94</v>
      </c>
      <c r="B246" s="38" t="s">
        <v>89</v>
      </c>
      <c r="C246" s="2" t="s">
        <v>11</v>
      </c>
      <c r="D246" s="47">
        <f>'дод 2'!E334</f>
        <v>3807000</v>
      </c>
      <c r="E246" s="47">
        <f>'дод 2'!F334</f>
        <v>3807000</v>
      </c>
      <c r="F246" s="47">
        <f>'дод 2'!G334</f>
        <v>0</v>
      </c>
      <c r="G246" s="47">
        <f>'дод 2'!H334</f>
        <v>0</v>
      </c>
      <c r="H246" s="47">
        <f>'дод 2'!I334</f>
        <v>0</v>
      </c>
      <c r="I246" s="47">
        <f>'дод 2'!J334</f>
        <v>0</v>
      </c>
      <c r="J246" s="47">
        <f>'дод 2'!K334</f>
        <v>0</v>
      </c>
      <c r="K246" s="47">
        <f>'дод 2'!L334</f>
        <v>0</v>
      </c>
      <c r="L246" s="47">
        <f>'дод 2'!M334</f>
        <v>0</v>
      </c>
      <c r="M246" s="47">
        <f>'дод 2'!N334</f>
        <v>0</v>
      </c>
      <c r="N246" s="47">
        <f>'дод 2'!O334</f>
        <v>0</v>
      </c>
      <c r="O246" s="47">
        <f>'дод 2'!P334</f>
        <v>3807000</v>
      </c>
    </row>
    <row r="247" spans="1:16" s="49" customFormat="1" ht="21" customHeight="1" x14ac:dyDescent="0.25">
      <c r="A247" s="38">
        <v>8700</v>
      </c>
      <c r="B247" s="38"/>
      <c r="C247" s="2" t="s">
        <v>630</v>
      </c>
      <c r="D247" s="47">
        <f>D248+D249</f>
        <v>64939692</v>
      </c>
      <c r="E247" s="47">
        <f t="shared" ref="E247:O247" si="53">E248+E249</f>
        <v>14200000</v>
      </c>
      <c r="F247" s="47">
        <f t="shared" si="53"/>
        <v>0</v>
      </c>
      <c r="G247" s="47">
        <f t="shared" si="53"/>
        <v>0</v>
      </c>
      <c r="H247" s="47">
        <f t="shared" si="53"/>
        <v>0</v>
      </c>
      <c r="I247" s="47">
        <f t="shared" si="53"/>
        <v>0</v>
      </c>
      <c r="J247" s="47">
        <f t="shared" si="53"/>
        <v>0</v>
      </c>
      <c r="K247" s="47">
        <f t="shared" si="53"/>
        <v>0</v>
      </c>
      <c r="L247" s="47">
        <f t="shared" si="53"/>
        <v>0</v>
      </c>
      <c r="M247" s="47">
        <f t="shared" si="53"/>
        <v>0</v>
      </c>
      <c r="N247" s="47">
        <f t="shared" si="53"/>
        <v>0</v>
      </c>
      <c r="O247" s="47">
        <f t="shared" si="53"/>
        <v>64939692</v>
      </c>
      <c r="P247" s="47"/>
    </row>
    <row r="248" spans="1:16" ht="25.5" customHeight="1" x14ac:dyDescent="0.25">
      <c r="A248" s="37">
        <v>8710</v>
      </c>
      <c r="B248" s="37" t="s">
        <v>92</v>
      </c>
      <c r="C248" s="3" t="s">
        <v>498</v>
      </c>
      <c r="D248" s="160">
        <f>'дод 2'!E335</f>
        <v>50739692</v>
      </c>
      <c r="E248" s="160">
        <f>'дод 2'!F335</f>
        <v>0</v>
      </c>
      <c r="F248" s="160">
        <f>'дод 2'!G335</f>
        <v>0</v>
      </c>
      <c r="G248" s="160">
        <f>'дод 2'!H335</f>
        <v>0</v>
      </c>
      <c r="H248" s="160">
        <f>'дод 2'!I335</f>
        <v>0</v>
      </c>
      <c r="I248" s="160">
        <f>'дод 2'!J335</f>
        <v>0</v>
      </c>
      <c r="J248" s="160">
        <f>'дод 2'!K335</f>
        <v>0</v>
      </c>
      <c r="K248" s="160">
        <f>'дод 2'!L335</f>
        <v>0</v>
      </c>
      <c r="L248" s="160">
        <f>'дод 2'!M335</f>
        <v>0</v>
      </c>
      <c r="M248" s="160">
        <f>'дод 2'!N335</f>
        <v>0</v>
      </c>
      <c r="N248" s="160">
        <f>'дод 2'!O335</f>
        <v>0</v>
      </c>
      <c r="O248" s="160">
        <f>'дод 2'!P335</f>
        <v>50739692</v>
      </c>
    </row>
    <row r="249" spans="1:16" ht="33.75" customHeight="1" x14ac:dyDescent="0.25">
      <c r="A249" s="37">
        <v>8775</v>
      </c>
      <c r="B249" s="37" t="s">
        <v>92</v>
      </c>
      <c r="C249" s="3" t="s">
        <v>628</v>
      </c>
      <c r="D249" s="160">
        <f>'дод 2'!E64+'дод 2'!E168+'дод 2'!E211</f>
        <v>14200000</v>
      </c>
      <c r="E249" s="160">
        <f>'дод 2'!F64+'дод 2'!F168+'дод 2'!F211</f>
        <v>14200000</v>
      </c>
      <c r="F249" s="160">
        <f>'дод 2'!G64+'дод 2'!G168+'дод 2'!G211</f>
        <v>0</v>
      </c>
      <c r="G249" s="160">
        <f>'дод 2'!H64+'дод 2'!H168+'дод 2'!H211</f>
        <v>0</v>
      </c>
      <c r="H249" s="160">
        <f>'дод 2'!I64+'дод 2'!I168+'дод 2'!I211</f>
        <v>0</v>
      </c>
      <c r="I249" s="160">
        <f>'дод 2'!J64+'дод 2'!J168+'дод 2'!J211</f>
        <v>0</v>
      </c>
      <c r="J249" s="160">
        <f>'дод 2'!K64+'дод 2'!K168+'дод 2'!K211</f>
        <v>0</v>
      </c>
      <c r="K249" s="160">
        <f>'дод 2'!L64+'дод 2'!L168+'дод 2'!L211</f>
        <v>0</v>
      </c>
      <c r="L249" s="160">
        <f>'дод 2'!M64+'дод 2'!M168+'дод 2'!M211</f>
        <v>0</v>
      </c>
      <c r="M249" s="160">
        <f>'дод 2'!N64+'дод 2'!N168+'дод 2'!N211</f>
        <v>0</v>
      </c>
      <c r="N249" s="160">
        <f>'дод 2'!O64+'дод 2'!O168+'дод 2'!O211</f>
        <v>0</v>
      </c>
      <c r="O249" s="160">
        <f>'дод 2'!P64+'дод 2'!P168+'дод 2'!P211</f>
        <v>14200000</v>
      </c>
    </row>
    <row r="250" spans="1:16" s="49" customFormat="1" ht="24" customHeight="1" x14ac:dyDescent="0.25">
      <c r="A250" s="38" t="s">
        <v>12</v>
      </c>
      <c r="B250" s="38"/>
      <c r="C250" s="2" t="s">
        <v>594</v>
      </c>
      <c r="D250" s="47">
        <f>D252+D254+D258+D262</f>
        <v>183931140</v>
      </c>
      <c r="E250" s="47">
        <f t="shared" ref="E250:O250" si="54">E252+E254+E258+E262</f>
        <v>183931140</v>
      </c>
      <c r="F250" s="47">
        <f t="shared" si="54"/>
        <v>0</v>
      </c>
      <c r="G250" s="47">
        <f t="shared" si="54"/>
        <v>0</v>
      </c>
      <c r="H250" s="47">
        <f t="shared" si="54"/>
        <v>0</v>
      </c>
      <c r="I250" s="47">
        <f t="shared" si="54"/>
        <v>4223760</v>
      </c>
      <c r="J250" s="47">
        <f t="shared" si="54"/>
        <v>4223760</v>
      </c>
      <c r="K250" s="47">
        <f t="shared" si="54"/>
        <v>0</v>
      </c>
      <c r="L250" s="47">
        <f t="shared" si="54"/>
        <v>0</v>
      </c>
      <c r="M250" s="47">
        <f t="shared" si="54"/>
        <v>0</v>
      </c>
      <c r="N250" s="47">
        <f t="shared" si="54"/>
        <v>4223760</v>
      </c>
      <c r="O250" s="47">
        <f t="shared" si="54"/>
        <v>188154900</v>
      </c>
    </row>
    <row r="251" spans="1:16" s="49" customFormat="1" ht="36.75" hidden="1" customHeight="1" x14ac:dyDescent="0.25">
      <c r="A251" s="38"/>
      <c r="B251" s="38"/>
      <c r="C251" s="70" t="s">
        <v>518</v>
      </c>
      <c r="D251" s="162">
        <f>D255</f>
        <v>0</v>
      </c>
      <c r="E251" s="162">
        <f t="shared" ref="E251:O251" si="55">E255</f>
        <v>0</v>
      </c>
      <c r="F251" s="162">
        <f t="shared" si="55"/>
        <v>0</v>
      </c>
      <c r="G251" s="162">
        <f t="shared" si="55"/>
        <v>0</v>
      </c>
      <c r="H251" s="162">
        <f t="shared" si="55"/>
        <v>0</v>
      </c>
      <c r="I251" s="162">
        <f t="shared" si="55"/>
        <v>0</v>
      </c>
      <c r="J251" s="162">
        <f t="shared" si="55"/>
        <v>0</v>
      </c>
      <c r="K251" s="162">
        <f t="shared" si="55"/>
        <v>0</v>
      </c>
      <c r="L251" s="162">
        <f t="shared" si="55"/>
        <v>0</v>
      </c>
      <c r="M251" s="162">
        <f t="shared" si="55"/>
        <v>0</v>
      </c>
      <c r="N251" s="162">
        <f t="shared" si="55"/>
        <v>0</v>
      </c>
      <c r="O251" s="162">
        <f t="shared" si="55"/>
        <v>0</v>
      </c>
    </row>
    <row r="252" spans="1:16" s="49" customFormat="1" ht="21.75" customHeight="1" x14ac:dyDescent="0.25">
      <c r="A252" s="38" t="s">
        <v>250</v>
      </c>
      <c r="B252" s="38"/>
      <c r="C252" s="2" t="s">
        <v>293</v>
      </c>
      <c r="D252" s="47">
        <f t="shared" ref="D252:O252" si="56">D253</f>
        <v>171293100</v>
      </c>
      <c r="E252" s="47">
        <f t="shared" si="56"/>
        <v>171293100</v>
      </c>
      <c r="F252" s="47">
        <f t="shared" si="56"/>
        <v>0</v>
      </c>
      <c r="G252" s="47">
        <f t="shared" si="56"/>
        <v>0</v>
      </c>
      <c r="H252" s="47">
        <f t="shared" si="56"/>
        <v>0</v>
      </c>
      <c r="I252" s="47">
        <f t="shared" si="56"/>
        <v>0</v>
      </c>
      <c r="J252" s="47">
        <f t="shared" si="56"/>
        <v>0</v>
      </c>
      <c r="K252" s="47">
        <f t="shared" si="56"/>
        <v>0</v>
      </c>
      <c r="L252" s="47">
        <f t="shared" si="56"/>
        <v>0</v>
      </c>
      <c r="M252" s="47">
        <f t="shared" si="56"/>
        <v>0</v>
      </c>
      <c r="N252" s="47">
        <f t="shared" si="56"/>
        <v>0</v>
      </c>
      <c r="O252" s="47">
        <f t="shared" si="56"/>
        <v>171293100</v>
      </c>
    </row>
    <row r="253" spans="1:16" s="49" customFormat="1" ht="21" customHeight="1" x14ac:dyDescent="0.25">
      <c r="A253" s="37" t="s">
        <v>90</v>
      </c>
      <c r="B253" s="42" t="s">
        <v>44</v>
      </c>
      <c r="C253" s="3" t="s">
        <v>109</v>
      </c>
      <c r="D253" s="160">
        <f>'дод 2'!E336</f>
        <v>171293100</v>
      </c>
      <c r="E253" s="160">
        <f>'дод 2'!F336</f>
        <v>171293100</v>
      </c>
      <c r="F253" s="160">
        <f>'дод 2'!G336</f>
        <v>0</v>
      </c>
      <c r="G253" s="160">
        <f>'дод 2'!H336</f>
        <v>0</v>
      </c>
      <c r="H253" s="160">
        <f>'дод 2'!I336</f>
        <v>0</v>
      </c>
      <c r="I253" s="160">
        <f>'дод 2'!J336</f>
        <v>0</v>
      </c>
      <c r="J253" s="160">
        <f>'дод 2'!K336</f>
        <v>0</v>
      </c>
      <c r="K253" s="160">
        <f>'дод 2'!L336</f>
        <v>0</v>
      </c>
      <c r="L253" s="160">
        <f>'дод 2'!M336</f>
        <v>0</v>
      </c>
      <c r="M253" s="160">
        <f>'дод 2'!N336</f>
        <v>0</v>
      </c>
      <c r="N253" s="160">
        <f>'дод 2'!O336</f>
        <v>0</v>
      </c>
      <c r="O253" s="160">
        <f>'дод 2'!P336</f>
        <v>171293100</v>
      </c>
    </row>
    <row r="254" spans="1:16" s="49" customFormat="1" ht="63" hidden="1" customHeight="1" x14ac:dyDescent="0.25">
      <c r="A254" s="38">
        <v>9300</v>
      </c>
      <c r="B254" s="92"/>
      <c r="C254" s="2" t="s">
        <v>515</v>
      </c>
      <c r="D254" s="47">
        <f>D256</f>
        <v>0</v>
      </c>
      <c r="E254" s="47">
        <f t="shared" ref="E254:O254" si="57">E256</f>
        <v>0</v>
      </c>
      <c r="F254" s="47">
        <f t="shared" si="57"/>
        <v>0</v>
      </c>
      <c r="G254" s="47">
        <f t="shared" si="57"/>
        <v>0</v>
      </c>
      <c r="H254" s="47">
        <f t="shared" si="57"/>
        <v>0</v>
      </c>
      <c r="I254" s="47">
        <f t="shared" si="57"/>
        <v>0</v>
      </c>
      <c r="J254" s="47">
        <f t="shared" si="57"/>
        <v>0</v>
      </c>
      <c r="K254" s="47">
        <f t="shared" si="57"/>
        <v>0</v>
      </c>
      <c r="L254" s="47">
        <f t="shared" si="57"/>
        <v>0</v>
      </c>
      <c r="M254" s="47">
        <f t="shared" si="57"/>
        <v>0</v>
      </c>
      <c r="N254" s="47">
        <f t="shared" si="57"/>
        <v>0</v>
      </c>
      <c r="O254" s="47">
        <f t="shared" si="57"/>
        <v>0</v>
      </c>
    </row>
    <row r="255" spans="1:16" s="49" customFormat="1" ht="31.5" hidden="1" customHeight="1" x14ac:dyDescent="0.25">
      <c r="A255" s="38"/>
      <c r="B255" s="89"/>
      <c r="C255" s="70" t="s">
        <v>518</v>
      </c>
      <c r="D255" s="162">
        <f>D257</f>
        <v>0</v>
      </c>
      <c r="E255" s="162">
        <f t="shared" ref="E255:O255" si="58">E257</f>
        <v>0</v>
      </c>
      <c r="F255" s="162">
        <f t="shared" si="58"/>
        <v>0</v>
      </c>
      <c r="G255" s="162">
        <f t="shared" si="58"/>
        <v>0</v>
      </c>
      <c r="H255" s="162">
        <f t="shared" si="58"/>
        <v>0</v>
      </c>
      <c r="I255" s="162">
        <f t="shared" si="58"/>
        <v>0</v>
      </c>
      <c r="J255" s="162">
        <f t="shared" si="58"/>
        <v>0</v>
      </c>
      <c r="K255" s="162">
        <f t="shared" si="58"/>
        <v>0</v>
      </c>
      <c r="L255" s="162">
        <f t="shared" si="58"/>
        <v>0</v>
      </c>
      <c r="M255" s="162">
        <f t="shared" si="58"/>
        <v>0</v>
      </c>
      <c r="N255" s="162">
        <f t="shared" si="58"/>
        <v>0</v>
      </c>
      <c r="O255" s="162">
        <f t="shared" si="58"/>
        <v>0</v>
      </c>
    </row>
    <row r="256" spans="1:16" s="49" customFormat="1" ht="47.25" hidden="1" customHeight="1" x14ac:dyDescent="0.25">
      <c r="A256" s="37">
        <v>9320</v>
      </c>
      <c r="B256" s="89" t="s">
        <v>44</v>
      </c>
      <c r="C256" s="6" t="s">
        <v>516</v>
      </c>
      <c r="D256" s="160">
        <f>'дод 2'!E129</f>
        <v>0</v>
      </c>
      <c r="E256" s="160">
        <f>'дод 2'!F129</f>
        <v>0</v>
      </c>
      <c r="F256" s="160">
        <f>'дод 2'!G129</f>
        <v>0</v>
      </c>
      <c r="G256" s="160">
        <f>'дод 2'!H129</f>
        <v>0</v>
      </c>
      <c r="H256" s="160">
        <f>'дод 2'!I129</f>
        <v>0</v>
      </c>
      <c r="I256" s="160">
        <f>'дод 2'!J129</f>
        <v>0</v>
      </c>
      <c r="J256" s="160">
        <f>'дод 2'!K129</f>
        <v>0</v>
      </c>
      <c r="K256" s="160">
        <f>'дод 2'!L129</f>
        <v>0</v>
      </c>
      <c r="L256" s="160">
        <f>'дод 2'!M129</f>
        <v>0</v>
      </c>
      <c r="M256" s="160">
        <f>'дод 2'!N129</f>
        <v>0</v>
      </c>
      <c r="N256" s="160">
        <f>'дод 2'!O129</f>
        <v>0</v>
      </c>
      <c r="O256" s="160">
        <f>'дод 2'!P129</f>
        <v>0</v>
      </c>
    </row>
    <row r="257" spans="1:512" s="50" customFormat="1" ht="31.5" hidden="1" customHeight="1" x14ac:dyDescent="0.25">
      <c r="A257" s="71"/>
      <c r="B257" s="91"/>
      <c r="C257" s="79" t="s">
        <v>518</v>
      </c>
      <c r="D257" s="161">
        <f>'дод 2'!E130</f>
        <v>0</v>
      </c>
      <c r="E257" s="161">
        <f>'дод 2'!F130</f>
        <v>0</v>
      </c>
      <c r="F257" s="161">
        <f>'дод 2'!G130</f>
        <v>0</v>
      </c>
      <c r="G257" s="161">
        <f>'дод 2'!H130</f>
        <v>0</v>
      </c>
      <c r="H257" s="161">
        <f>'дод 2'!I130</f>
        <v>0</v>
      </c>
      <c r="I257" s="161">
        <f>'дод 2'!J130</f>
        <v>0</v>
      </c>
      <c r="J257" s="161">
        <f>'дод 2'!K130</f>
        <v>0</v>
      </c>
      <c r="K257" s="161">
        <f>'дод 2'!L130</f>
        <v>0</v>
      </c>
      <c r="L257" s="161">
        <f>'дод 2'!M130</f>
        <v>0</v>
      </c>
      <c r="M257" s="161">
        <f>'дод 2'!N130</f>
        <v>0</v>
      </c>
      <c r="N257" s="161">
        <f>'дод 2'!O130</f>
        <v>0</v>
      </c>
      <c r="O257" s="161">
        <f>'дод 2'!P130</f>
        <v>0</v>
      </c>
    </row>
    <row r="258" spans="1:512" s="49" customFormat="1" ht="57.75" customHeight="1" x14ac:dyDescent="0.25">
      <c r="A258" s="38" t="s">
        <v>13</v>
      </c>
      <c r="B258" s="92"/>
      <c r="C258" s="2" t="s">
        <v>342</v>
      </c>
      <c r="D258" s="47">
        <f>D259+D260+D261</f>
        <v>11396240</v>
      </c>
      <c r="E258" s="47">
        <f t="shared" ref="E258:O258" si="59">E259+E260+E261</f>
        <v>11396240</v>
      </c>
      <c r="F258" s="47">
        <f t="shared" si="59"/>
        <v>0</v>
      </c>
      <c r="G258" s="47">
        <f t="shared" si="59"/>
        <v>0</v>
      </c>
      <c r="H258" s="47">
        <f t="shared" si="59"/>
        <v>0</v>
      </c>
      <c r="I258" s="47">
        <f t="shared" si="59"/>
        <v>3903760</v>
      </c>
      <c r="J258" s="47">
        <f t="shared" si="59"/>
        <v>3903760</v>
      </c>
      <c r="K258" s="47">
        <f t="shared" si="59"/>
        <v>0</v>
      </c>
      <c r="L258" s="47">
        <f t="shared" si="59"/>
        <v>0</v>
      </c>
      <c r="M258" s="47">
        <f t="shared" si="59"/>
        <v>0</v>
      </c>
      <c r="N258" s="47">
        <f t="shared" si="59"/>
        <v>3903760</v>
      </c>
      <c r="O258" s="47">
        <f t="shared" si="59"/>
        <v>15300000</v>
      </c>
    </row>
    <row r="259" spans="1:512" s="49" customFormat="1" ht="79.5" hidden="1" customHeight="1" x14ac:dyDescent="0.25">
      <c r="A259" s="84">
        <v>9730</v>
      </c>
      <c r="B259" s="56" t="s">
        <v>44</v>
      </c>
      <c r="C259" s="57" t="s">
        <v>548</v>
      </c>
      <c r="D259" s="160">
        <f>'дод 2'!E276</f>
        <v>0</v>
      </c>
      <c r="E259" s="160">
        <f>'дод 2'!F276</f>
        <v>0</v>
      </c>
      <c r="F259" s="160">
        <f>'дод 2'!G276</f>
        <v>0</v>
      </c>
      <c r="G259" s="160">
        <f>'дод 2'!H276</f>
        <v>0</v>
      </c>
      <c r="H259" s="160">
        <f>'дод 2'!I276</f>
        <v>0</v>
      </c>
      <c r="I259" s="160">
        <f>'дод 2'!J276</f>
        <v>0</v>
      </c>
      <c r="J259" s="160">
        <f>'дод 2'!K276</f>
        <v>0</v>
      </c>
      <c r="K259" s="160">
        <f>'дод 2'!L276</f>
        <v>0</v>
      </c>
      <c r="L259" s="160">
        <f>'дод 2'!M276</f>
        <v>0</v>
      </c>
      <c r="M259" s="160">
        <f>'дод 2'!N276</f>
        <v>0</v>
      </c>
      <c r="N259" s="160">
        <f>'дод 2'!O276</f>
        <v>0</v>
      </c>
      <c r="O259" s="160">
        <f>'дод 2'!P276</f>
        <v>0</v>
      </c>
    </row>
    <row r="260" spans="1:512" ht="31.5" x14ac:dyDescent="0.25">
      <c r="A260" s="37">
        <v>9750</v>
      </c>
      <c r="B260" s="42" t="s">
        <v>44</v>
      </c>
      <c r="C260" s="57" t="s">
        <v>508</v>
      </c>
      <c r="D260" s="160">
        <f>'дод 2'!E277</f>
        <v>0</v>
      </c>
      <c r="E260" s="160">
        <f>'дод 2'!F277</f>
        <v>0</v>
      </c>
      <c r="F260" s="160">
        <f>'дод 2'!G277</f>
        <v>0</v>
      </c>
      <c r="G260" s="160">
        <f>'дод 2'!H277</f>
        <v>0</v>
      </c>
      <c r="H260" s="160">
        <f>'дод 2'!I277</f>
        <v>0</v>
      </c>
      <c r="I260" s="160">
        <f>'дод 2'!J277</f>
        <v>800000</v>
      </c>
      <c r="J260" s="160">
        <f>'дод 2'!K277</f>
        <v>800000</v>
      </c>
      <c r="K260" s="160">
        <f>'дод 2'!L277</f>
        <v>0</v>
      </c>
      <c r="L260" s="160">
        <f>'дод 2'!M277</f>
        <v>0</v>
      </c>
      <c r="M260" s="160">
        <f>'дод 2'!N277</f>
        <v>0</v>
      </c>
      <c r="N260" s="160">
        <f>'дод 2'!O277</f>
        <v>800000</v>
      </c>
      <c r="O260" s="160">
        <f>'дод 2'!P277</f>
        <v>800000</v>
      </c>
    </row>
    <row r="261" spans="1:512" s="49" customFormat="1" ht="24" customHeight="1" x14ac:dyDescent="0.25">
      <c r="A261" s="37" t="s">
        <v>14</v>
      </c>
      <c r="B261" s="42" t="s">
        <v>44</v>
      </c>
      <c r="C261" s="6" t="s">
        <v>351</v>
      </c>
      <c r="D261" s="160">
        <f>'дод 2'!E131+'дод 2'!E167+'дод 2'!E212+'дод 2'!E278+'дод 2'!E63</f>
        <v>11396240</v>
      </c>
      <c r="E261" s="160">
        <f>'дод 2'!F131+'дод 2'!F167+'дод 2'!F212+'дод 2'!F278+'дод 2'!F63</f>
        <v>11396240</v>
      </c>
      <c r="F261" s="160">
        <f>'дод 2'!G131+'дод 2'!G167+'дод 2'!G212+'дод 2'!G278+'дод 2'!G63</f>
        <v>0</v>
      </c>
      <c r="G261" s="160">
        <f>'дод 2'!H131+'дод 2'!H167+'дод 2'!H212+'дод 2'!H278+'дод 2'!H63</f>
        <v>0</v>
      </c>
      <c r="H261" s="160">
        <f>'дод 2'!I131+'дод 2'!I167+'дод 2'!I212+'дод 2'!I278+'дод 2'!I63</f>
        <v>0</v>
      </c>
      <c r="I261" s="160">
        <f>'дод 2'!J131+'дод 2'!J167+'дод 2'!J212+'дод 2'!J278+'дод 2'!J63</f>
        <v>3103760</v>
      </c>
      <c r="J261" s="160">
        <f>'дод 2'!K131+'дод 2'!K167+'дод 2'!K212+'дод 2'!K278+'дод 2'!K63</f>
        <v>3103760</v>
      </c>
      <c r="K261" s="160">
        <f>'дод 2'!L131+'дод 2'!L167+'дод 2'!L212+'дод 2'!L278+'дод 2'!L63</f>
        <v>0</v>
      </c>
      <c r="L261" s="160">
        <f>'дод 2'!M131+'дод 2'!M167+'дод 2'!M212+'дод 2'!M278+'дод 2'!M63</f>
        <v>0</v>
      </c>
      <c r="M261" s="160">
        <f>'дод 2'!N131+'дод 2'!N167+'дод 2'!N212+'дод 2'!N278+'дод 2'!N63</f>
        <v>0</v>
      </c>
      <c r="N261" s="160">
        <f>'дод 2'!O131+'дод 2'!O167+'дод 2'!O212+'дод 2'!O278+'дод 2'!O63</f>
        <v>3103760</v>
      </c>
      <c r="O261" s="160">
        <f>'дод 2'!P131+'дод 2'!P167+'дод 2'!P212+'дод 2'!P278+'дод 2'!P63</f>
        <v>14500000</v>
      </c>
    </row>
    <row r="262" spans="1:512" s="49" customFormat="1" ht="51" customHeight="1" x14ac:dyDescent="0.25">
      <c r="A262" s="38">
        <v>9800</v>
      </c>
      <c r="B262" s="39" t="s">
        <v>44</v>
      </c>
      <c r="C262" s="9" t="s">
        <v>362</v>
      </c>
      <c r="D262" s="47">
        <f>'дод 2'!E132+'дод 2'!E65</f>
        <v>1241800</v>
      </c>
      <c r="E262" s="47">
        <f>'дод 2'!F132+'дод 2'!F65</f>
        <v>1241800</v>
      </c>
      <c r="F262" s="47">
        <f>'дод 2'!G132+'дод 2'!G65</f>
        <v>0</v>
      </c>
      <c r="G262" s="47">
        <f>'дод 2'!H132+'дод 2'!H65</f>
        <v>0</v>
      </c>
      <c r="H262" s="47">
        <f>'дод 2'!I132+'дод 2'!I65</f>
        <v>0</v>
      </c>
      <c r="I262" s="47">
        <f>'дод 2'!J132+'дод 2'!J65</f>
        <v>320000</v>
      </c>
      <c r="J262" s="47">
        <f>'дод 2'!K132+'дод 2'!K65</f>
        <v>320000</v>
      </c>
      <c r="K262" s="47">
        <f>'дод 2'!L132+'дод 2'!L65</f>
        <v>0</v>
      </c>
      <c r="L262" s="47">
        <f>'дод 2'!M132+'дод 2'!M65</f>
        <v>0</v>
      </c>
      <c r="M262" s="47">
        <f>'дод 2'!N132+'дод 2'!N65</f>
        <v>0</v>
      </c>
      <c r="N262" s="47">
        <f>'дод 2'!O132+'дод 2'!O65</f>
        <v>320000</v>
      </c>
      <c r="O262" s="47">
        <f>'дод 2'!P132+'дод 2'!P65</f>
        <v>1561800</v>
      </c>
    </row>
    <row r="263" spans="1:512" s="49" customFormat="1" ht="21" customHeight="1" x14ac:dyDescent="0.25">
      <c r="A263" s="7"/>
      <c r="B263" s="7"/>
      <c r="C263" s="2" t="s">
        <v>402</v>
      </c>
      <c r="D263" s="47">
        <f>D17+D24+D82+D104+D146+D151+D160+D173+D232+D250</f>
        <v>2896788829</v>
      </c>
      <c r="E263" s="47">
        <f t="shared" ref="E263:O263" si="60">E17+E24+E82+E104+E146+E151+E160+E173+E232+E250</f>
        <v>2600055417</v>
      </c>
      <c r="F263" s="47">
        <f t="shared" si="60"/>
        <v>1271954705</v>
      </c>
      <c r="G263" s="47">
        <f t="shared" si="60"/>
        <v>220062900</v>
      </c>
      <c r="H263" s="47">
        <f t="shared" si="60"/>
        <v>245993720</v>
      </c>
      <c r="I263" s="47">
        <f t="shared" si="60"/>
        <v>903226338</v>
      </c>
      <c r="J263" s="47">
        <f t="shared" si="60"/>
        <v>790014757</v>
      </c>
      <c r="K263" s="47">
        <f t="shared" si="60"/>
        <v>106562676</v>
      </c>
      <c r="L263" s="47">
        <f t="shared" si="60"/>
        <v>9868845</v>
      </c>
      <c r="M263" s="47">
        <f t="shared" si="60"/>
        <v>5509383</v>
      </c>
      <c r="N263" s="47">
        <f t="shared" si="60"/>
        <v>796663662</v>
      </c>
      <c r="O263" s="47">
        <f t="shared" si="60"/>
        <v>3800015167</v>
      </c>
    </row>
    <row r="264" spans="1:512" s="50" customFormat="1" ht="34.5" customHeight="1" x14ac:dyDescent="0.25">
      <c r="A264" s="78"/>
      <c r="B264" s="78"/>
      <c r="C264" s="69" t="s">
        <v>395</v>
      </c>
      <c r="D264" s="162">
        <f t="shared" ref="D264:O264" si="61">D25+D32+D202+D251+D181+D33</f>
        <v>571788600</v>
      </c>
      <c r="E264" s="162">
        <f t="shared" si="61"/>
        <v>571788600</v>
      </c>
      <c r="F264" s="162">
        <f t="shared" si="61"/>
        <v>469390600</v>
      </c>
      <c r="G264" s="162">
        <f t="shared" si="61"/>
        <v>0</v>
      </c>
      <c r="H264" s="162">
        <f t="shared" si="61"/>
        <v>0</v>
      </c>
      <c r="I264" s="162">
        <f t="shared" si="61"/>
        <v>0</v>
      </c>
      <c r="J264" s="162">
        <f t="shared" si="61"/>
        <v>0</v>
      </c>
      <c r="K264" s="162">
        <f t="shared" si="61"/>
        <v>0</v>
      </c>
      <c r="L264" s="162">
        <f t="shared" si="61"/>
        <v>0</v>
      </c>
      <c r="M264" s="162">
        <f t="shared" si="61"/>
        <v>0</v>
      </c>
      <c r="N264" s="162">
        <f t="shared" si="61"/>
        <v>0</v>
      </c>
      <c r="O264" s="162">
        <f t="shared" si="61"/>
        <v>571788600</v>
      </c>
    </row>
    <row r="265" spans="1:512" s="50" customFormat="1" ht="37.5" customHeight="1" x14ac:dyDescent="0.25">
      <c r="A265" s="78"/>
      <c r="B265" s="78"/>
      <c r="C265" s="69" t="s">
        <v>396</v>
      </c>
      <c r="D265" s="162">
        <f>D26+D27+D29+D107+D108+D109+D238+D31+D35+D85+D86+D152+D34+D176+D170+D175</f>
        <v>6252730</v>
      </c>
      <c r="E265" s="162">
        <f t="shared" ref="E265:O265" si="62">E26+E27+E29+E107+E108+E109+E238+E31+E35+E85+E86+E152+E34+E176+E170+E175</f>
        <v>6252730</v>
      </c>
      <c r="F265" s="162">
        <f t="shared" si="62"/>
        <v>2004561</v>
      </c>
      <c r="G265" s="162">
        <f t="shared" si="62"/>
        <v>0</v>
      </c>
      <c r="H265" s="162">
        <f t="shared" si="62"/>
        <v>0</v>
      </c>
      <c r="I265" s="162">
        <f t="shared" si="62"/>
        <v>0</v>
      </c>
      <c r="J265" s="162">
        <f t="shared" si="62"/>
        <v>0</v>
      </c>
      <c r="K265" s="162">
        <f t="shared" si="62"/>
        <v>0</v>
      </c>
      <c r="L265" s="162">
        <f t="shared" si="62"/>
        <v>0</v>
      </c>
      <c r="M265" s="162">
        <f t="shared" si="62"/>
        <v>0</v>
      </c>
      <c r="N265" s="162">
        <f t="shared" si="62"/>
        <v>0</v>
      </c>
      <c r="O265" s="162">
        <f t="shared" si="62"/>
        <v>6252730</v>
      </c>
    </row>
    <row r="266" spans="1:512" s="50" customFormat="1" ht="23.25" customHeight="1" x14ac:dyDescent="0.25">
      <c r="A266" s="65"/>
      <c r="B266" s="65"/>
      <c r="C266" s="75" t="s">
        <v>413</v>
      </c>
      <c r="D266" s="162">
        <f>D177</f>
        <v>0</v>
      </c>
      <c r="E266" s="162">
        <f t="shared" ref="E266:O266" si="63">E177</f>
        <v>0</v>
      </c>
      <c r="F266" s="162">
        <f t="shared" si="63"/>
        <v>0</v>
      </c>
      <c r="G266" s="162">
        <f t="shared" si="63"/>
        <v>0</v>
      </c>
      <c r="H266" s="162">
        <f t="shared" si="63"/>
        <v>0</v>
      </c>
      <c r="I266" s="162">
        <f t="shared" si="63"/>
        <v>180458652</v>
      </c>
      <c r="J266" s="162">
        <f t="shared" si="63"/>
        <v>180458652</v>
      </c>
      <c r="K266" s="162">
        <f t="shared" si="63"/>
        <v>0</v>
      </c>
      <c r="L266" s="162">
        <f t="shared" si="63"/>
        <v>0</v>
      </c>
      <c r="M266" s="162">
        <f t="shared" si="63"/>
        <v>0</v>
      </c>
      <c r="N266" s="162">
        <f t="shared" si="63"/>
        <v>180458652</v>
      </c>
      <c r="O266" s="162">
        <f t="shared" si="63"/>
        <v>180458652</v>
      </c>
    </row>
    <row r="267" spans="1:512" s="49" customFormat="1" ht="27.75" customHeight="1" x14ac:dyDescent="0.25">
      <c r="A267" s="59"/>
      <c r="B267" s="59"/>
      <c r="C267" s="60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</row>
    <row r="268" spans="1:512" s="49" customFormat="1" ht="27.75" customHeight="1" x14ac:dyDescent="0.25">
      <c r="A268" s="59"/>
      <c r="B268" s="59"/>
      <c r="C268" s="60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</row>
    <row r="269" spans="1:512" s="121" customFormat="1" ht="47.25" customHeight="1" x14ac:dyDescent="0.55000000000000004">
      <c r="A269" s="118" t="s">
        <v>569</v>
      </c>
      <c r="B269" s="119"/>
      <c r="C269" s="120"/>
      <c r="D269" s="114"/>
      <c r="E269" s="114"/>
      <c r="F269" s="114"/>
      <c r="G269" s="114"/>
      <c r="H269" s="114"/>
      <c r="I269" s="114"/>
      <c r="J269" s="131"/>
      <c r="K269" s="114"/>
      <c r="L269" s="114" t="s">
        <v>571</v>
      </c>
      <c r="M269" s="151"/>
      <c r="N269" s="151"/>
      <c r="O269" s="151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  <c r="BH269" s="122"/>
      <c r="BI269" s="122"/>
      <c r="BJ269" s="122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2"/>
      <c r="BU269" s="122"/>
      <c r="BV269" s="122"/>
      <c r="BW269" s="122"/>
      <c r="BX269" s="122"/>
      <c r="BY269" s="122"/>
      <c r="BZ269" s="122"/>
      <c r="CA269" s="122"/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2"/>
      <c r="CP269" s="122"/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2"/>
      <c r="DB269" s="122"/>
      <c r="DC269" s="122"/>
      <c r="DD269" s="122"/>
      <c r="DE269" s="122"/>
      <c r="DF269" s="122"/>
      <c r="DG269" s="122"/>
      <c r="DH269" s="122"/>
      <c r="DI269" s="122"/>
      <c r="DJ269" s="122"/>
      <c r="DK269" s="122"/>
      <c r="DL269" s="122"/>
      <c r="DM269" s="122"/>
      <c r="DN269" s="122"/>
      <c r="DO269" s="122"/>
      <c r="DP269" s="122"/>
      <c r="DQ269" s="122"/>
      <c r="DR269" s="122"/>
      <c r="DS269" s="122"/>
      <c r="DT269" s="122"/>
      <c r="DU269" s="122"/>
      <c r="DV269" s="122"/>
      <c r="DW269" s="122"/>
      <c r="DX269" s="122"/>
      <c r="DY269" s="122"/>
      <c r="DZ269" s="122"/>
      <c r="EA269" s="122"/>
      <c r="EB269" s="122"/>
      <c r="EC269" s="122"/>
      <c r="ED269" s="122"/>
      <c r="EE269" s="122"/>
      <c r="EF269" s="122"/>
      <c r="EG269" s="122"/>
      <c r="EH269" s="122"/>
      <c r="EI269" s="122"/>
      <c r="EJ269" s="122"/>
      <c r="EK269" s="122"/>
      <c r="EL269" s="122"/>
      <c r="EM269" s="122"/>
      <c r="EN269" s="122"/>
      <c r="EO269" s="122"/>
      <c r="EP269" s="122"/>
      <c r="EQ269" s="122"/>
      <c r="ER269" s="122"/>
      <c r="ES269" s="122"/>
      <c r="ET269" s="122"/>
      <c r="EU269" s="122"/>
      <c r="EV269" s="122"/>
      <c r="EW269" s="122"/>
      <c r="EX269" s="122"/>
      <c r="EY269" s="122"/>
      <c r="EZ269" s="122"/>
      <c r="FA269" s="122"/>
      <c r="FB269" s="122"/>
      <c r="FC269" s="122"/>
      <c r="FD269" s="122"/>
      <c r="FE269" s="122"/>
      <c r="FF269" s="122"/>
      <c r="FG269" s="122"/>
      <c r="FH269" s="122"/>
      <c r="FI269" s="122"/>
      <c r="FJ269" s="122"/>
      <c r="FK269" s="122"/>
      <c r="FL269" s="122"/>
      <c r="FM269" s="122"/>
      <c r="FN269" s="122"/>
      <c r="FO269" s="122"/>
      <c r="FP269" s="122"/>
      <c r="FQ269" s="122"/>
      <c r="FR269" s="122"/>
      <c r="FS269" s="122"/>
      <c r="FT269" s="122"/>
      <c r="FU269" s="122"/>
      <c r="FV269" s="122"/>
      <c r="FW269" s="122"/>
      <c r="FX269" s="122"/>
      <c r="FY269" s="122"/>
      <c r="FZ269" s="122"/>
      <c r="GA269" s="122"/>
      <c r="GB269" s="122"/>
      <c r="GC269" s="122"/>
      <c r="GD269" s="122"/>
      <c r="GE269" s="122"/>
      <c r="GF269" s="122"/>
      <c r="GG269" s="122"/>
      <c r="GH269" s="122"/>
      <c r="GI269" s="122"/>
      <c r="GJ269" s="122"/>
      <c r="GK269" s="122"/>
      <c r="GL269" s="122"/>
      <c r="GM269" s="122"/>
      <c r="GN269" s="122"/>
      <c r="GO269" s="122"/>
      <c r="GP269" s="122"/>
      <c r="GQ269" s="122"/>
      <c r="GR269" s="122"/>
      <c r="GS269" s="122"/>
      <c r="GT269" s="122"/>
      <c r="GU269" s="122"/>
      <c r="GV269" s="122"/>
      <c r="GW269" s="122"/>
      <c r="GX269" s="122"/>
      <c r="GY269" s="122"/>
      <c r="GZ269" s="122"/>
      <c r="HA269" s="122"/>
      <c r="HB269" s="122"/>
      <c r="HC269" s="122"/>
      <c r="HD269" s="122"/>
      <c r="HE269" s="122"/>
      <c r="HF269" s="122"/>
      <c r="HG269" s="122"/>
      <c r="HH269" s="122"/>
      <c r="HI269" s="122"/>
      <c r="HJ269" s="122"/>
      <c r="HK269" s="122"/>
      <c r="HL269" s="122"/>
      <c r="HM269" s="122"/>
      <c r="HN269" s="122"/>
      <c r="HO269" s="122"/>
      <c r="HP269" s="122"/>
      <c r="HQ269" s="122"/>
      <c r="HR269" s="122"/>
      <c r="HS269" s="122"/>
      <c r="HT269" s="122"/>
      <c r="HU269" s="122"/>
      <c r="HV269" s="122"/>
      <c r="HW269" s="122"/>
      <c r="HX269" s="122"/>
      <c r="HY269" s="122"/>
      <c r="HZ269" s="122"/>
      <c r="IA269" s="122"/>
      <c r="IB269" s="122"/>
      <c r="IC269" s="122"/>
      <c r="ID269" s="122"/>
      <c r="IE269" s="122"/>
      <c r="IF269" s="122"/>
      <c r="IG269" s="122"/>
      <c r="IH269" s="122"/>
      <c r="II269" s="122"/>
      <c r="IJ269" s="122"/>
      <c r="IK269" s="122"/>
      <c r="IL269" s="122"/>
      <c r="IM269" s="122"/>
      <c r="IN269" s="122"/>
      <c r="IO269" s="122"/>
      <c r="IP269" s="122"/>
      <c r="IQ269" s="122"/>
      <c r="IR269" s="122"/>
      <c r="IS269" s="122"/>
      <c r="IT269" s="122"/>
      <c r="IU269" s="122"/>
      <c r="IV269" s="122"/>
      <c r="IW269" s="122"/>
      <c r="IX269" s="122"/>
      <c r="IY269" s="122"/>
      <c r="IZ269" s="122"/>
      <c r="JA269" s="122"/>
      <c r="JB269" s="122"/>
      <c r="JC269" s="122"/>
      <c r="JD269" s="122"/>
      <c r="JE269" s="122"/>
      <c r="JF269" s="122"/>
      <c r="JG269" s="122"/>
      <c r="JH269" s="122"/>
      <c r="JI269" s="122"/>
      <c r="JJ269" s="122"/>
      <c r="JK269" s="122"/>
      <c r="JL269" s="122"/>
      <c r="JM269" s="122"/>
      <c r="JN269" s="122"/>
      <c r="JO269" s="122"/>
      <c r="JP269" s="122"/>
      <c r="JQ269" s="122"/>
      <c r="JR269" s="122"/>
      <c r="JS269" s="122"/>
      <c r="JT269" s="122"/>
      <c r="JU269" s="122"/>
      <c r="JV269" s="122"/>
      <c r="JW269" s="122"/>
      <c r="JX269" s="122"/>
      <c r="JY269" s="122"/>
      <c r="JZ269" s="122"/>
      <c r="KA269" s="122"/>
      <c r="KB269" s="122"/>
      <c r="KC269" s="122"/>
      <c r="KD269" s="122"/>
      <c r="KE269" s="122"/>
      <c r="KF269" s="122"/>
      <c r="KG269" s="122"/>
      <c r="KH269" s="122"/>
      <c r="KI269" s="122"/>
      <c r="KJ269" s="122"/>
      <c r="KK269" s="122"/>
      <c r="KL269" s="122"/>
      <c r="KM269" s="122"/>
      <c r="KN269" s="122"/>
      <c r="KO269" s="122"/>
      <c r="KP269" s="122"/>
      <c r="KQ269" s="122"/>
      <c r="KR269" s="122"/>
      <c r="KS269" s="122"/>
      <c r="KT269" s="122"/>
      <c r="KU269" s="122"/>
      <c r="KV269" s="122"/>
      <c r="KW269" s="122"/>
      <c r="KX269" s="122"/>
      <c r="KY269" s="122"/>
      <c r="KZ269" s="122"/>
      <c r="LA269" s="122"/>
      <c r="LB269" s="122"/>
      <c r="LC269" s="122"/>
      <c r="LD269" s="122"/>
      <c r="LE269" s="122"/>
      <c r="LF269" s="122"/>
      <c r="LG269" s="122"/>
      <c r="LH269" s="122"/>
      <c r="LI269" s="122"/>
      <c r="LJ269" s="122"/>
      <c r="LK269" s="122"/>
      <c r="LL269" s="122"/>
      <c r="LM269" s="122"/>
      <c r="LN269" s="122"/>
      <c r="LO269" s="122"/>
      <c r="LP269" s="122"/>
      <c r="LQ269" s="122"/>
      <c r="LR269" s="122"/>
      <c r="LS269" s="122"/>
      <c r="LT269" s="122"/>
      <c r="LU269" s="122"/>
      <c r="LV269" s="122"/>
      <c r="LW269" s="122"/>
      <c r="LX269" s="122"/>
      <c r="LY269" s="122"/>
      <c r="LZ269" s="122"/>
      <c r="MA269" s="122"/>
      <c r="MB269" s="122"/>
      <c r="MC269" s="122"/>
      <c r="MD269" s="122"/>
      <c r="ME269" s="122"/>
      <c r="MF269" s="122"/>
      <c r="MG269" s="122"/>
      <c r="MH269" s="122"/>
      <c r="MI269" s="122"/>
      <c r="MJ269" s="122"/>
      <c r="MK269" s="122"/>
      <c r="ML269" s="122"/>
      <c r="MM269" s="122"/>
      <c r="MN269" s="122"/>
      <c r="MO269" s="122"/>
      <c r="MP269" s="122"/>
      <c r="MQ269" s="122"/>
      <c r="MR269" s="122"/>
      <c r="MS269" s="122"/>
      <c r="MT269" s="122"/>
      <c r="MU269" s="122"/>
      <c r="MV269" s="122"/>
      <c r="MW269" s="122"/>
      <c r="MX269" s="122"/>
      <c r="MY269" s="122"/>
      <c r="MZ269" s="122"/>
      <c r="NA269" s="122"/>
      <c r="NB269" s="122"/>
      <c r="NC269" s="122"/>
      <c r="ND269" s="122"/>
      <c r="NE269" s="122"/>
      <c r="NF269" s="122"/>
      <c r="NG269" s="122"/>
      <c r="NH269" s="122"/>
      <c r="NI269" s="122"/>
      <c r="NJ269" s="122"/>
      <c r="NK269" s="122"/>
      <c r="NL269" s="122"/>
      <c r="NM269" s="122"/>
      <c r="NN269" s="122"/>
      <c r="NO269" s="122"/>
      <c r="NP269" s="122"/>
      <c r="NQ269" s="122"/>
      <c r="NR269" s="122"/>
      <c r="NS269" s="122"/>
      <c r="NT269" s="122"/>
      <c r="NU269" s="122"/>
      <c r="NV269" s="122"/>
      <c r="NW269" s="122"/>
      <c r="NX269" s="122"/>
      <c r="NY269" s="122"/>
      <c r="NZ269" s="122"/>
      <c r="OA269" s="122"/>
      <c r="OB269" s="122"/>
      <c r="OC269" s="122"/>
      <c r="OD269" s="122"/>
      <c r="OE269" s="122"/>
      <c r="OF269" s="122"/>
      <c r="OG269" s="122"/>
      <c r="OH269" s="122"/>
      <c r="OI269" s="122"/>
      <c r="OJ269" s="122"/>
      <c r="OK269" s="122"/>
      <c r="OL269" s="122"/>
      <c r="OM269" s="122"/>
      <c r="ON269" s="122"/>
      <c r="OO269" s="122"/>
      <c r="OP269" s="122"/>
      <c r="OQ269" s="122"/>
      <c r="OR269" s="122"/>
      <c r="OS269" s="122"/>
      <c r="OT269" s="122"/>
      <c r="OU269" s="122"/>
      <c r="OV269" s="122"/>
      <c r="OW269" s="122"/>
      <c r="OX269" s="122"/>
      <c r="OY269" s="122"/>
      <c r="OZ269" s="122"/>
      <c r="PA269" s="122"/>
      <c r="PB269" s="122"/>
      <c r="PC269" s="122"/>
      <c r="PD269" s="122"/>
      <c r="PE269" s="122"/>
      <c r="PF269" s="122"/>
      <c r="PG269" s="122"/>
      <c r="PH269" s="122"/>
      <c r="PI269" s="122"/>
      <c r="PJ269" s="122"/>
      <c r="PK269" s="122"/>
      <c r="PL269" s="122"/>
      <c r="PM269" s="122"/>
      <c r="PN269" s="122"/>
      <c r="PO269" s="122"/>
      <c r="PP269" s="122"/>
      <c r="PQ269" s="122"/>
      <c r="PR269" s="122"/>
      <c r="PS269" s="122"/>
      <c r="PT269" s="122"/>
      <c r="PU269" s="122"/>
      <c r="PV269" s="122"/>
      <c r="PW269" s="122"/>
      <c r="PX269" s="122"/>
      <c r="PY269" s="122"/>
      <c r="PZ269" s="122"/>
      <c r="QA269" s="122"/>
      <c r="QB269" s="122"/>
      <c r="QC269" s="122"/>
      <c r="QD269" s="122"/>
      <c r="QE269" s="122"/>
      <c r="QF269" s="122"/>
      <c r="QG269" s="122"/>
      <c r="QH269" s="122"/>
      <c r="QI269" s="122"/>
      <c r="QJ269" s="122"/>
      <c r="QK269" s="122"/>
      <c r="QL269" s="122"/>
      <c r="QM269" s="122"/>
      <c r="QN269" s="122"/>
      <c r="QO269" s="122"/>
      <c r="QP269" s="122"/>
      <c r="QQ269" s="122"/>
      <c r="QR269" s="122"/>
      <c r="QS269" s="122"/>
      <c r="QT269" s="122"/>
      <c r="QU269" s="122"/>
      <c r="QV269" s="122"/>
      <c r="QW269" s="122"/>
      <c r="QX269" s="122"/>
      <c r="QY269" s="122"/>
      <c r="QZ269" s="122"/>
      <c r="RA269" s="122"/>
      <c r="RB269" s="122"/>
      <c r="RC269" s="122"/>
      <c r="RD269" s="122"/>
      <c r="RE269" s="122"/>
      <c r="RF269" s="122"/>
      <c r="RG269" s="122"/>
      <c r="RH269" s="122"/>
      <c r="RI269" s="122"/>
      <c r="RJ269" s="122"/>
      <c r="RK269" s="122"/>
      <c r="RL269" s="122"/>
      <c r="RM269" s="122"/>
      <c r="RN269" s="122"/>
      <c r="RO269" s="122"/>
      <c r="RP269" s="122"/>
      <c r="RQ269" s="122"/>
      <c r="RR269" s="122"/>
      <c r="RS269" s="122"/>
      <c r="RT269" s="122"/>
      <c r="RU269" s="122"/>
      <c r="RV269" s="122"/>
      <c r="RW269" s="122"/>
      <c r="RX269" s="122"/>
      <c r="RY269" s="122"/>
      <c r="RZ269" s="122"/>
      <c r="SA269" s="122"/>
      <c r="SB269" s="122"/>
      <c r="SC269" s="122"/>
      <c r="SD269" s="122"/>
      <c r="SE269" s="122"/>
      <c r="SF269" s="122"/>
      <c r="SG269" s="122"/>
      <c r="SH269" s="122"/>
      <c r="SI269" s="122"/>
      <c r="SJ269" s="122"/>
      <c r="SK269" s="122"/>
      <c r="SL269" s="122"/>
      <c r="SM269" s="122"/>
      <c r="SN269" s="122"/>
      <c r="SO269" s="122"/>
      <c r="SP269" s="122"/>
      <c r="SQ269" s="122"/>
      <c r="SR269" s="122"/>
    </row>
    <row r="270" spans="1:512" s="28" customFormat="1" ht="22.5" customHeight="1" x14ac:dyDescent="0.45">
      <c r="A270" s="53"/>
      <c r="B270" s="58"/>
      <c r="C270" s="58"/>
      <c r="D270" s="164"/>
      <c r="E270" s="131"/>
      <c r="F270" s="131"/>
      <c r="G270" s="131"/>
      <c r="H270" s="131"/>
      <c r="I270" s="131"/>
      <c r="J270" s="153"/>
      <c r="K270" s="131"/>
      <c r="L270" s="131"/>
      <c r="M270" s="131"/>
      <c r="N270" s="131"/>
      <c r="O270" s="131"/>
    </row>
    <row r="271" spans="1:512" s="116" customFormat="1" ht="31.5" x14ac:dyDescent="0.45">
      <c r="A271" s="115" t="s">
        <v>617</v>
      </c>
      <c r="B271" s="115"/>
      <c r="C271" s="115"/>
      <c r="D271" s="165"/>
      <c r="E271" s="153"/>
      <c r="F271" s="153"/>
      <c r="G271" s="153"/>
      <c r="H271" s="153"/>
      <c r="I271" s="153"/>
      <c r="J271" s="154"/>
      <c r="K271" s="153"/>
      <c r="L271" s="153"/>
      <c r="M271" s="153"/>
      <c r="N271" s="153"/>
      <c r="O271" s="153"/>
    </row>
    <row r="272" spans="1:512" s="107" customFormat="1" ht="25.5" customHeight="1" x14ac:dyDescent="0.4">
      <c r="A272" s="182"/>
      <c r="B272" s="182"/>
      <c r="C272" s="108"/>
      <c r="D272" s="166"/>
      <c r="E272" s="154"/>
      <c r="F272" s="154"/>
      <c r="G272" s="154"/>
      <c r="H272" s="154"/>
      <c r="I272" s="154"/>
      <c r="J272" s="167"/>
      <c r="K272" s="154"/>
      <c r="L272" s="154"/>
      <c r="M272" s="154"/>
      <c r="N272" s="154"/>
      <c r="O272" s="154"/>
    </row>
    <row r="273" spans="1:15" s="112" customFormat="1" ht="18.75" customHeight="1" x14ac:dyDescent="0.4">
      <c r="A273" s="109"/>
      <c r="B273" s="110"/>
      <c r="C273" s="111"/>
      <c r="D273" s="167"/>
      <c r="E273" s="167"/>
      <c r="F273" s="167"/>
      <c r="G273" s="167"/>
      <c r="H273" s="167"/>
      <c r="I273" s="167"/>
      <c r="J273" s="157"/>
      <c r="K273" s="167"/>
      <c r="L273" s="167"/>
      <c r="M273" s="167"/>
      <c r="N273" s="167"/>
      <c r="O273" s="167"/>
    </row>
  </sheetData>
  <mergeCells count="19">
    <mergeCell ref="A10:O10"/>
    <mergeCell ref="B14:B16"/>
    <mergeCell ref="C14:C16"/>
    <mergeCell ref="A14:A16"/>
    <mergeCell ref="D15:D16"/>
    <mergeCell ref="L15:M15"/>
    <mergeCell ref="F15:G15"/>
    <mergeCell ref="E15:E16"/>
    <mergeCell ref="D14:H14"/>
    <mergeCell ref="K15:K16"/>
    <mergeCell ref="H15:H16"/>
    <mergeCell ref="I15:I16"/>
    <mergeCell ref="N15:N16"/>
    <mergeCell ref="J15:J16"/>
    <mergeCell ref="A272:B272"/>
    <mergeCell ref="O14:O16"/>
    <mergeCell ref="I14:N14"/>
    <mergeCell ref="A11:O11"/>
    <mergeCell ref="A12:O12"/>
  </mergeCells>
  <phoneticPr fontId="3" type="noConversion"/>
  <printOptions horizontalCentered="1"/>
  <pageMargins left="0" right="0" top="0.86614173228346458" bottom="0.59055118110236227" header="0" footer="0.31496062992125984"/>
  <pageSetup paperSize="9" scale="43" fitToHeight="100" orientation="landscape" verticalDpi="300" r:id="rId1"/>
  <headerFooter scaleWithDoc="0" alignWithMargins="0">
    <oddFooter>&amp;RСторінка &amp;P</oddFooter>
  </headerFooter>
  <rowBreaks count="2" manualBreakCount="2">
    <brk id="199" max="14" man="1"/>
    <brk id="2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2022-02-28T08:19:36Z</cp:lastPrinted>
  <dcterms:created xsi:type="dcterms:W3CDTF">2014-01-17T10:52:16Z</dcterms:created>
  <dcterms:modified xsi:type="dcterms:W3CDTF">2022-03-12T08:51:00Z</dcterms:modified>
</cp:coreProperties>
</file>