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август\бюджет\СМР\Доопрацьовано\"/>
    </mc:Choice>
  </mc:AlternateContent>
  <bookViews>
    <workbookView xWindow="0" yWindow="0" windowWidth="19200" windowHeight="11460" tabRatio="207"/>
  </bookViews>
  <sheets>
    <sheet name="дод 3" sheetId="1" r:id="rId1"/>
    <sheet name="дод. 4" sheetId="3" r:id="rId2"/>
  </sheets>
  <definedNames>
    <definedName name="_xlnm.Print_Titles" localSheetId="0">'дод 3'!$9:$12</definedName>
    <definedName name="_xlnm.Print_Titles" localSheetId="1">'дод. 4'!$9:$12</definedName>
    <definedName name="_xlnm.Print_Area" localSheetId="0">'дод 3'!$A$1:$P$344</definedName>
    <definedName name="_xlnm.Print_Area" localSheetId="1">'дод. 4'!$A$1:$O$261</definedName>
  </definedNames>
  <calcPr calcId="162913"/>
</workbook>
</file>

<file path=xl/calcChain.xml><?xml version="1.0" encoding="utf-8"?>
<calcChain xmlns="http://schemas.openxmlformats.org/spreadsheetml/2006/main">
  <c r="F246" i="1" l="1"/>
  <c r="O246" i="1"/>
  <c r="N246" i="1"/>
  <c r="O73" i="1" l="1"/>
  <c r="O259" i="1"/>
  <c r="N259" i="1"/>
  <c r="F112" i="1"/>
  <c r="F110" i="1"/>
  <c r="F104" i="1"/>
  <c r="F100" i="1"/>
  <c r="E331" i="1"/>
  <c r="K297" i="1"/>
  <c r="K295" i="1" s="1"/>
  <c r="K296" i="1"/>
  <c r="N297" i="1"/>
  <c r="N296" i="1"/>
  <c r="J197" i="3"/>
  <c r="K197" i="3"/>
  <c r="L197" i="3"/>
  <c r="M197" i="3"/>
  <c r="N197" i="3"/>
  <c r="J289" i="1"/>
  <c r="P289" i="1" s="1"/>
  <c r="F287" i="1"/>
  <c r="G287" i="1"/>
  <c r="H287" i="1"/>
  <c r="I287" i="1"/>
  <c r="K287" i="1"/>
  <c r="L287" i="1"/>
  <c r="M287" i="1"/>
  <c r="N285" i="1"/>
  <c r="O285" i="1"/>
  <c r="J178" i="3"/>
  <c r="K178" i="3"/>
  <c r="L178" i="3"/>
  <c r="M178" i="3"/>
  <c r="N178" i="3"/>
  <c r="J278" i="1"/>
  <c r="P278" i="1" s="1"/>
  <c r="F276" i="1"/>
  <c r="G276" i="1"/>
  <c r="H276" i="1"/>
  <c r="K276" i="1"/>
  <c r="L276" i="1"/>
  <c r="M276" i="1"/>
  <c r="N275" i="1"/>
  <c r="O275" i="1"/>
  <c r="F275" i="1"/>
  <c r="O253" i="1"/>
  <c r="N253" i="1"/>
  <c r="I252" i="1"/>
  <c r="O243" i="1"/>
  <c r="N243" i="1"/>
  <c r="I241" i="1"/>
  <c r="O240" i="1"/>
  <c r="N240" i="1"/>
  <c r="F228" i="1"/>
  <c r="F208" i="1"/>
  <c r="F192" i="1"/>
  <c r="F190" i="1"/>
  <c r="F193" i="1"/>
  <c r="F186" i="1"/>
  <c r="F185" i="1"/>
  <c r="F180" i="1"/>
  <c r="F179" i="1"/>
  <c r="F165" i="1"/>
  <c r="F164" i="1"/>
  <c r="F159" i="1"/>
  <c r="F158" i="1"/>
  <c r="O149" i="1"/>
  <c r="N149" i="1"/>
  <c r="N135" i="1"/>
  <c r="O135" i="1"/>
  <c r="J131" i="1"/>
  <c r="N111" i="1"/>
  <c r="O111" i="1"/>
  <c r="F111" i="1"/>
  <c r="N109" i="1"/>
  <c r="O109" i="1"/>
  <c r="F109" i="1"/>
  <c r="F103" i="1"/>
  <c r="F99" i="1"/>
  <c r="N99" i="1"/>
  <c r="O99" i="1"/>
  <c r="F83" i="1"/>
  <c r="F74" i="1"/>
  <c r="N73" i="1"/>
  <c r="F73" i="1"/>
  <c r="F67" i="1"/>
  <c r="F66" i="1"/>
  <c r="N61" i="1"/>
  <c r="O61" i="1"/>
  <c r="F61" i="1"/>
  <c r="F60" i="1"/>
  <c r="F54" i="1"/>
  <c r="I45" i="1"/>
  <c r="O37" i="1"/>
  <c r="N37" i="1"/>
  <c r="F37" i="1"/>
  <c r="O36" i="1"/>
  <c r="N36" i="1"/>
  <c r="F36" i="1"/>
  <c r="F34" i="1"/>
  <c r="O21" i="1"/>
  <c r="N21" i="1"/>
  <c r="F15" i="1"/>
  <c r="D289" i="3" l="1"/>
  <c r="D292" i="3" s="1"/>
  <c r="F71" i="1" l="1"/>
  <c r="H327" i="1"/>
  <c r="F327" i="1"/>
  <c r="F314" i="1"/>
  <c r="F313" i="1"/>
  <c r="H310" i="1"/>
  <c r="F310" i="1"/>
  <c r="H303" i="1"/>
  <c r="F303" i="1"/>
  <c r="N282" i="1"/>
  <c r="O282" i="1"/>
  <c r="O280" i="1"/>
  <c r="N280" i="1"/>
  <c r="N265" i="1"/>
  <c r="O254" i="1"/>
  <c r="N254" i="1"/>
  <c r="F242" i="1"/>
  <c r="H246" i="1"/>
  <c r="H237" i="1"/>
  <c r="F237" i="1"/>
  <c r="O227" i="1"/>
  <c r="N227" i="1"/>
  <c r="H225" i="1"/>
  <c r="F225" i="1"/>
  <c r="H224" i="1"/>
  <c r="F224" i="1"/>
  <c r="O223" i="1"/>
  <c r="N223" i="1"/>
  <c r="H214" i="1"/>
  <c r="F214" i="1"/>
  <c r="F211" i="1"/>
  <c r="O207" i="1"/>
  <c r="N207" i="1"/>
  <c r="F153" i="1"/>
  <c r="F151" i="1"/>
  <c r="F149" i="1"/>
  <c r="F152" i="1"/>
  <c r="F135" i="1"/>
  <c r="J130" i="1"/>
  <c r="E130" i="1"/>
  <c r="F105" i="1"/>
  <c r="F101" i="1"/>
  <c r="H98" i="1"/>
  <c r="F98" i="1"/>
  <c r="F87" i="1"/>
  <c r="G87" i="1"/>
  <c r="H87" i="1"/>
  <c r="H76" i="1"/>
  <c r="F76" i="1"/>
  <c r="N79" i="1"/>
  <c r="O79" i="1"/>
  <c r="H73" i="1"/>
  <c r="H71" i="1"/>
  <c r="G71" i="1"/>
  <c r="G69" i="1"/>
  <c r="F69" i="1"/>
  <c r="N67" i="1"/>
  <c r="O67" i="1"/>
  <c r="H67" i="1"/>
  <c r="G67" i="1"/>
  <c r="N66" i="1"/>
  <c r="O66" i="1"/>
  <c r="H66" i="1"/>
  <c r="P130" i="1" l="1"/>
  <c r="F59" i="1"/>
  <c r="F57" i="1"/>
  <c r="H57" i="1"/>
  <c r="N50" i="1"/>
  <c r="O50" i="1"/>
  <c r="O47" i="1"/>
  <c r="N47" i="1"/>
  <c r="F47" i="1"/>
  <c r="N45" i="1"/>
  <c r="O45" i="1"/>
  <c r="I44" i="1"/>
  <c r="I42" i="1"/>
  <c r="F40" i="1"/>
  <c r="F39" i="1"/>
  <c r="H39" i="1"/>
  <c r="H38" i="1" s="1"/>
  <c r="H36" i="1"/>
  <c r="F30" i="1"/>
  <c r="H30" i="1"/>
  <c r="F28" i="1"/>
  <c r="H28" i="1"/>
  <c r="O15" i="1"/>
  <c r="N15" i="1"/>
  <c r="H15" i="1"/>
  <c r="G74" i="1" l="1"/>
  <c r="E222" i="1" l="1"/>
  <c r="F230" i="1"/>
  <c r="G230" i="1"/>
  <c r="H230" i="1"/>
  <c r="I230" i="1"/>
  <c r="K230" i="1"/>
  <c r="L230" i="1"/>
  <c r="M230" i="1"/>
  <c r="N230" i="1"/>
  <c r="O230" i="1"/>
  <c r="E230" i="1"/>
  <c r="F247" i="1" l="1"/>
  <c r="F79" i="1"/>
  <c r="F16" i="1"/>
  <c r="O203" i="1"/>
  <c r="N203" i="1"/>
  <c r="N202" i="1"/>
  <c r="O202" i="1"/>
  <c r="O291" i="1" l="1"/>
  <c r="N291" i="1"/>
  <c r="J291" i="1" s="1"/>
  <c r="J288" i="1" s="1"/>
  <c r="O290" i="1"/>
  <c r="O287" i="1" s="1"/>
  <c r="N290" i="1"/>
  <c r="O260" i="1"/>
  <c r="N260" i="1"/>
  <c r="J260" i="1" s="1"/>
  <c r="J257" i="1" s="1"/>
  <c r="J259" i="1"/>
  <c r="J199" i="3"/>
  <c r="J196" i="3" s="1"/>
  <c r="J186" i="3" s="1"/>
  <c r="K199" i="3"/>
  <c r="K196" i="3" s="1"/>
  <c r="K186" i="3" s="1"/>
  <c r="L199" i="3"/>
  <c r="L196" i="3" s="1"/>
  <c r="L186" i="3" s="1"/>
  <c r="J232" i="1"/>
  <c r="K222" i="1"/>
  <c r="L222" i="1"/>
  <c r="M222" i="1"/>
  <c r="N222" i="1"/>
  <c r="O222" i="1"/>
  <c r="I222" i="1"/>
  <c r="F222" i="1"/>
  <c r="G222" i="1"/>
  <c r="H222" i="1"/>
  <c r="O231" i="1"/>
  <c r="O229" i="1" s="1"/>
  <c r="N231" i="1"/>
  <c r="O128" i="1"/>
  <c r="N128" i="1"/>
  <c r="O127" i="1"/>
  <c r="O125" i="1" s="1"/>
  <c r="N127" i="1"/>
  <c r="O91" i="1"/>
  <c r="N199" i="3" s="1"/>
  <c r="N196" i="3" s="1"/>
  <c r="N186" i="3" s="1"/>
  <c r="N91" i="1"/>
  <c r="J91" i="1" s="1"/>
  <c r="O90" i="1"/>
  <c r="O88" i="1" s="1"/>
  <c r="N90" i="1"/>
  <c r="J90" i="1" s="1"/>
  <c r="F270" i="1"/>
  <c r="E34" i="1"/>
  <c r="J285" i="1"/>
  <c r="I245" i="1"/>
  <c r="E245" i="1" s="1"/>
  <c r="F35" i="1"/>
  <c r="J246" i="1"/>
  <c r="G323" i="1"/>
  <c r="F323" i="1"/>
  <c r="O286" i="1"/>
  <c r="N286" i="1"/>
  <c r="J286" i="1" s="1"/>
  <c r="O284" i="1"/>
  <c r="N284" i="1"/>
  <c r="O283" i="1"/>
  <c r="N283" i="1"/>
  <c r="J280" i="1"/>
  <c r="N255" i="1"/>
  <c r="O255" i="1"/>
  <c r="N193" i="3" s="1"/>
  <c r="J254" i="1"/>
  <c r="F241" i="1"/>
  <c r="N187" i="3"/>
  <c r="N93" i="1"/>
  <c r="K93" i="1"/>
  <c r="F123" i="1"/>
  <c r="E61" i="3" s="1"/>
  <c r="J73" i="1"/>
  <c r="I25" i="3" s="1"/>
  <c r="O71" i="1"/>
  <c r="N71" i="1"/>
  <c r="E215" i="3"/>
  <c r="E214" i="3" s="1"/>
  <c r="O39" i="1"/>
  <c r="O38" i="1" s="1"/>
  <c r="N39" i="1"/>
  <c r="M159" i="3" s="1"/>
  <c r="G75" i="1"/>
  <c r="F28" i="3" s="1"/>
  <c r="F75" i="1"/>
  <c r="E75" i="1" s="1"/>
  <c r="D28" i="3" s="1"/>
  <c r="G68" i="1"/>
  <c r="F20" i="3" s="1"/>
  <c r="F68" i="1"/>
  <c r="N170" i="3"/>
  <c r="O77" i="1"/>
  <c r="E176" i="3"/>
  <c r="F176" i="3"/>
  <c r="G176" i="3"/>
  <c r="H176" i="3"/>
  <c r="J176" i="3"/>
  <c r="K176" i="3"/>
  <c r="L176" i="3"/>
  <c r="D176" i="3"/>
  <c r="O219" i="1"/>
  <c r="N179" i="3" s="1"/>
  <c r="N176" i="3" s="1"/>
  <c r="N219" i="1"/>
  <c r="M179" i="3" s="1"/>
  <c r="M176" i="3" s="1"/>
  <c r="J218" i="1"/>
  <c r="I178" i="3" s="1"/>
  <c r="E218" i="1"/>
  <c r="E217" i="1" s="1"/>
  <c r="F217" i="1"/>
  <c r="G217" i="1"/>
  <c r="H217" i="1"/>
  <c r="I217" i="1"/>
  <c r="K217" i="1"/>
  <c r="L217" i="1"/>
  <c r="M217" i="1"/>
  <c r="N217" i="1"/>
  <c r="O217" i="1"/>
  <c r="E179" i="1"/>
  <c r="N139" i="3"/>
  <c r="M139" i="3"/>
  <c r="N138" i="3"/>
  <c r="M138" i="3"/>
  <c r="N137" i="3"/>
  <c r="M137" i="3"/>
  <c r="N136" i="3"/>
  <c r="M136" i="3"/>
  <c r="J201" i="1"/>
  <c r="I137" i="3" s="1"/>
  <c r="J202" i="1"/>
  <c r="I138" i="3" s="1"/>
  <c r="J203" i="1"/>
  <c r="I139" i="3" s="1"/>
  <c r="E202" i="1"/>
  <c r="E200" i="1"/>
  <c r="E198" i="1"/>
  <c r="D134" i="3" s="1"/>
  <c r="D132" i="3" s="1"/>
  <c r="J200" i="1"/>
  <c r="I136" i="3" s="1"/>
  <c r="D201" i="1"/>
  <c r="O199" i="1"/>
  <c r="N135" i="3" s="1"/>
  <c r="N199" i="1"/>
  <c r="O198" i="1"/>
  <c r="N198" i="1"/>
  <c r="M134" i="3" s="1"/>
  <c r="F304" i="1"/>
  <c r="E304" i="1" s="1"/>
  <c r="J246" i="3"/>
  <c r="J174" i="3"/>
  <c r="J172" i="3" s="1"/>
  <c r="J162" i="3" s="1"/>
  <c r="J68" i="3"/>
  <c r="J70" i="3"/>
  <c r="J74" i="3"/>
  <c r="J76" i="3"/>
  <c r="J86" i="3"/>
  <c r="J88" i="3"/>
  <c r="J90" i="3"/>
  <c r="J92" i="3"/>
  <c r="J94" i="3"/>
  <c r="J96" i="3"/>
  <c r="J98" i="3"/>
  <c r="J103" i="3"/>
  <c r="J105" i="3"/>
  <c r="J107" i="3"/>
  <c r="J109" i="3"/>
  <c r="J111" i="3"/>
  <c r="J135" i="3"/>
  <c r="J133" i="3" s="1"/>
  <c r="J141" i="3"/>
  <c r="J38" i="3"/>
  <c r="J40" i="3"/>
  <c r="J42" i="3"/>
  <c r="J44" i="3"/>
  <c r="J48" i="3"/>
  <c r="J50" i="3"/>
  <c r="J60" i="3"/>
  <c r="J62" i="3"/>
  <c r="J53" i="3"/>
  <c r="J56" i="3"/>
  <c r="J20" i="3"/>
  <c r="J22" i="3"/>
  <c r="J24" i="3"/>
  <c r="J28" i="3"/>
  <c r="J33" i="3"/>
  <c r="J31" i="3" s="1"/>
  <c r="K174" i="3"/>
  <c r="K172" i="3" s="1"/>
  <c r="K162" i="3" s="1"/>
  <c r="K68" i="3"/>
  <c r="K70" i="3"/>
  <c r="K74" i="3"/>
  <c r="K76" i="3"/>
  <c r="K86" i="3"/>
  <c r="K88" i="3"/>
  <c r="K90" i="3"/>
  <c r="K92" i="3"/>
  <c r="K94" i="3"/>
  <c r="K96" i="3"/>
  <c r="K98" i="3"/>
  <c r="K103" i="3"/>
  <c r="K105" i="3"/>
  <c r="K107" i="3"/>
  <c r="K109" i="3"/>
  <c r="K111" i="3"/>
  <c r="K135" i="3"/>
  <c r="K133" i="3" s="1"/>
  <c r="K141" i="3"/>
  <c r="K38" i="3"/>
  <c r="K40" i="3"/>
  <c r="K42" i="3"/>
  <c r="K44" i="3"/>
  <c r="K48" i="3"/>
  <c r="K50" i="3"/>
  <c r="K60" i="3"/>
  <c r="K62" i="3"/>
  <c r="K53" i="3"/>
  <c r="K56" i="3"/>
  <c r="K20" i="3"/>
  <c r="K22" i="3"/>
  <c r="K24" i="3"/>
  <c r="K28" i="3"/>
  <c r="K33" i="3"/>
  <c r="K31" i="3" s="1"/>
  <c r="K213" i="3"/>
  <c r="K211" i="3" s="1"/>
  <c r="K201" i="3" s="1"/>
  <c r="K240" i="3"/>
  <c r="L174" i="3"/>
  <c r="L172" i="3" s="1"/>
  <c r="L68" i="3"/>
  <c r="L70" i="3"/>
  <c r="L74" i="3"/>
  <c r="L76" i="3"/>
  <c r="L86" i="3"/>
  <c r="L88" i="3"/>
  <c r="L90" i="3"/>
  <c r="L92" i="3"/>
  <c r="L94" i="3"/>
  <c r="L96" i="3"/>
  <c r="L98" i="3"/>
  <c r="L103" i="3"/>
  <c r="L105" i="3"/>
  <c r="L107" i="3"/>
  <c r="L109" i="3"/>
  <c r="L111" i="3"/>
  <c r="L135" i="3"/>
  <c r="L133" i="3" s="1"/>
  <c r="L141" i="3"/>
  <c r="L38" i="3"/>
  <c r="L40" i="3"/>
  <c r="L42" i="3"/>
  <c r="L44" i="3"/>
  <c r="L48" i="3"/>
  <c r="L50" i="3"/>
  <c r="L60" i="3"/>
  <c r="L62" i="3"/>
  <c r="L53" i="3"/>
  <c r="L56" i="3"/>
  <c r="L20" i="3"/>
  <c r="L22" i="3"/>
  <c r="L24" i="3"/>
  <c r="L28" i="3"/>
  <c r="L33" i="3"/>
  <c r="L31" i="3" s="1"/>
  <c r="L213" i="3"/>
  <c r="L211" i="3" s="1"/>
  <c r="L201" i="3" s="1"/>
  <c r="L240" i="3"/>
  <c r="M174" i="3"/>
  <c r="M172" i="3" s="1"/>
  <c r="M68" i="3"/>
  <c r="M70" i="3"/>
  <c r="M74" i="3"/>
  <c r="M76" i="3"/>
  <c r="M86" i="3"/>
  <c r="M88" i="3"/>
  <c r="M90" i="3"/>
  <c r="M92" i="3"/>
  <c r="M94" i="3"/>
  <c r="M96" i="3"/>
  <c r="M98" i="3"/>
  <c r="M103" i="3"/>
  <c r="M105" i="3"/>
  <c r="M107" i="3"/>
  <c r="M109" i="3"/>
  <c r="M111" i="3"/>
  <c r="M141" i="3"/>
  <c r="M38" i="3"/>
  <c r="M40" i="3"/>
  <c r="M42" i="3"/>
  <c r="M44" i="3"/>
  <c r="M48" i="3"/>
  <c r="M50" i="3"/>
  <c r="M60" i="3"/>
  <c r="M62" i="3"/>
  <c r="M53" i="3"/>
  <c r="M56" i="3"/>
  <c r="N68" i="1"/>
  <c r="M20" i="3" s="1"/>
  <c r="M22" i="3"/>
  <c r="M24" i="3"/>
  <c r="N75" i="1"/>
  <c r="J75" i="1" s="1"/>
  <c r="I28" i="3" s="1"/>
  <c r="M33" i="3"/>
  <c r="M31" i="3" s="1"/>
  <c r="M213" i="3"/>
  <c r="M211" i="3" s="1"/>
  <c r="M201" i="3" s="1"/>
  <c r="M240" i="3"/>
  <c r="N174" i="3"/>
  <c r="N172" i="3" s="1"/>
  <c r="N68" i="3"/>
  <c r="N70" i="3"/>
  <c r="N74" i="3"/>
  <c r="N76" i="3"/>
  <c r="N86" i="3"/>
  <c r="N88" i="3"/>
  <c r="N90" i="3"/>
  <c r="N92" i="3"/>
  <c r="N94" i="3"/>
  <c r="N96" i="3"/>
  <c r="N98" i="3"/>
  <c r="N103" i="3"/>
  <c r="N105" i="3"/>
  <c r="N107" i="3"/>
  <c r="N109" i="3"/>
  <c r="N111" i="3"/>
  <c r="N141" i="3"/>
  <c r="N38" i="3"/>
  <c r="N40" i="3"/>
  <c r="N42" i="3"/>
  <c r="N44" i="3"/>
  <c r="N48" i="3"/>
  <c r="N50" i="3"/>
  <c r="N60" i="3"/>
  <c r="N62" i="3"/>
  <c r="N53" i="3"/>
  <c r="N56" i="3"/>
  <c r="O68" i="1"/>
  <c r="N20" i="3" s="1"/>
  <c r="N22" i="3"/>
  <c r="N24" i="3"/>
  <c r="O75" i="1"/>
  <c r="N28" i="3" s="1"/>
  <c r="N33" i="3"/>
  <c r="N31" i="3" s="1"/>
  <c r="N213" i="3"/>
  <c r="N211" i="3" s="1"/>
  <c r="N201" i="3" s="1"/>
  <c r="N240" i="3"/>
  <c r="J251" i="1"/>
  <c r="E139" i="1"/>
  <c r="J139" i="1"/>
  <c r="P139" i="1" s="1"/>
  <c r="E141" i="1"/>
  <c r="J141" i="1"/>
  <c r="P141" i="1" s="1"/>
  <c r="O70" i="3" s="1"/>
  <c r="E145" i="1"/>
  <c r="J145" i="1"/>
  <c r="E147" i="1"/>
  <c r="J147" i="1"/>
  <c r="I76" i="3" s="1"/>
  <c r="E157" i="1"/>
  <c r="J157" i="1"/>
  <c r="E159" i="1"/>
  <c r="J159" i="1"/>
  <c r="I88" i="3" s="1"/>
  <c r="E161" i="1"/>
  <c r="D90" i="3" s="1"/>
  <c r="J161" i="1"/>
  <c r="P161" i="1" s="1"/>
  <c r="O90" i="3" s="1"/>
  <c r="E163" i="1"/>
  <c r="D92" i="3" s="1"/>
  <c r="J163" i="1"/>
  <c r="I92" i="3" s="1"/>
  <c r="E165" i="1"/>
  <c r="D94" i="3" s="1"/>
  <c r="J165" i="1"/>
  <c r="I94" i="3" s="1"/>
  <c r="E167" i="1"/>
  <c r="D96" i="3" s="1"/>
  <c r="J167" i="1"/>
  <c r="I96" i="3" s="1"/>
  <c r="E169" i="1"/>
  <c r="D98" i="3" s="1"/>
  <c r="J169" i="1"/>
  <c r="I98" i="3" s="1"/>
  <c r="E174" i="1"/>
  <c r="J174" i="1"/>
  <c r="P174" i="1" s="1"/>
  <c r="O103" i="3" s="1"/>
  <c r="E176" i="1"/>
  <c r="D105" i="3" s="1"/>
  <c r="J176" i="1"/>
  <c r="I105" i="3" s="1"/>
  <c r="E178" i="1"/>
  <c r="D107" i="3" s="1"/>
  <c r="J178" i="1"/>
  <c r="I107" i="3" s="1"/>
  <c r="E180" i="1"/>
  <c r="D109" i="3" s="1"/>
  <c r="J180" i="1"/>
  <c r="P180" i="1" s="1"/>
  <c r="O109" i="3" s="1"/>
  <c r="E182" i="1"/>
  <c r="D111" i="3"/>
  <c r="J182" i="1"/>
  <c r="E199" i="1"/>
  <c r="D135" i="3" s="1"/>
  <c r="D133" i="3" s="1"/>
  <c r="F205" i="1"/>
  <c r="J205" i="1"/>
  <c r="E100" i="1"/>
  <c r="J100" i="1"/>
  <c r="F102" i="1"/>
  <c r="J102" i="1"/>
  <c r="E104" i="1"/>
  <c r="D42" i="3" s="1"/>
  <c r="J104" i="1"/>
  <c r="I42" i="3" s="1"/>
  <c r="F106" i="1"/>
  <c r="J106" i="1"/>
  <c r="I44" i="3" s="1"/>
  <c r="E110" i="1"/>
  <c r="D48" i="3" s="1"/>
  <c r="J110" i="1"/>
  <c r="E112" i="1"/>
  <c r="D50" i="3" s="1"/>
  <c r="J112" i="1"/>
  <c r="I50" i="3" s="1"/>
  <c r="E122" i="1"/>
  <c r="D60" i="3" s="1"/>
  <c r="J122" i="1"/>
  <c r="F124" i="1"/>
  <c r="J124" i="1"/>
  <c r="I62" i="3" s="1"/>
  <c r="E115" i="1"/>
  <c r="D53" i="3" s="1"/>
  <c r="J115" i="1"/>
  <c r="E118" i="1"/>
  <c r="J118" i="1"/>
  <c r="I56" i="3" s="1"/>
  <c r="E70" i="1"/>
  <c r="D22" i="3" s="1"/>
  <c r="J70" i="1"/>
  <c r="I22" i="3" s="1"/>
  <c r="F72" i="1"/>
  <c r="J72" i="1"/>
  <c r="I24" i="3" s="1"/>
  <c r="E80" i="1"/>
  <c r="D33" i="3" s="1"/>
  <c r="D31" i="3" s="1"/>
  <c r="J80" i="1"/>
  <c r="E91" i="1"/>
  <c r="E89" i="1" s="1"/>
  <c r="E128" i="1"/>
  <c r="E260" i="1"/>
  <c r="E291" i="1"/>
  <c r="E297" i="1"/>
  <c r="F174" i="3"/>
  <c r="F172" i="3" s="1"/>
  <c r="F162" i="3" s="1"/>
  <c r="F68" i="3"/>
  <c r="F70" i="3"/>
  <c r="F74" i="3"/>
  <c r="F76" i="3"/>
  <c r="F86" i="3"/>
  <c r="F88" i="3"/>
  <c r="F90" i="3"/>
  <c r="F92" i="3"/>
  <c r="F94" i="3"/>
  <c r="F96" i="3"/>
  <c r="F98" i="3"/>
  <c r="F103" i="3"/>
  <c r="F105" i="3"/>
  <c r="F107" i="3"/>
  <c r="F109" i="3"/>
  <c r="F111" i="3"/>
  <c r="F135" i="3"/>
  <c r="F133" i="3" s="1"/>
  <c r="F141" i="3"/>
  <c r="F38" i="3"/>
  <c r="F40" i="3"/>
  <c r="F42" i="3"/>
  <c r="F44" i="3"/>
  <c r="F48" i="3"/>
  <c r="F50" i="3"/>
  <c r="F60" i="3"/>
  <c r="F62" i="3"/>
  <c r="F53" i="3"/>
  <c r="F56" i="3"/>
  <c r="F22" i="3"/>
  <c r="F24" i="3"/>
  <c r="F33" i="3"/>
  <c r="F31" i="3" s="1"/>
  <c r="F240" i="3"/>
  <c r="J116" i="1"/>
  <c r="K120" i="1"/>
  <c r="N120" i="1"/>
  <c r="K197" i="1"/>
  <c r="J333" i="1"/>
  <c r="J332" i="1"/>
  <c r="I242" i="3" s="1"/>
  <c r="I241" i="3" s="1"/>
  <c r="J245" i="3"/>
  <c r="J243" i="3" s="1"/>
  <c r="J266" i="1"/>
  <c r="J211" i="1"/>
  <c r="N335" i="1"/>
  <c r="M248" i="3" s="1"/>
  <c r="M247" i="3" s="1"/>
  <c r="J60" i="1"/>
  <c r="J94" i="1"/>
  <c r="J320" i="1"/>
  <c r="J55" i="1"/>
  <c r="J210" i="1"/>
  <c r="K56" i="1"/>
  <c r="J56" i="1" s="1"/>
  <c r="I229" i="3" s="1"/>
  <c r="J57" i="1"/>
  <c r="I231" i="3" s="1"/>
  <c r="I230" i="3" s="1"/>
  <c r="J264" i="1"/>
  <c r="I233" i="3" s="1"/>
  <c r="J329" i="1"/>
  <c r="K58" i="1"/>
  <c r="J58" i="1" s="1"/>
  <c r="K265" i="1"/>
  <c r="J265" i="1" s="1"/>
  <c r="J59" i="1"/>
  <c r="I236" i="3" s="1"/>
  <c r="I235" i="3" s="1"/>
  <c r="J330" i="1"/>
  <c r="I237" i="3" s="1"/>
  <c r="J331" i="1"/>
  <c r="I238" i="3" s="1"/>
  <c r="J314" i="1"/>
  <c r="J252" i="1"/>
  <c r="J258" i="1"/>
  <c r="I197" i="3" s="1"/>
  <c r="J305" i="1"/>
  <c r="I194" i="3" s="1"/>
  <c r="J42" i="1"/>
  <c r="I203" i="3" s="1"/>
  <c r="I202" i="3" s="1"/>
  <c r="J44" i="1"/>
  <c r="I205" i="3" s="1"/>
  <c r="J45" i="1"/>
  <c r="I206" i="3" s="1"/>
  <c r="J46" i="1"/>
  <c r="I209" i="3" s="1"/>
  <c r="J293" i="1"/>
  <c r="I208" i="3" s="1"/>
  <c r="I207" i="3" s="1"/>
  <c r="M212" i="3"/>
  <c r="M210" i="3" s="1"/>
  <c r="J47" i="1"/>
  <c r="I215" i="3" s="1"/>
  <c r="I214" i="3" s="1"/>
  <c r="J48" i="1"/>
  <c r="J315" i="1"/>
  <c r="N92" i="1"/>
  <c r="J92" i="1" s="1"/>
  <c r="N129" i="1"/>
  <c r="J129" i="1" s="1"/>
  <c r="J209" i="1"/>
  <c r="J233" i="1"/>
  <c r="N261" i="1"/>
  <c r="J261" i="1" s="1"/>
  <c r="N298" i="1"/>
  <c r="J298" i="1" s="1"/>
  <c r="J49" i="1"/>
  <c r="J328" i="1"/>
  <c r="J50" i="1"/>
  <c r="I221" i="3" s="1"/>
  <c r="J51" i="1"/>
  <c r="I222" i="3" s="1"/>
  <c r="K53" i="1"/>
  <c r="K307" i="1"/>
  <c r="J307" i="1" s="1"/>
  <c r="K263" i="1"/>
  <c r="K262" i="1" s="1"/>
  <c r="N263" i="1"/>
  <c r="J300" i="1"/>
  <c r="J299" i="1" s="1"/>
  <c r="J54" i="1"/>
  <c r="J319" i="1"/>
  <c r="J318" i="1" s="1"/>
  <c r="N316" i="1"/>
  <c r="J317" i="1"/>
  <c r="I220" i="3" s="1"/>
  <c r="N241" i="1"/>
  <c r="J244" i="1"/>
  <c r="I168" i="3" s="1"/>
  <c r="N242" i="1"/>
  <c r="J242" i="1"/>
  <c r="I166" i="3" s="1"/>
  <c r="J243" i="1"/>
  <c r="I167" i="3" s="1"/>
  <c r="J245" i="1"/>
  <c r="I169" i="3" s="1"/>
  <c r="J275" i="1"/>
  <c r="N279" i="1"/>
  <c r="N276" i="1" s="1"/>
  <c r="N277" i="1"/>
  <c r="J247" i="1"/>
  <c r="J270" i="1"/>
  <c r="J304" i="1"/>
  <c r="J250" i="1"/>
  <c r="I173" i="3"/>
  <c r="I171" i="3" s="1"/>
  <c r="J33" i="1"/>
  <c r="I153" i="3" s="1"/>
  <c r="J34" i="1"/>
  <c r="I154" i="3" s="1"/>
  <c r="J87" i="1"/>
  <c r="J37" i="1"/>
  <c r="I157" i="3" s="1"/>
  <c r="K39" i="1"/>
  <c r="J40" i="1"/>
  <c r="I160" i="3" s="1"/>
  <c r="K225" i="1"/>
  <c r="J146" i="3" s="1"/>
  <c r="N225" i="1"/>
  <c r="N30" i="1"/>
  <c r="M149" i="3" s="1"/>
  <c r="J31" i="1"/>
  <c r="J227" i="1"/>
  <c r="J228" i="1"/>
  <c r="J28" i="1"/>
  <c r="I147" i="3" s="1"/>
  <c r="J149" i="1"/>
  <c r="I78" i="3" s="1"/>
  <c r="J150" i="1"/>
  <c r="I79" i="3" s="1"/>
  <c r="J151" i="1"/>
  <c r="J18" i="1"/>
  <c r="J153" i="1"/>
  <c r="J19" i="1"/>
  <c r="J152" i="1"/>
  <c r="I81" i="3" s="1"/>
  <c r="J170" i="1"/>
  <c r="I99" i="3" s="1"/>
  <c r="J185" i="1"/>
  <c r="J216" i="1"/>
  <c r="J23" i="1"/>
  <c r="I120" i="3" s="1"/>
  <c r="I119" i="3" s="1"/>
  <c r="J24" i="1"/>
  <c r="J83" i="1"/>
  <c r="J186" i="1"/>
  <c r="I122" i="3" s="1"/>
  <c r="J190" i="1"/>
  <c r="I126" i="3" s="1"/>
  <c r="J192" i="1"/>
  <c r="I128" i="3" s="1"/>
  <c r="J193" i="1"/>
  <c r="I129" i="3" s="1"/>
  <c r="J194" i="1"/>
  <c r="I130" i="3" s="1"/>
  <c r="J195" i="1"/>
  <c r="J238" i="1"/>
  <c r="J207" i="1"/>
  <c r="I143" i="3" s="1"/>
  <c r="N208" i="1"/>
  <c r="J85" i="1"/>
  <c r="J84" i="1" s="1"/>
  <c r="J183" i="1"/>
  <c r="I112" i="3"/>
  <c r="J188" i="1"/>
  <c r="I124" i="3"/>
  <c r="J189" i="1"/>
  <c r="I125" i="3"/>
  <c r="J138" i="1"/>
  <c r="I67" i="3"/>
  <c r="J140" i="1"/>
  <c r="I69" i="3"/>
  <c r="J144" i="1"/>
  <c r="I73" i="3"/>
  <c r="J146" i="1"/>
  <c r="I75" i="3"/>
  <c r="J156" i="1"/>
  <c r="I85" i="3"/>
  <c r="J158" i="1"/>
  <c r="I87" i="3" s="1"/>
  <c r="J160" i="1"/>
  <c r="I89" i="3" s="1"/>
  <c r="J162" i="1"/>
  <c r="I91" i="3" s="1"/>
  <c r="J164" i="1"/>
  <c r="I93" i="3" s="1"/>
  <c r="J166" i="1"/>
  <c r="I95" i="3" s="1"/>
  <c r="J168" i="1"/>
  <c r="I97" i="3" s="1"/>
  <c r="J173" i="1"/>
  <c r="I102" i="3"/>
  <c r="J175" i="1"/>
  <c r="I104" i="3" s="1"/>
  <c r="J177" i="1"/>
  <c r="I106" i="3" s="1"/>
  <c r="J179" i="1"/>
  <c r="I108" i="3" s="1"/>
  <c r="J181" i="1"/>
  <c r="I110" i="3" s="1"/>
  <c r="J204" i="1"/>
  <c r="I140" i="3" s="1"/>
  <c r="K99" i="1"/>
  <c r="N101" i="1"/>
  <c r="J101" i="1" s="1"/>
  <c r="I39" i="3" s="1"/>
  <c r="J103" i="1"/>
  <c r="I41" i="3" s="1"/>
  <c r="J105" i="1"/>
  <c r="I43" i="3" s="1"/>
  <c r="J109" i="1"/>
  <c r="J111" i="1"/>
  <c r="I49" i="3" s="1"/>
  <c r="J117" i="1"/>
  <c r="I55" i="3" s="1"/>
  <c r="J121" i="1"/>
  <c r="I59" i="3" s="1"/>
  <c r="J123" i="1"/>
  <c r="I61" i="3" s="1"/>
  <c r="K66" i="1"/>
  <c r="J18" i="3" s="1"/>
  <c r="J66" i="1"/>
  <c r="I18" i="3" s="1"/>
  <c r="K67" i="1"/>
  <c r="J19" i="3" s="1"/>
  <c r="J69" i="1"/>
  <c r="I21" i="3" s="1"/>
  <c r="K224" i="1"/>
  <c r="J26" i="3" s="1"/>
  <c r="N224" i="1"/>
  <c r="N74" i="1"/>
  <c r="J74" i="1" s="1"/>
  <c r="I27" i="3" s="1"/>
  <c r="J76" i="1"/>
  <c r="I29" i="3" s="1"/>
  <c r="J79" i="1"/>
  <c r="J81" i="1"/>
  <c r="I34" i="3" s="1"/>
  <c r="J15" i="1"/>
  <c r="J65" i="1"/>
  <c r="N98" i="1"/>
  <c r="J98" i="1" s="1"/>
  <c r="N214" i="1"/>
  <c r="J223" i="1"/>
  <c r="N237" i="1"/>
  <c r="J237" i="1" s="1"/>
  <c r="N269" i="1"/>
  <c r="J269" i="1" s="1"/>
  <c r="K274" i="1"/>
  <c r="J14" i="3" s="1"/>
  <c r="N274" i="1"/>
  <c r="N303" i="1"/>
  <c r="J303" i="1" s="1"/>
  <c r="J310" i="1"/>
  <c r="J309" i="1" s="1"/>
  <c r="J308" i="1" s="1"/>
  <c r="N313" i="1"/>
  <c r="J313" i="1" s="1"/>
  <c r="J323" i="1"/>
  <c r="N327" i="1"/>
  <c r="J16" i="1"/>
  <c r="I15" i="3" s="1"/>
  <c r="J242" i="3"/>
  <c r="J241" i="3" s="1"/>
  <c r="J248" i="3"/>
  <c r="J247" i="3" s="1"/>
  <c r="J250" i="3"/>
  <c r="J249" i="3" s="1"/>
  <c r="J228" i="3"/>
  <c r="J229" i="3"/>
  <c r="J231" i="3"/>
  <c r="J230" i="3" s="1"/>
  <c r="J233" i="3"/>
  <c r="J236" i="3"/>
  <c r="J235" i="3" s="1"/>
  <c r="J237" i="3"/>
  <c r="J238" i="3"/>
  <c r="J184" i="3"/>
  <c r="J183" i="3" s="1"/>
  <c r="J187" i="3"/>
  <c r="J189" i="3"/>
  <c r="J190" i="3"/>
  <c r="J191" i="3"/>
  <c r="J192" i="3"/>
  <c r="J193" i="3"/>
  <c r="J198" i="3"/>
  <c r="J194" i="3"/>
  <c r="J203" i="3"/>
  <c r="J202" i="3" s="1"/>
  <c r="J205" i="3"/>
  <c r="J206" i="3"/>
  <c r="J209" i="3"/>
  <c r="J208" i="3"/>
  <c r="J207" i="3" s="1"/>
  <c r="J215" i="3"/>
  <c r="J214" i="3" s="1"/>
  <c r="J217" i="3"/>
  <c r="J218" i="3"/>
  <c r="J221" i="3"/>
  <c r="J222" i="3"/>
  <c r="J225" i="3"/>
  <c r="J219" i="3"/>
  <c r="J220" i="3"/>
  <c r="J164" i="3"/>
  <c r="J165" i="3"/>
  <c r="J168" i="3"/>
  <c r="J166" i="3"/>
  <c r="J167" i="3"/>
  <c r="J169" i="3"/>
  <c r="J170" i="3"/>
  <c r="J180" i="3"/>
  <c r="J177" i="3"/>
  <c r="J181" i="3"/>
  <c r="J173" i="3"/>
  <c r="J171" i="3" s="1"/>
  <c r="J153" i="3"/>
  <c r="J154" i="3"/>
  <c r="J156" i="3"/>
  <c r="J157" i="3"/>
  <c r="J160" i="3"/>
  <c r="K29" i="1"/>
  <c r="K226" i="1"/>
  <c r="J147" i="3"/>
  <c r="J78" i="3"/>
  <c r="J79" i="3"/>
  <c r="J80" i="3"/>
  <c r="J82" i="3"/>
  <c r="J81" i="3"/>
  <c r="J99" i="3"/>
  <c r="J114" i="3"/>
  <c r="J113" i="3" s="1"/>
  <c r="J116" i="3"/>
  <c r="J115" i="3" s="1"/>
  <c r="J118" i="3"/>
  <c r="J117" i="3" s="1"/>
  <c r="J120" i="3"/>
  <c r="J119" i="3" s="1"/>
  <c r="J121" i="3"/>
  <c r="J122" i="3"/>
  <c r="J126" i="3"/>
  <c r="J128" i="3"/>
  <c r="J129" i="3"/>
  <c r="J130" i="3"/>
  <c r="J131" i="3"/>
  <c r="J143" i="3"/>
  <c r="J144" i="3"/>
  <c r="J112" i="3"/>
  <c r="J124" i="3"/>
  <c r="J125" i="3"/>
  <c r="J67" i="3"/>
  <c r="J69" i="3"/>
  <c r="J73" i="3"/>
  <c r="J75" i="3"/>
  <c r="J85" i="3"/>
  <c r="J87" i="3"/>
  <c r="J89" i="3"/>
  <c r="J91" i="3"/>
  <c r="J93" i="3"/>
  <c r="J95" i="3"/>
  <c r="J97" i="3"/>
  <c r="J102" i="3"/>
  <c r="J104" i="3"/>
  <c r="J106" i="3"/>
  <c r="J108" i="3"/>
  <c r="J110" i="3"/>
  <c r="J140" i="3"/>
  <c r="J134" i="3"/>
  <c r="J132" i="3" s="1"/>
  <c r="J39" i="3"/>
  <c r="J41" i="3"/>
  <c r="J43" i="3"/>
  <c r="J47" i="3"/>
  <c r="J49" i="3"/>
  <c r="J55" i="3"/>
  <c r="J59" i="3"/>
  <c r="J61" i="3"/>
  <c r="J21" i="3"/>
  <c r="J23" i="3"/>
  <c r="J25" i="3"/>
  <c r="J27" i="3"/>
  <c r="J29" i="3"/>
  <c r="J32" i="3"/>
  <c r="J34" i="3"/>
  <c r="J15" i="3"/>
  <c r="K242" i="3"/>
  <c r="K241" i="3" s="1"/>
  <c r="K248" i="3"/>
  <c r="K247" i="3" s="1"/>
  <c r="K250" i="3"/>
  <c r="K249" i="3" s="1"/>
  <c r="K228" i="3"/>
  <c r="K229" i="3"/>
  <c r="K231" i="3"/>
  <c r="K230" i="3" s="1"/>
  <c r="K233" i="3"/>
  <c r="K234" i="3"/>
  <c r="K236" i="3"/>
  <c r="K235" i="3" s="1"/>
  <c r="K237" i="3"/>
  <c r="K238" i="3"/>
  <c r="K184" i="3"/>
  <c r="K183" i="3" s="1"/>
  <c r="K187" i="3"/>
  <c r="K189" i="3"/>
  <c r="K190" i="3"/>
  <c r="K191" i="3"/>
  <c r="K192" i="3"/>
  <c r="K193" i="3"/>
  <c r="K198" i="3"/>
  <c r="K194" i="3"/>
  <c r="K203" i="3"/>
  <c r="K202" i="3" s="1"/>
  <c r="K205" i="3"/>
  <c r="K206" i="3"/>
  <c r="K209" i="3"/>
  <c r="K208" i="3"/>
  <c r="K207" i="3" s="1"/>
  <c r="K215" i="3"/>
  <c r="K214" i="3" s="1"/>
  <c r="K217" i="3"/>
  <c r="K218" i="3"/>
  <c r="K221" i="3"/>
  <c r="K222" i="3"/>
  <c r="K224" i="3"/>
  <c r="K225" i="3"/>
  <c r="K219" i="3"/>
  <c r="K220" i="3"/>
  <c r="K164" i="3"/>
  <c r="K165" i="3"/>
  <c r="K168" i="3"/>
  <c r="K166" i="3"/>
  <c r="K167" i="3"/>
  <c r="K169" i="3"/>
  <c r="K170" i="3"/>
  <c r="K180" i="3"/>
  <c r="K177" i="3"/>
  <c r="K181" i="3"/>
  <c r="K173" i="3"/>
  <c r="K171" i="3" s="1"/>
  <c r="K153" i="3"/>
  <c r="K154" i="3"/>
  <c r="K156" i="3"/>
  <c r="K157" i="3"/>
  <c r="K159" i="3"/>
  <c r="K160" i="3"/>
  <c r="K146" i="3"/>
  <c r="L29" i="1"/>
  <c r="L226" i="1"/>
  <c r="K147" i="3"/>
  <c r="K78" i="3"/>
  <c r="K79" i="3"/>
  <c r="K80" i="3"/>
  <c r="K82" i="3"/>
  <c r="K81" i="3"/>
  <c r="K99" i="3"/>
  <c r="K114" i="3"/>
  <c r="K113" i="3" s="1"/>
  <c r="K116" i="3"/>
  <c r="K115" i="3" s="1"/>
  <c r="K118" i="3"/>
  <c r="K117" i="3" s="1"/>
  <c r="K120" i="3"/>
  <c r="K119" i="3" s="1"/>
  <c r="K121" i="3"/>
  <c r="K122" i="3"/>
  <c r="K126" i="3"/>
  <c r="K128" i="3"/>
  <c r="K129" i="3"/>
  <c r="K130" i="3"/>
  <c r="K131" i="3"/>
  <c r="K143" i="3"/>
  <c r="K144" i="3"/>
  <c r="K112" i="3"/>
  <c r="K124" i="3"/>
  <c r="K125" i="3"/>
  <c r="K67" i="3"/>
  <c r="K69" i="3"/>
  <c r="K73" i="3"/>
  <c r="K75" i="3"/>
  <c r="K85" i="3"/>
  <c r="K87" i="3"/>
  <c r="K89" i="3"/>
  <c r="K91" i="3"/>
  <c r="K93" i="3"/>
  <c r="K95" i="3"/>
  <c r="K97" i="3"/>
  <c r="K102" i="3"/>
  <c r="K104" i="3"/>
  <c r="K106" i="3"/>
  <c r="K108" i="3"/>
  <c r="K110" i="3"/>
  <c r="K140" i="3"/>
  <c r="K134" i="3"/>
  <c r="K132" i="3" s="1"/>
  <c r="K37" i="3"/>
  <c r="K39" i="3"/>
  <c r="K41" i="3"/>
  <c r="K43" i="3"/>
  <c r="K47" i="3"/>
  <c r="K49" i="3"/>
  <c r="K55" i="3"/>
  <c r="K59" i="3"/>
  <c r="K61" i="3"/>
  <c r="K18" i="3"/>
  <c r="K19" i="3"/>
  <c r="K21" i="3"/>
  <c r="K23" i="3"/>
  <c r="K25" i="3"/>
  <c r="K26" i="3"/>
  <c r="K27" i="3"/>
  <c r="K29" i="3"/>
  <c r="K32" i="3"/>
  <c r="K34" i="3"/>
  <c r="L274" i="1"/>
  <c r="K14" i="3" s="1"/>
  <c r="K15" i="3"/>
  <c r="L242" i="3"/>
  <c r="L241" i="3" s="1"/>
  <c r="L248" i="3"/>
  <c r="L247" i="3" s="1"/>
  <c r="L250" i="3"/>
  <c r="L249" i="3" s="1"/>
  <c r="L228" i="3"/>
  <c r="M56" i="1"/>
  <c r="L229" i="3" s="1"/>
  <c r="L231" i="3"/>
  <c r="L230" i="3" s="1"/>
  <c r="L233" i="3"/>
  <c r="L234" i="3"/>
  <c r="L236" i="3"/>
  <c r="L235" i="3" s="1"/>
  <c r="L237" i="3"/>
  <c r="L238" i="3"/>
  <c r="L184" i="3"/>
  <c r="L183" i="3" s="1"/>
  <c r="L187" i="3"/>
  <c r="L189" i="3"/>
  <c r="L190" i="3"/>
  <c r="L191" i="3"/>
  <c r="L192" i="3"/>
  <c r="L193" i="3"/>
  <c r="L198" i="3"/>
  <c r="L194" i="3"/>
  <c r="L203" i="3"/>
  <c r="L202" i="3" s="1"/>
  <c r="L205" i="3"/>
  <c r="L206" i="3"/>
  <c r="L209" i="3"/>
  <c r="L208" i="3"/>
  <c r="L207" i="3" s="1"/>
  <c r="L215" i="3"/>
  <c r="L214" i="3" s="1"/>
  <c r="L217" i="3"/>
  <c r="L218" i="3"/>
  <c r="L221" i="3"/>
  <c r="L222" i="3"/>
  <c r="L224" i="3"/>
  <c r="L225" i="3"/>
  <c r="L219" i="3"/>
  <c r="L220" i="3"/>
  <c r="L164" i="3"/>
  <c r="L165" i="3"/>
  <c r="L168" i="3"/>
  <c r="L166" i="3"/>
  <c r="L167" i="3"/>
  <c r="L169" i="3"/>
  <c r="L170" i="3"/>
  <c r="L180" i="3"/>
  <c r="L177" i="3"/>
  <c r="L181" i="3"/>
  <c r="L173" i="3"/>
  <c r="L171" i="3" s="1"/>
  <c r="L153" i="3"/>
  <c r="L154" i="3"/>
  <c r="L156" i="3"/>
  <c r="L157" i="3"/>
  <c r="L159" i="3"/>
  <c r="L160" i="3"/>
  <c r="L146" i="3"/>
  <c r="M29" i="1"/>
  <c r="M226" i="1"/>
  <c r="L147" i="3"/>
  <c r="L78" i="3"/>
  <c r="L79" i="3"/>
  <c r="L80" i="3"/>
  <c r="L82" i="3"/>
  <c r="L81" i="3"/>
  <c r="L99" i="3"/>
  <c r="L114" i="3"/>
  <c r="L113" i="3" s="1"/>
  <c r="L116" i="3"/>
  <c r="L115" i="3" s="1"/>
  <c r="L118" i="3"/>
  <c r="L117" i="3" s="1"/>
  <c r="L120" i="3"/>
  <c r="L119" i="3" s="1"/>
  <c r="L121" i="3"/>
  <c r="L122" i="3"/>
  <c r="L126" i="3"/>
  <c r="L128" i="3"/>
  <c r="L129" i="3"/>
  <c r="L130" i="3"/>
  <c r="L131" i="3"/>
  <c r="L143" i="3"/>
  <c r="L144" i="3"/>
  <c r="L112" i="3"/>
  <c r="L124" i="3"/>
  <c r="L125" i="3"/>
  <c r="L67" i="3"/>
  <c r="L69" i="3"/>
  <c r="L73" i="3"/>
  <c r="L75" i="3"/>
  <c r="L85" i="3"/>
  <c r="L87" i="3"/>
  <c r="L89" i="3"/>
  <c r="L91" i="3"/>
  <c r="L93" i="3"/>
  <c r="L95" i="3"/>
  <c r="L97" i="3"/>
  <c r="L102" i="3"/>
  <c r="L104" i="3"/>
  <c r="L106" i="3"/>
  <c r="L108" i="3"/>
  <c r="L110" i="3"/>
  <c r="L140" i="3"/>
  <c r="L134" i="3"/>
  <c r="L132" i="3" s="1"/>
  <c r="L37" i="3"/>
  <c r="L39" i="3"/>
  <c r="L41" i="3"/>
  <c r="L43" i="3"/>
  <c r="L47" i="3"/>
  <c r="L49" i="3"/>
  <c r="L55" i="3"/>
  <c r="L59" i="3"/>
  <c r="L61" i="3"/>
  <c r="L18" i="3"/>
  <c r="L19" i="3"/>
  <c r="L21" i="3"/>
  <c r="L23" i="3"/>
  <c r="L25" i="3"/>
  <c r="L26" i="3"/>
  <c r="L27" i="3"/>
  <c r="L29" i="3"/>
  <c r="L32" i="3"/>
  <c r="L34" i="3"/>
  <c r="M274" i="1"/>
  <c r="L14" i="3" s="1"/>
  <c r="L15" i="3"/>
  <c r="M242" i="3"/>
  <c r="M241" i="3" s="1"/>
  <c r="M228" i="3"/>
  <c r="M229" i="3"/>
  <c r="M231" i="3"/>
  <c r="M230" i="3" s="1"/>
  <c r="M233" i="3"/>
  <c r="M236" i="3"/>
  <c r="M235" i="3" s="1"/>
  <c r="M237" i="3"/>
  <c r="M238" i="3"/>
  <c r="M184" i="3"/>
  <c r="M183" i="3" s="1"/>
  <c r="M192" i="3"/>
  <c r="M194" i="3"/>
  <c r="M203" i="3"/>
  <c r="M202" i="3" s="1"/>
  <c r="M205" i="3"/>
  <c r="M209" i="3"/>
  <c r="M208" i="3"/>
  <c r="M207" i="3" s="1"/>
  <c r="M215" i="3"/>
  <c r="M214" i="3" s="1"/>
  <c r="M217" i="3"/>
  <c r="M218" i="3"/>
  <c r="M221" i="3"/>
  <c r="M222" i="3"/>
  <c r="M225" i="3"/>
  <c r="M220" i="3"/>
  <c r="M168" i="3"/>
  <c r="M166" i="3"/>
  <c r="M167" i="3"/>
  <c r="M169" i="3"/>
  <c r="M181" i="3"/>
  <c r="M173" i="3"/>
  <c r="M171" i="3" s="1"/>
  <c r="M153" i="3"/>
  <c r="M154" i="3"/>
  <c r="M157" i="3"/>
  <c r="M160" i="3"/>
  <c r="N226" i="1"/>
  <c r="M147" i="3"/>
  <c r="M78" i="3"/>
  <c r="M79" i="3"/>
  <c r="M80" i="3"/>
  <c r="M82" i="3"/>
  <c r="M81" i="3"/>
  <c r="M99" i="3"/>
  <c r="M114" i="3"/>
  <c r="M113" i="3" s="1"/>
  <c r="M116" i="3"/>
  <c r="M115" i="3" s="1"/>
  <c r="M120" i="3"/>
  <c r="M119" i="3" s="1"/>
  <c r="M121" i="3"/>
  <c r="M122" i="3"/>
  <c r="M126" i="3"/>
  <c r="M128" i="3"/>
  <c r="M129" i="3"/>
  <c r="M130" i="3"/>
  <c r="M131" i="3"/>
  <c r="M143" i="3"/>
  <c r="M112" i="3"/>
  <c r="M124" i="3"/>
  <c r="M125" i="3"/>
  <c r="M67" i="3"/>
  <c r="M69" i="3"/>
  <c r="M73" i="3"/>
  <c r="M75" i="3"/>
  <c r="M85" i="3"/>
  <c r="M87" i="3"/>
  <c r="M89" i="3"/>
  <c r="M91" i="3"/>
  <c r="M93" i="3"/>
  <c r="M95" i="3"/>
  <c r="M97" i="3"/>
  <c r="M102" i="3"/>
  <c r="M104" i="3"/>
  <c r="M106" i="3"/>
  <c r="M108" i="3"/>
  <c r="M110" i="3"/>
  <c r="M140" i="3"/>
  <c r="M37" i="3"/>
  <c r="M41" i="3"/>
  <c r="M43" i="3"/>
  <c r="M47" i="3"/>
  <c r="M49" i="3"/>
  <c r="M55" i="3"/>
  <c r="M59" i="3"/>
  <c r="M61" i="3"/>
  <c r="M18" i="3"/>
  <c r="M21" i="3"/>
  <c r="M27" i="3"/>
  <c r="M29" i="3"/>
  <c r="M32" i="3"/>
  <c r="M34" i="3"/>
  <c r="M15" i="3"/>
  <c r="N242" i="3"/>
  <c r="N241" i="3" s="1"/>
  <c r="O335" i="1"/>
  <c r="N248" i="3" s="1"/>
  <c r="N247" i="3" s="1"/>
  <c r="N250" i="3"/>
  <c r="N249" i="3" s="1"/>
  <c r="N228" i="3"/>
  <c r="N229" i="3"/>
  <c r="N231" i="3"/>
  <c r="N230" i="3" s="1"/>
  <c r="N233" i="3"/>
  <c r="N234" i="3"/>
  <c r="N236" i="3"/>
  <c r="N235" i="3" s="1"/>
  <c r="N237" i="3"/>
  <c r="N238" i="3"/>
  <c r="N184" i="3"/>
  <c r="N183" i="3" s="1"/>
  <c r="N189" i="3"/>
  <c r="N190" i="3"/>
  <c r="N191" i="3"/>
  <c r="N192" i="3"/>
  <c r="N194" i="3"/>
  <c r="N203" i="3"/>
  <c r="N202" i="3" s="1"/>
  <c r="N205" i="3"/>
  <c r="N206" i="3"/>
  <c r="N209" i="3"/>
  <c r="N208" i="3"/>
  <c r="N207" i="3" s="1"/>
  <c r="N210" i="3"/>
  <c r="N215" i="3"/>
  <c r="N214" i="3" s="1"/>
  <c r="N217" i="3"/>
  <c r="O92" i="1"/>
  <c r="O129" i="1"/>
  <c r="O261" i="1"/>
  <c r="O298" i="1"/>
  <c r="N221" i="3"/>
  <c r="N222" i="3"/>
  <c r="N224" i="3"/>
  <c r="N225" i="3"/>
  <c r="O316" i="1"/>
  <c r="N219" i="3" s="1"/>
  <c r="N220" i="3"/>
  <c r="N164" i="3"/>
  <c r="O241" i="1"/>
  <c r="N165" i="3" s="1"/>
  <c r="N168" i="3"/>
  <c r="O242" i="1"/>
  <c r="N166" i="3" s="1"/>
  <c r="N167" i="3"/>
  <c r="N169" i="3"/>
  <c r="N180" i="3"/>
  <c r="O277" i="1"/>
  <c r="N181" i="3"/>
  <c r="N173" i="3"/>
  <c r="N171" i="3" s="1"/>
  <c r="N153" i="3"/>
  <c r="N154" i="3"/>
  <c r="N156" i="3"/>
  <c r="N157" i="3"/>
  <c r="N159" i="3"/>
  <c r="N160" i="3"/>
  <c r="O225" i="1"/>
  <c r="N146" i="3" s="1"/>
  <c r="O30" i="1"/>
  <c r="O29" i="1" s="1"/>
  <c r="O226" i="1"/>
  <c r="N148" i="3" s="1"/>
  <c r="N147" i="3"/>
  <c r="N78" i="3"/>
  <c r="N79" i="3"/>
  <c r="N80" i="3"/>
  <c r="N82" i="3"/>
  <c r="N81" i="3"/>
  <c r="N99" i="3"/>
  <c r="N114" i="3"/>
  <c r="N113" i="3" s="1"/>
  <c r="N116" i="3"/>
  <c r="N115" i="3" s="1"/>
  <c r="N118" i="3"/>
  <c r="N117" i="3" s="1"/>
  <c r="N120" i="3"/>
  <c r="N119" i="3" s="1"/>
  <c r="N121" i="3"/>
  <c r="N122" i="3"/>
  <c r="N126" i="3"/>
  <c r="N128" i="3"/>
  <c r="N129" i="3"/>
  <c r="N130" i="3"/>
  <c r="N131" i="3"/>
  <c r="N143" i="3"/>
  <c r="O208" i="1"/>
  <c r="N144" i="3" s="1"/>
  <c r="N112" i="3"/>
  <c r="N124" i="3"/>
  <c r="N125" i="3"/>
  <c r="N67" i="3"/>
  <c r="N69" i="3"/>
  <c r="N73" i="3"/>
  <c r="N75" i="3"/>
  <c r="N85" i="3"/>
  <c r="N87" i="3"/>
  <c r="N89" i="3"/>
  <c r="N91" i="3"/>
  <c r="N93" i="3"/>
  <c r="N95" i="3"/>
  <c r="N97" i="3"/>
  <c r="N102" i="3"/>
  <c r="N104" i="3"/>
  <c r="N106" i="3"/>
  <c r="N108" i="3"/>
  <c r="N110" i="3"/>
  <c r="N140" i="3"/>
  <c r="N37" i="3"/>
  <c r="O101" i="1"/>
  <c r="N39" i="3" s="1"/>
  <c r="N41" i="3"/>
  <c r="N43" i="3"/>
  <c r="N47" i="3"/>
  <c r="N49" i="3"/>
  <c r="N55" i="3"/>
  <c r="N59" i="3"/>
  <c r="N61" i="3"/>
  <c r="N18" i="3"/>
  <c r="N19" i="3"/>
  <c r="N21" i="3"/>
  <c r="N23" i="3"/>
  <c r="N25" i="3"/>
  <c r="O224" i="1"/>
  <c r="N26" i="3"/>
  <c r="O74" i="1"/>
  <c r="N27" i="3"/>
  <c r="N29" i="3"/>
  <c r="N32" i="3"/>
  <c r="N34" i="3"/>
  <c r="O98" i="1"/>
  <c r="O214" i="1"/>
  <c r="O237" i="1"/>
  <c r="O269" i="1"/>
  <c r="O268" i="1" s="1"/>
  <c r="O267" i="1" s="1"/>
  <c r="O303" i="1"/>
  <c r="O313" i="1"/>
  <c r="O327" i="1"/>
  <c r="N15" i="3"/>
  <c r="I246" i="1"/>
  <c r="E270" i="1"/>
  <c r="P270" i="1" s="1"/>
  <c r="I247" i="1"/>
  <c r="E247" i="1" s="1"/>
  <c r="E241" i="1"/>
  <c r="E240" i="1"/>
  <c r="D164" i="3" s="1"/>
  <c r="F244" i="1"/>
  <c r="E168" i="3" s="1"/>
  <c r="E242" i="1"/>
  <c r="D166" i="3" s="1"/>
  <c r="E243" i="1"/>
  <c r="D167" i="3" s="1"/>
  <c r="I279" i="1"/>
  <c r="E277" i="1"/>
  <c r="E250" i="1"/>
  <c r="E36" i="1"/>
  <c r="E87" i="1"/>
  <c r="F33" i="1"/>
  <c r="E40" i="1"/>
  <c r="E332" i="1"/>
  <c r="E266" i="1"/>
  <c r="P266" i="1" s="1"/>
  <c r="E211" i="1"/>
  <c r="P211" i="1" s="1"/>
  <c r="F335" i="1"/>
  <c r="E335" i="1" s="1"/>
  <c r="E131" i="1"/>
  <c r="E61" i="1"/>
  <c r="E94" i="1"/>
  <c r="E320" i="1"/>
  <c r="F55" i="1"/>
  <c r="E55" i="1" s="1"/>
  <c r="F210" i="1"/>
  <c r="E210" i="1" s="1"/>
  <c r="P210" i="1" s="1"/>
  <c r="F56" i="1"/>
  <c r="E56" i="1" s="1"/>
  <c r="P56" i="1" s="1"/>
  <c r="O229" i="3" s="1"/>
  <c r="E57" i="1"/>
  <c r="D231" i="3" s="1"/>
  <c r="D230" i="3" s="1"/>
  <c r="E264" i="1"/>
  <c r="D233" i="3" s="1"/>
  <c r="E93" i="1"/>
  <c r="E329" i="1"/>
  <c r="E58" i="1"/>
  <c r="E265" i="1"/>
  <c r="E59" i="1"/>
  <c r="D236" i="3" s="1"/>
  <c r="D235" i="3" s="1"/>
  <c r="F330" i="1"/>
  <c r="P331" i="1"/>
  <c r="O238" i="3" s="1"/>
  <c r="E314" i="1"/>
  <c r="E252" i="1"/>
  <c r="P252" i="1" s="1"/>
  <c r="E253" i="1"/>
  <c r="E280" i="1"/>
  <c r="E282" i="1"/>
  <c r="E283" i="1"/>
  <c r="D190" i="3" s="1"/>
  <c r="E284" i="1"/>
  <c r="D191" i="3" s="1"/>
  <c r="E254" i="1"/>
  <c r="D192" i="3" s="1"/>
  <c r="E285" i="1"/>
  <c r="E255" i="1"/>
  <c r="E286" i="1"/>
  <c r="E90" i="1"/>
  <c r="E88" i="1" s="1"/>
  <c r="E127" i="1"/>
  <c r="E125" i="1" s="1"/>
  <c r="E259" i="1"/>
  <c r="E290" i="1"/>
  <c r="E287" i="1" s="1"/>
  <c r="E258" i="1"/>
  <c r="E305" i="1"/>
  <c r="P305" i="1" s="1"/>
  <c r="O194" i="3" s="1"/>
  <c r="E42" i="1"/>
  <c r="D203" i="3" s="1"/>
  <c r="D202" i="3" s="1"/>
  <c r="H205" i="3"/>
  <c r="E45" i="1"/>
  <c r="D206" i="3" s="1"/>
  <c r="F46" i="1"/>
  <c r="E293" i="1"/>
  <c r="D208" i="3" s="1"/>
  <c r="D207" i="3" s="1"/>
  <c r="E296" i="1"/>
  <c r="D212" i="3" s="1"/>
  <c r="D210" i="3" s="1"/>
  <c r="E47" i="1"/>
  <c r="P47" i="1" s="1"/>
  <c r="O215" i="3" s="1"/>
  <c r="O214" i="3" s="1"/>
  <c r="E48" i="1"/>
  <c r="F315" i="1"/>
  <c r="E92" i="1"/>
  <c r="F129" i="1"/>
  <c r="E129" i="1" s="1"/>
  <c r="P129" i="1" s="1"/>
  <c r="E209" i="1"/>
  <c r="E233" i="1"/>
  <c r="E261" i="1"/>
  <c r="F298" i="1"/>
  <c r="E298" i="1" s="1"/>
  <c r="P298" i="1" s="1"/>
  <c r="E49" i="1"/>
  <c r="E328" i="1"/>
  <c r="P328" i="1" s="1"/>
  <c r="E50" i="1"/>
  <c r="D221" i="3" s="1"/>
  <c r="F51" i="1"/>
  <c r="E53" i="1"/>
  <c r="E307" i="1"/>
  <c r="E263" i="1"/>
  <c r="E300" i="1"/>
  <c r="F319" i="1"/>
  <c r="E319" i="1" s="1"/>
  <c r="E316" i="1"/>
  <c r="D219" i="3" s="1"/>
  <c r="E317" i="1"/>
  <c r="P317" i="1"/>
  <c r="O220" i="3" s="1"/>
  <c r="E30" i="1"/>
  <c r="F31" i="1"/>
  <c r="F29" i="1" s="1"/>
  <c r="E227" i="1"/>
  <c r="E228" i="1"/>
  <c r="E226" i="1" s="1"/>
  <c r="E147" i="3"/>
  <c r="E149" i="1"/>
  <c r="E150" i="1"/>
  <c r="E151" i="1"/>
  <c r="P151" i="1" s="1"/>
  <c r="F18" i="1"/>
  <c r="E18" i="1" s="1"/>
  <c r="E153" i="1"/>
  <c r="F19" i="1"/>
  <c r="F17" i="1" s="1"/>
  <c r="E152" i="1"/>
  <c r="P152" i="1" s="1"/>
  <c r="O81" i="3" s="1"/>
  <c r="F170" i="1"/>
  <c r="E170" i="1" s="1"/>
  <c r="E216" i="1"/>
  <c r="F21" i="1"/>
  <c r="F23" i="1"/>
  <c r="E120" i="3" s="1"/>
  <c r="E119" i="3" s="1"/>
  <c r="F24" i="1"/>
  <c r="E83" i="1"/>
  <c r="P83" i="1" s="1"/>
  <c r="E186" i="1"/>
  <c r="E194" i="1"/>
  <c r="D130" i="3" s="1"/>
  <c r="F195" i="1"/>
  <c r="E131" i="3" s="1"/>
  <c r="E238" i="1"/>
  <c r="F26" i="1"/>
  <c r="E26" i="1" s="1"/>
  <c r="P26" i="1" s="1"/>
  <c r="F207" i="1"/>
  <c r="F206" i="1" s="1"/>
  <c r="F27" i="1"/>
  <c r="E208" i="1"/>
  <c r="E85" i="1"/>
  <c r="E183" i="1"/>
  <c r="P183" i="1" s="1"/>
  <c r="O112" i="3" s="1"/>
  <c r="E188" i="1"/>
  <c r="P188" i="1" s="1"/>
  <c r="O124" i="3" s="1"/>
  <c r="E189" i="1"/>
  <c r="D125" i="3" s="1"/>
  <c r="E138" i="1"/>
  <c r="D67" i="3" s="1"/>
  <c r="E140" i="1"/>
  <c r="E144" i="1"/>
  <c r="E146" i="1"/>
  <c r="E156" i="1"/>
  <c r="E158" i="1"/>
  <c r="D87" i="3" s="1"/>
  <c r="E160" i="1"/>
  <c r="D89" i="3" s="1"/>
  <c r="E162" i="1"/>
  <c r="E164" i="1"/>
  <c r="E166" i="1"/>
  <c r="P166" i="1" s="1"/>
  <c r="O95" i="3" s="1"/>
  <c r="E168" i="1"/>
  <c r="D97" i="3" s="1"/>
  <c r="E173" i="1"/>
  <c r="P173" i="1" s="1"/>
  <c r="O102" i="3" s="1"/>
  <c r="E175" i="1"/>
  <c r="D104" i="3" s="1"/>
  <c r="E177" i="1"/>
  <c r="D106" i="3" s="1"/>
  <c r="E181" i="1"/>
  <c r="D110" i="3" s="1"/>
  <c r="F204" i="1"/>
  <c r="E99" i="1"/>
  <c r="E103" i="1"/>
  <c r="D41" i="3" s="1"/>
  <c r="E105" i="1"/>
  <c r="E109" i="1"/>
  <c r="D47" i="3" s="1"/>
  <c r="E111" i="1"/>
  <c r="D49" i="3" s="1"/>
  <c r="E117" i="1"/>
  <c r="F121" i="1"/>
  <c r="E121" i="1" s="1"/>
  <c r="D59" i="3" s="1"/>
  <c r="E69" i="1"/>
  <c r="D21" i="3" s="1"/>
  <c r="E73" i="1"/>
  <c r="D25" i="3" s="1"/>
  <c r="E74" i="1"/>
  <c r="D27" i="3" s="1"/>
  <c r="E79" i="1"/>
  <c r="E77" i="1"/>
  <c r="E81" i="1"/>
  <c r="E15" i="1"/>
  <c r="F65" i="1"/>
  <c r="E65" i="1" s="1"/>
  <c r="E98" i="1"/>
  <c r="P98" i="1" s="1"/>
  <c r="E135" i="1"/>
  <c r="F223" i="1"/>
  <c r="E223" i="1" s="1"/>
  <c r="P223" i="1" s="1"/>
  <c r="F269" i="1"/>
  <c r="E269" i="1" s="1"/>
  <c r="E274" i="1"/>
  <c r="E303" i="1"/>
  <c r="E310" i="1"/>
  <c r="E16" i="1"/>
  <c r="E174" i="3"/>
  <c r="E172" i="3" s="1"/>
  <c r="E68" i="3"/>
  <c r="E70" i="3"/>
  <c r="E74" i="3"/>
  <c r="E76" i="3"/>
  <c r="E86" i="3"/>
  <c r="E88" i="3"/>
  <c r="E90" i="3"/>
  <c r="E92" i="3"/>
  <c r="E94" i="3"/>
  <c r="E96" i="3"/>
  <c r="E98" i="3"/>
  <c r="E103" i="3"/>
  <c r="E105" i="3"/>
  <c r="E107" i="3"/>
  <c r="E109" i="3"/>
  <c r="E111" i="3"/>
  <c r="E135" i="3"/>
  <c r="E133" i="3" s="1"/>
  <c r="E38" i="3"/>
  <c r="E42" i="3"/>
  <c r="E50" i="3"/>
  <c r="E60" i="3"/>
  <c r="E53" i="3"/>
  <c r="E56" i="3"/>
  <c r="E22" i="3"/>
  <c r="E33" i="3"/>
  <c r="E31" i="3" s="1"/>
  <c r="E240" i="3"/>
  <c r="G174" i="3"/>
  <c r="G172" i="3" s="1"/>
  <c r="G68" i="3"/>
  <c r="G70" i="3"/>
  <c r="G74" i="3"/>
  <c r="G76" i="3"/>
  <c r="G86" i="3"/>
  <c r="G88" i="3"/>
  <c r="G90" i="3"/>
  <c r="G92" i="3"/>
  <c r="G94" i="3"/>
  <c r="G96" i="3"/>
  <c r="G98" i="3"/>
  <c r="G103" i="3"/>
  <c r="G105" i="3"/>
  <c r="G107" i="3"/>
  <c r="G109" i="3"/>
  <c r="G111" i="3"/>
  <c r="G135" i="3"/>
  <c r="G133" i="3" s="1"/>
  <c r="G141" i="3"/>
  <c r="G38" i="3"/>
  <c r="G40" i="3"/>
  <c r="G42" i="3"/>
  <c r="G44" i="3"/>
  <c r="G48" i="3"/>
  <c r="G50" i="3"/>
  <c r="G60" i="3"/>
  <c r="G62" i="3"/>
  <c r="G53" i="3"/>
  <c r="G56" i="3"/>
  <c r="G20" i="3"/>
  <c r="G22" i="3"/>
  <c r="G24" i="3"/>
  <c r="G28" i="3"/>
  <c r="G33" i="3"/>
  <c r="G31" i="3" s="1"/>
  <c r="G240" i="3"/>
  <c r="H174" i="3"/>
  <c r="H172" i="3" s="1"/>
  <c r="H162" i="3" s="1"/>
  <c r="H68" i="3"/>
  <c r="H70" i="3"/>
  <c r="H74" i="3"/>
  <c r="H76" i="3"/>
  <c r="H86" i="3"/>
  <c r="H88" i="3"/>
  <c r="H90" i="3"/>
  <c r="H92" i="3"/>
  <c r="H94" i="3"/>
  <c r="H96" i="3"/>
  <c r="H98" i="3"/>
  <c r="H103" i="3"/>
  <c r="H105" i="3"/>
  <c r="H107" i="3"/>
  <c r="H109" i="3"/>
  <c r="H111" i="3"/>
  <c r="H135" i="3"/>
  <c r="H133" i="3" s="1"/>
  <c r="H141" i="3"/>
  <c r="H38" i="3"/>
  <c r="H40" i="3"/>
  <c r="H42" i="3"/>
  <c r="H44" i="3"/>
  <c r="H48" i="3"/>
  <c r="H50" i="3"/>
  <c r="H60" i="3"/>
  <c r="H62" i="3"/>
  <c r="H53" i="3"/>
  <c r="H56" i="3"/>
  <c r="H20" i="3"/>
  <c r="H22" i="3"/>
  <c r="H24" i="3"/>
  <c r="H28" i="3"/>
  <c r="H33" i="3"/>
  <c r="H31" i="3" s="1"/>
  <c r="H240" i="3"/>
  <c r="E165" i="3"/>
  <c r="E164" i="3"/>
  <c r="E167" i="3"/>
  <c r="E169" i="3"/>
  <c r="E180" i="3"/>
  <c r="E177" i="3"/>
  <c r="E173" i="3"/>
  <c r="E171" i="3" s="1"/>
  <c r="E156" i="3"/>
  <c r="E160" i="3"/>
  <c r="E242" i="3"/>
  <c r="E241" i="3" s="1"/>
  <c r="E250" i="3"/>
  <c r="E249" i="3" s="1"/>
  <c r="E231" i="3"/>
  <c r="E230" i="3" s="1"/>
  <c r="E233" i="3"/>
  <c r="E234" i="3"/>
  <c r="E236" i="3"/>
  <c r="E235" i="3" s="1"/>
  <c r="E238" i="3"/>
  <c r="E184" i="3"/>
  <c r="E183" i="3" s="1"/>
  <c r="E187" i="3"/>
  <c r="E189" i="3"/>
  <c r="E190" i="3"/>
  <c r="E191" i="3"/>
  <c r="E192" i="3"/>
  <c r="E193" i="3"/>
  <c r="E198" i="3"/>
  <c r="E197" i="3"/>
  <c r="E194" i="3"/>
  <c r="E203" i="3"/>
  <c r="E202" i="3" s="1"/>
  <c r="E205" i="3"/>
  <c r="E206" i="3"/>
  <c r="E208" i="3"/>
  <c r="E207" i="3" s="1"/>
  <c r="E221" i="3"/>
  <c r="E224" i="3"/>
  <c r="E219" i="3"/>
  <c r="E220" i="3"/>
  <c r="F226" i="1"/>
  <c r="E78" i="3"/>
  <c r="E79" i="3"/>
  <c r="E80" i="3"/>
  <c r="E114" i="3"/>
  <c r="E113" i="3" s="1"/>
  <c r="E116" i="3"/>
  <c r="E115" i="3" s="1"/>
  <c r="E118" i="3"/>
  <c r="E117" i="3" s="1"/>
  <c r="E122" i="3"/>
  <c r="E128" i="3"/>
  <c r="E130" i="3"/>
  <c r="E112" i="3"/>
  <c r="E124" i="3"/>
  <c r="E125" i="3"/>
  <c r="E67" i="3"/>
  <c r="E69" i="3"/>
  <c r="E73" i="3"/>
  <c r="E75" i="3"/>
  <c r="E85" i="3"/>
  <c r="E87" i="3"/>
  <c r="E89" i="3"/>
  <c r="E91" i="3"/>
  <c r="E93" i="3"/>
  <c r="E95" i="3"/>
  <c r="E97" i="3"/>
  <c r="E102" i="3"/>
  <c r="E104" i="3"/>
  <c r="E106" i="3"/>
  <c r="E110" i="3"/>
  <c r="E134" i="3"/>
  <c r="E132" i="3" s="1"/>
  <c r="E37" i="3"/>
  <c r="E41" i="3"/>
  <c r="E43" i="3"/>
  <c r="E47" i="3"/>
  <c r="E49" i="3"/>
  <c r="E55" i="3"/>
  <c r="E21" i="3"/>
  <c r="E25" i="3"/>
  <c r="E27" i="3"/>
  <c r="E32" i="3"/>
  <c r="E34" i="3"/>
  <c r="F242" i="3"/>
  <c r="F241" i="3" s="1"/>
  <c r="F248" i="3"/>
  <c r="F247" i="3" s="1"/>
  <c r="F250" i="3"/>
  <c r="F249" i="3" s="1"/>
  <c r="F228" i="3"/>
  <c r="F229" i="3"/>
  <c r="F231" i="3"/>
  <c r="F230" i="3" s="1"/>
  <c r="F233" i="3"/>
  <c r="F234" i="3"/>
  <c r="F236" i="3"/>
  <c r="F235" i="3" s="1"/>
  <c r="F237" i="3"/>
  <c r="F238" i="3"/>
  <c r="F184" i="3"/>
  <c r="F183" i="3" s="1"/>
  <c r="F187" i="3"/>
  <c r="F189" i="3"/>
  <c r="F190" i="3"/>
  <c r="F191" i="3"/>
  <c r="F192" i="3"/>
  <c r="F193" i="3"/>
  <c r="F198" i="3"/>
  <c r="F197" i="3"/>
  <c r="F194" i="3"/>
  <c r="F203" i="3"/>
  <c r="F202" i="3" s="1"/>
  <c r="F205" i="3"/>
  <c r="F206" i="3"/>
  <c r="F209" i="3"/>
  <c r="F208" i="3"/>
  <c r="F207" i="3" s="1"/>
  <c r="F215" i="3"/>
  <c r="F214" i="3" s="1"/>
  <c r="F217" i="3"/>
  <c r="F218" i="3"/>
  <c r="F221" i="3"/>
  <c r="F222" i="3"/>
  <c r="F224" i="3"/>
  <c r="F225" i="3"/>
  <c r="F219" i="3"/>
  <c r="F220" i="3"/>
  <c r="F164" i="3"/>
  <c r="F165" i="3"/>
  <c r="F168" i="3"/>
  <c r="F166" i="3"/>
  <c r="F167" i="3"/>
  <c r="F169" i="3"/>
  <c r="F170" i="3"/>
  <c r="F180" i="3"/>
  <c r="F177" i="3"/>
  <c r="F181" i="3"/>
  <c r="F173" i="3"/>
  <c r="F171" i="3" s="1"/>
  <c r="F153" i="3"/>
  <c r="F154" i="3"/>
  <c r="G36" i="1"/>
  <c r="F156" i="3" s="1"/>
  <c r="F157" i="3"/>
  <c r="G39" i="1"/>
  <c r="F160" i="3"/>
  <c r="F146" i="3"/>
  <c r="G30" i="1"/>
  <c r="G29" i="1" s="1"/>
  <c r="G226" i="1"/>
  <c r="F147" i="3"/>
  <c r="F78" i="3"/>
  <c r="F79" i="3"/>
  <c r="F80" i="3"/>
  <c r="F82" i="3"/>
  <c r="F81" i="3"/>
  <c r="F99" i="3"/>
  <c r="G185" i="1"/>
  <c r="F114" i="3" s="1"/>
  <c r="F113" i="3" s="1"/>
  <c r="F116" i="3"/>
  <c r="F115" i="3" s="1"/>
  <c r="G21" i="1"/>
  <c r="F118" i="3" s="1"/>
  <c r="F117" i="3" s="1"/>
  <c r="F120" i="3"/>
  <c r="F119" i="3" s="1"/>
  <c r="F121" i="3"/>
  <c r="F122" i="3"/>
  <c r="F126" i="3"/>
  <c r="F128" i="3"/>
  <c r="F129" i="3"/>
  <c r="F130" i="3"/>
  <c r="G195" i="1"/>
  <c r="F131" i="3" s="1"/>
  <c r="G26" i="1"/>
  <c r="G25" i="1" s="1"/>
  <c r="G207" i="1"/>
  <c r="G206" i="1" s="1"/>
  <c r="F144" i="3"/>
  <c r="F112" i="3"/>
  <c r="F124" i="3"/>
  <c r="F125" i="3"/>
  <c r="F67" i="3"/>
  <c r="F69" i="3"/>
  <c r="F73" i="3"/>
  <c r="F75" i="3"/>
  <c r="F85" i="3"/>
  <c r="F87" i="3"/>
  <c r="F89" i="3"/>
  <c r="F91" i="3"/>
  <c r="F93" i="3"/>
  <c r="F95" i="3"/>
  <c r="F97" i="3"/>
  <c r="F102" i="3"/>
  <c r="F104" i="3"/>
  <c r="F106" i="3"/>
  <c r="F108" i="3"/>
  <c r="F110" i="3"/>
  <c r="F140" i="3"/>
  <c r="F134" i="3"/>
  <c r="F132" i="3" s="1"/>
  <c r="F37" i="3"/>
  <c r="F39" i="3"/>
  <c r="F41" i="3"/>
  <c r="F43" i="3"/>
  <c r="F47" i="3"/>
  <c r="F49" i="3"/>
  <c r="F55" i="3"/>
  <c r="F51" i="3" s="1"/>
  <c r="F59" i="3"/>
  <c r="F61" i="3"/>
  <c r="G66" i="1"/>
  <c r="F19" i="3"/>
  <c r="F21" i="3"/>
  <c r="F23" i="3"/>
  <c r="F25" i="3"/>
  <c r="F26" i="3"/>
  <c r="F27" i="3"/>
  <c r="G76" i="1"/>
  <c r="F29" i="3" s="1"/>
  <c r="G79" i="1"/>
  <c r="F34" i="3"/>
  <c r="G15" i="1"/>
  <c r="G65" i="1"/>
  <c r="G135" i="1"/>
  <c r="G327" i="1"/>
  <c r="G325" i="1" s="1"/>
  <c r="G324" i="1" s="1"/>
  <c r="F15" i="3"/>
  <c r="G242" i="3"/>
  <c r="G241" i="3" s="1"/>
  <c r="G248" i="3"/>
  <c r="G247" i="3" s="1"/>
  <c r="G250" i="3"/>
  <c r="G249" i="3" s="1"/>
  <c r="G228" i="3"/>
  <c r="G229" i="3"/>
  <c r="G231" i="3"/>
  <c r="G230" i="3" s="1"/>
  <c r="G233" i="3"/>
  <c r="G234" i="3"/>
  <c r="G236" i="3"/>
  <c r="G235" i="3" s="1"/>
  <c r="G237" i="3"/>
  <c r="G238" i="3"/>
  <c r="G184" i="3"/>
  <c r="G183" i="3" s="1"/>
  <c r="G187" i="3"/>
  <c r="G189" i="3"/>
  <c r="G190" i="3"/>
  <c r="G191" i="3"/>
  <c r="G192" i="3"/>
  <c r="G193" i="3"/>
  <c r="G198" i="3"/>
  <c r="G197" i="3"/>
  <c r="G194" i="3"/>
  <c r="G203" i="3"/>
  <c r="G202" i="3" s="1"/>
  <c r="G205" i="3"/>
  <c r="G206" i="3"/>
  <c r="G209" i="3"/>
  <c r="G208" i="3"/>
  <c r="G207" i="3" s="1"/>
  <c r="G215" i="3"/>
  <c r="G214" i="3" s="1"/>
  <c r="G217" i="3"/>
  <c r="G218" i="3"/>
  <c r="G221" i="3"/>
  <c r="G222" i="3"/>
  <c r="G224" i="3"/>
  <c r="G225" i="3"/>
  <c r="G219" i="3"/>
  <c r="G220" i="3"/>
  <c r="G164" i="3"/>
  <c r="G165" i="3"/>
  <c r="G168" i="3"/>
  <c r="G166" i="3"/>
  <c r="G167" i="3"/>
  <c r="G169" i="3"/>
  <c r="G170" i="3"/>
  <c r="G180" i="3"/>
  <c r="G177" i="3"/>
  <c r="H247" i="1"/>
  <c r="G181" i="3" s="1"/>
  <c r="G173" i="3"/>
  <c r="G171" i="3" s="1"/>
  <c r="G153" i="3"/>
  <c r="G154" i="3"/>
  <c r="G156" i="3"/>
  <c r="G157" i="3"/>
  <c r="G159" i="3"/>
  <c r="G158" i="3" s="1"/>
  <c r="G160" i="3"/>
  <c r="G146" i="3"/>
  <c r="H29" i="1"/>
  <c r="H226" i="1"/>
  <c r="G148" i="3" s="1"/>
  <c r="G147" i="3"/>
  <c r="G78" i="3"/>
  <c r="G79" i="3"/>
  <c r="G80" i="3"/>
  <c r="G82" i="3"/>
  <c r="G81" i="3"/>
  <c r="G99" i="3"/>
  <c r="G114" i="3"/>
  <c r="G113" i="3" s="1"/>
  <c r="G116" i="3"/>
  <c r="G115" i="3" s="1"/>
  <c r="H21" i="1"/>
  <c r="G120" i="3"/>
  <c r="G119" i="3" s="1"/>
  <c r="G121" i="3"/>
  <c r="G122" i="3"/>
  <c r="G126" i="3"/>
  <c r="G128" i="3"/>
  <c r="G129" i="3"/>
  <c r="G130" i="3"/>
  <c r="G131" i="3"/>
  <c r="G143" i="3"/>
  <c r="G144" i="3"/>
  <c r="G112" i="3"/>
  <c r="G124" i="3"/>
  <c r="G125" i="3"/>
  <c r="G67" i="3"/>
  <c r="G69" i="3"/>
  <c r="G73" i="3"/>
  <c r="G75" i="3"/>
  <c r="G85" i="3"/>
  <c r="G87" i="3"/>
  <c r="G89" i="3"/>
  <c r="G91" i="3"/>
  <c r="G93" i="3"/>
  <c r="G95" i="3"/>
  <c r="G97" i="3"/>
  <c r="G102" i="3"/>
  <c r="G104" i="3"/>
  <c r="G106" i="3"/>
  <c r="G108" i="3"/>
  <c r="G110" i="3"/>
  <c r="G140" i="3"/>
  <c r="G134" i="3"/>
  <c r="G132" i="3" s="1"/>
  <c r="G37" i="3"/>
  <c r="G39" i="3"/>
  <c r="G41" i="3"/>
  <c r="G43" i="3"/>
  <c r="G47" i="3"/>
  <c r="G49" i="3"/>
  <c r="G55" i="3"/>
  <c r="G59" i="3"/>
  <c r="G61" i="3"/>
  <c r="G18" i="3"/>
  <c r="G19" i="3"/>
  <c r="G21" i="3"/>
  <c r="G23" i="3"/>
  <c r="G25" i="3"/>
  <c r="G26" i="3"/>
  <c r="G27" i="3"/>
  <c r="G29" i="3"/>
  <c r="G32" i="3"/>
  <c r="G34" i="3"/>
  <c r="G14" i="3"/>
  <c r="G15" i="3"/>
  <c r="H165" i="3"/>
  <c r="H164" i="3"/>
  <c r="H168" i="3"/>
  <c r="H166" i="3"/>
  <c r="H167" i="3"/>
  <c r="H177" i="3"/>
  <c r="H173" i="3"/>
  <c r="H171" i="3" s="1"/>
  <c r="H242" i="3"/>
  <c r="H241" i="3" s="1"/>
  <c r="H248" i="3"/>
  <c r="H247" i="3" s="1"/>
  <c r="H250" i="3"/>
  <c r="H249" i="3" s="1"/>
  <c r="H228" i="3"/>
  <c r="H229" i="3"/>
  <c r="H231" i="3"/>
  <c r="H230" i="3" s="1"/>
  <c r="H233" i="3"/>
  <c r="H234" i="3"/>
  <c r="H236" i="3"/>
  <c r="H235" i="3" s="1"/>
  <c r="H237" i="3"/>
  <c r="H238" i="3"/>
  <c r="H184" i="3"/>
  <c r="H183" i="3" s="1"/>
  <c r="H187" i="3"/>
  <c r="H189" i="3"/>
  <c r="H190" i="3"/>
  <c r="H191" i="3"/>
  <c r="H192" i="3"/>
  <c r="H193" i="3"/>
  <c r="H198" i="3"/>
  <c r="H197" i="3"/>
  <c r="H194" i="3"/>
  <c r="H203" i="3"/>
  <c r="H202" i="3" s="1"/>
  <c r="H209" i="3"/>
  <c r="H208" i="3"/>
  <c r="H207" i="3" s="1"/>
  <c r="H215" i="3"/>
  <c r="H214" i="3" s="1"/>
  <c r="H217" i="3"/>
  <c r="H218" i="3"/>
  <c r="H221" i="3"/>
  <c r="H222" i="3"/>
  <c r="H224" i="3"/>
  <c r="H225" i="3"/>
  <c r="H219" i="3"/>
  <c r="H220" i="3"/>
  <c r="H153" i="3"/>
  <c r="H154" i="3"/>
  <c r="H156" i="3"/>
  <c r="H157" i="3"/>
  <c r="H159" i="3"/>
  <c r="H160" i="3"/>
  <c r="H146" i="3"/>
  <c r="I29" i="1"/>
  <c r="I226" i="1"/>
  <c r="H147" i="3"/>
  <c r="H78" i="3"/>
  <c r="H79" i="3"/>
  <c r="H80" i="3"/>
  <c r="H82" i="3"/>
  <c r="H81" i="3"/>
  <c r="H99" i="3"/>
  <c r="H114" i="3"/>
  <c r="H113" i="3" s="1"/>
  <c r="H116" i="3"/>
  <c r="H115" i="3" s="1"/>
  <c r="H118" i="3"/>
  <c r="H117" i="3" s="1"/>
  <c r="H120" i="3"/>
  <c r="H119" i="3" s="1"/>
  <c r="H121" i="3"/>
  <c r="H122" i="3"/>
  <c r="H126" i="3"/>
  <c r="H128" i="3"/>
  <c r="H129" i="3"/>
  <c r="H130" i="3"/>
  <c r="H131" i="3"/>
  <c r="H143" i="3"/>
  <c r="H144" i="3"/>
  <c r="H112" i="3"/>
  <c r="H124" i="3"/>
  <c r="H125" i="3"/>
  <c r="H67" i="3"/>
  <c r="H69" i="3"/>
  <c r="H73" i="3"/>
  <c r="H75" i="3"/>
  <c r="H85" i="3"/>
  <c r="H87" i="3"/>
  <c r="H89" i="3"/>
  <c r="H91" i="3"/>
  <c r="H93" i="3"/>
  <c r="H95" i="3"/>
  <c r="H97" i="3"/>
  <c r="H102" i="3"/>
  <c r="H104" i="3"/>
  <c r="H106" i="3"/>
  <c r="H108" i="3"/>
  <c r="H110" i="3"/>
  <c r="H140" i="3"/>
  <c r="H134" i="3"/>
  <c r="H132" i="3" s="1"/>
  <c r="H37" i="3"/>
  <c r="H39" i="3"/>
  <c r="H41" i="3"/>
  <c r="H43" i="3"/>
  <c r="H47" i="3"/>
  <c r="H49" i="3"/>
  <c r="H55" i="3"/>
  <c r="H51" i="3" s="1"/>
  <c r="H59" i="3"/>
  <c r="H61" i="3"/>
  <c r="H18" i="3"/>
  <c r="H19" i="3"/>
  <c r="H21" i="3"/>
  <c r="H23" i="3"/>
  <c r="H25" i="3"/>
  <c r="H26" i="3"/>
  <c r="H27" i="3"/>
  <c r="H29" i="3"/>
  <c r="H32" i="3"/>
  <c r="H34" i="3"/>
  <c r="H14" i="3"/>
  <c r="H15" i="3"/>
  <c r="D174" i="3"/>
  <c r="D172" i="3" s="1"/>
  <c r="D162" i="3" s="1"/>
  <c r="D68" i="3"/>
  <c r="D70" i="3"/>
  <c r="D74" i="3"/>
  <c r="D56" i="3"/>
  <c r="D240" i="3"/>
  <c r="D243" i="3"/>
  <c r="D238" i="3"/>
  <c r="D197" i="3"/>
  <c r="D220" i="3"/>
  <c r="D116" i="3"/>
  <c r="D115" i="3" s="1"/>
  <c r="D34" i="3"/>
  <c r="E229" i="1"/>
  <c r="F229" i="1"/>
  <c r="G229" i="1"/>
  <c r="H229" i="1"/>
  <c r="K229" i="1"/>
  <c r="L229" i="1"/>
  <c r="I229" i="1"/>
  <c r="M229" i="1"/>
  <c r="F187" i="1"/>
  <c r="F136" i="1"/>
  <c r="F142" i="1"/>
  <c r="F154" i="1"/>
  <c r="F196" i="1"/>
  <c r="G148" i="1"/>
  <c r="G184" i="1"/>
  <c r="G191" i="1"/>
  <c r="G187" i="1"/>
  <c r="G136" i="1"/>
  <c r="G142" i="1"/>
  <c r="G154" i="1"/>
  <c r="G171" i="1"/>
  <c r="H148" i="1"/>
  <c r="H184" i="1"/>
  <c r="H191" i="1"/>
  <c r="H206" i="1"/>
  <c r="H187" i="1"/>
  <c r="H136" i="1"/>
  <c r="H142" i="1"/>
  <c r="H154" i="1"/>
  <c r="H171" i="1"/>
  <c r="I148" i="1"/>
  <c r="I184" i="1"/>
  <c r="I191" i="1"/>
  <c r="I206" i="1"/>
  <c r="I187" i="1"/>
  <c r="I136" i="1"/>
  <c r="I142" i="1"/>
  <c r="I154" i="1"/>
  <c r="I171" i="1"/>
  <c r="J187" i="1"/>
  <c r="J142" i="1"/>
  <c r="K196" i="1"/>
  <c r="K148" i="1"/>
  <c r="K184" i="1"/>
  <c r="K191" i="1"/>
  <c r="K206" i="1"/>
  <c r="K187" i="1"/>
  <c r="K136" i="1"/>
  <c r="K142" i="1"/>
  <c r="K154" i="1"/>
  <c r="K171" i="1"/>
  <c r="L148" i="1"/>
  <c r="L184" i="1"/>
  <c r="L191" i="1"/>
  <c r="L206" i="1"/>
  <c r="L187" i="1"/>
  <c r="L136" i="1"/>
  <c r="L142" i="1"/>
  <c r="L154" i="1"/>
  <c r="L171" i="1"/>
  <c r="L196" i="1"/>
  <c r="M148" i="1"/>
  <c r="M184" i="1"/>
  <c r="M191" i="1"/>
  <c r="M206" i="1"/>
  <c r="M187" i="1"/>
  <c r="M136" i="1"/>
  <c r="M142" i="1"/>
  <c r="M154" i="1"/>
  <c r="M171" i="1"/>
  <c r="M196" i="1"/>
  <c r="N148" i="1"/>
  <c r="N184" i="1"/>
  <c r="N191" i="1"/>
  <c r="N206" i="1"/>
  <c r="N187" i="1"/>
  <c r="N136" i="1"/>
  <c r="N142" i="1"/>
  <c r="N154" i="1"/>
  <c r="N171" i="1"/>
  <c r="O148" i="1"/>
  <c r="O184" i="1"/>
  <c r="O191" i="1"/>
  <c r="O187" i="1"/>
  <c r="O136" i="1"/>
  <c r="O142" i="1"/>
  <c r="O154" i="1"/>
  <c r="O171" i="1"/>
  <c r="E333" i="1"/>
  <c r="P333" i="1" s="1"/>
  <c r="K119" i="1"/>
  <c r="N119" i="1"/>
  <c r="J25" i="1"/>
  <c r="J86" i="1"/>
  <c r="J248" i="1"/>
  <c r="J322" i="1"/>
  <c r="J321" i="1" s="1"/>
  <c r="E262" i="1"/>
  <c r="E306" i="1"/>
  <c r="E294" i="1"/>
  <c r="F137" i="1"/>
  <c r="F143" i="1"/>
  <c r="F155" i="1"/>
  <c r="F172" i="1"/>
  <c r="F197" i="1"/>
  <c r="G137" i="1"/>
  <c r="G143" i="1"/>
  <c r="G155" i="1"/>
  <c r="G172" i="1"/>
  <c r="G197" i="1"/>
  <c r="H137" i="1"/>
  <c r="H143" i="1"/>
  <c r="H155" i="1"/>
  <c r="H172" i="1"/>
  <c r="H197" i="1"/>
  <c r="I137" i="1"/>
  <c r="I143" i="1"/>
  <c r="I155" i="1"/>
  <c r="I172" i="1"/>
  <c r="I197" i="1"/>
  <c r="K137" i="1"/>
  <c r="K143" i="1"/>
  <c r="K155" i="1"/>
  <c r="K172" i="1"/>
  <c r="L137" i="1"/>
  <c r="L143" i="1"/>
  <c r="L155" i="1"/>
  <c r="L172" i="1"/>
  <c r="L197" i="1"/>
  <c r="M137" i="1"/>
  <c r="M143" i="1"/>
  <c r="M155" i="1"/>
  <c r="M172" i="1"/>
  <c r="M197" i="1"/>
  <c r="N137" i="1"/>
  <c r="N143" i="1"/>
  <c r="N155" i="1"/>
  <c r="N172" i="1"/>
  <c r="O137" i="1"/>
  <c r="O143" i="1"/>
  <c r="O155" i="1"/>
  <c r="O172" i="1"/>
  <c r="E137" i="1"/>
  <c r="F52" i="1"/>
  <c r="F41" i="1"/>
  <c r="F43" i="1"/>
  <c r="F77" i="1"/>
  <c r="F86" i="1"/>
  <c r="F84" i="1"/>
  <c r="F88" i="1"/>
  <c r="F262" i="1"/>
  <c r="F256" i="1"/>
  <c r="F248" i="1"/>
  <c r="F306" i="1"/>
  <c r="F107" i="1"/>
  <c r="F113" i="1"/>
  <c r="F125" i="1"/>
  <c r="F215" i="1"/>
  <c r="F281" i="1"/>
  <c r="F299" i="1"/>
  <c r="F292" i="1"/>
  <c r="F309" i="1"/>
  <c r="F308" i="1" s="1"/>
  <c r="G17" i="1"/>
  <c r="G22" i="1"/>
  <c r="G32" i="1"/>
  <c r="G41" i="1"/>
  <c r="G43" i="1"/>
  <c r="G52" i="1"/>
  <c r="G86" i="1"/>
  <c r="G84" i="1"/>
  <c r="G88" i="1"/>
  <c r="G107" i="1"/>
  <c r="G113" i="1"/>
  <c r="G119" i="1"/>
  <c r="G125" i="1"/>
  <c r="G96" i="1" s="1"/>
  <c r="G95" i="1" s="1"/>
  <c r="G215" i="1"/>
  <c r="G213" i="1" s="1"/>
  <c r="G212" i="1" s="1"/>
  <c r="G239" i="1"/>
  <c r="G262" i="1"/>
  <c r="G256" i="1"/>
  <c r="G248" i="1"/>
  <c r="G268" i="1"/>
  <c r="G267" i="1" s="1"/>
  <c r="G281" i="1"/>
  <c r="G299" i="1"/>
  <c r="G292" i="1"/>
  <c r="G306" i="1"/>
  <c r="G302" i="1" s="1"/>
  <c r="G301" i="1" s="1"/>
  <c r="G309" i="1"/>
  <c r="G308" i="1"/>
  <c r="G318" i="1"/>
  <c r="G312" i="1"/>
  <c r="G311" i="1" s="1"/>
  <c r="G322" i="1"/>
  <c r="G321" i="1" s="1"/>
  <c r="H17" i="1"/>
  <c r="H22" i="1"/>
  <c r="H25" i="1"/>
  <c r="H32" i="1"/>
  <c r="H35" i="1"/>
  <c r="H41" i="1"/>
  <c r="H43" i="1"/>
  <c r="H52" i="1"/>
  <c r="H77" i="1"/>
  <c r="H86" i="1"/>
  <c r="H84" i="1"/>
  <c r="H88" i="1"/>
  <c r="H107" i="1"/>
  <c r="H113" i="1"/>
  <c r="H119" i="1"/>
  <c r="H125" i="1"/>
  <c r="H215" i="1"/>
  <c r="H213" i="1" s="1"/>
  <c r="H212" i="1" s="1"/>
  <c r="H239" i="1"/>
  <c r="H262" i="1"/>
  <c r="H256" i="1"/>
  <c r="H248" i="1"/>
  <c r="H268" i="1"/>
  <c r="H267" i="1" s="1"/>
  <c r="H281" i="1"/>
  <c r="H299" i="1"/>
  <c r="H292" i="1"/>
  <c r="H306" i="1"/>
  <c r="H302" i="1" s="1"/>
  <c r="H301" i="1" s="1"/>
  <c r="H309" i="1"/>
  <c r="H308" i="1" s="1"/>
  <c r="H318" i="1"/>
  <c r="H312" i="1" s="1"/>
  <c r="H311" i="1" s="1"/>
  <c r="H322" i="1"/>
  <c r="H321" i="1" s="1"/>
  <c r="H325" i="1"/>
  <c r="H324" i="1" s="1"/>
  <c r="I239" i="1"/>
  <c r="I262" i="1"/>
  <c r="I256" i="1"/>
  <c r="I248" i="1"/>
  <c r="I17" i="1"/>
  <c r="I20" i="1"/>
  <c r="I22" i="1"/>
  <c r="I25" i="1"/>
  <c r="I32" i="1"/>
  <c r="I35" i="1"/>
  <c r="I38" i="1"/>
  <c r="I41" i="1"/>
  <c r="I52" i="1"/>
  <c r="I77" i="1"/>
  <c r="I86" i="1"/>
  <c r="I84" i="1"/>
  <c r="I88" i="1"/>
  <c r="I107" i="1"/>
  <c r="I113" i="1"/>
  <c r="I119" i="1"/>
  <c r="I125" i="1"/>
  <c r="I215" i="1"/>
  <c r="I213" i="1" s="1"/>
  <c r="I212" i="1" s="1"/>
  <c r="I268" i="1"/>
  <c r="I267" i="1" s="1"/>
  <c r="I281" i="1"/>
  <c r="I299" i="1"/>
  <c r="I292" i="1"/>
  <c r="I306" i="1"/>
  <c r="I302" i="1" s="1"/>
  <c r="I301" i="1" s="1"/>
  <c r="I309" i="1"/>
  <c r="I308" i="1" s="1"/>
  <c r="I318" i="1"/>
  <c r="I312" i="1" s="1"/>
  <c r="I311" i="1" s="1"/>
  <c r="I322" i="1"/>
  <c r="I321" i="1" s="1"/>
  <c r="I325" i="1"/>
  <c r="I324" i="1" s="1"/>
  <c r="K17" i="1"/>
  <c r="K20" i="1"/>
  <c r="K22" i="1"/>
  <c r="K25" i="1"/>
  <c r="K32" i="1"/>
  <c r="K35" i="1"/>
  <c r="K38" i="1"/>
  <c r="K41" i="1"/>
  <c r="K43" i="1"/>
  <c r="K77" i="1"/>
  <c r="K86" i="1"/>
  <c r="K84" i="1"/>
  <c r="K88" i="1"/>
  <c r="K107" i="1"/>
  <c r="K113" i="1"/>
  <c r="K125" i="1"/>
  <c r="K215" i="1"/>
  <c r="K239" i="1"/>
  <c r="K256" i="1"/>
  <c r="K248" i="1"/>
  <c r="K268" i="1"/>
  <c r="K267" i="1" s="1"/>
  <c r="K281" i="1"/>
  <c r="K299" i="1"/>
  <c r="K292" i="1"/>
  <c r="K294" i="1"/>
  <c r="K306" i="1"/>
  <c r="K302" i="1" s="1"/>
  <c r="K301" i="1" s="1"/>
  <c r="K309" i="1"/>
  <c r="K308" i="1" s="1"/>
  <c r="K318" i="1"/>
  <c r="K312" i="1" s="1"/>
  <c r="K311" i="1" s="1"/>
  <c r="K322" i="1"/>
  <c r="K321" i="1" s="1"/>
  <c r="K325" i="1"/>
  <c r="K324" i="1" s="1"/>
  <c r="L17" i="1"/>
  <c r="L20" i="1"/>
  <c r="L22" i="1"/>
  <c r="L25" i="1"/>
  <c r="L32" i="1"/>
  <c r="L35" i="1"/>
  <c r="L38" i="1"/>
  <c r="L41" i="1"/>
  <c r="L43" i="1"/>
  <c r="L52" i="1"/>
  <c r="L77" i="1"/>
  <c r="L86" i="1"/>
  <c r="L84" i="1"/>
  <c r="L88" i="1"/>
  <c r="L107" i="1"/>
  <c r="L113" i="1"/>
  <c r="L119" i="1"/>
  <c r="L125" i="1"/>
  <c r="L215" i="1"/>
  <c r="L213" i="1" s="1"/>
  <c r="L212" i="1" s="1"/>
  <c r="L239" i="1"/>
  <c r="L262" i="1"/>
  <c r="L256" i="1"/>
  <c r="L248" i="1"/>
  <c r="L268" i="1"/>
  <c r="L267" i="1" s="1"/>
  <c r="L281" i="1"/>
  <c r="L299" i="1"/>
  <c r="L292" i="1"/>
  <c r="L294" i="1"/>
  <c r="L306" i="1"/>
  <c r="L302" i="1" s="1"/>
  <c r="L301" i="1" s="1"/>
  <c r="L309" i="1"/>
  <c r="L308" i="1" s="1"/>
  <c r="L318" i="1"/>
  <c r="L312" i="1" s="1"/>
  <c r="L311" i="1" s="1"/>
  <c r="L322" i="1"/>
  <c r="L321" i="1" s="1"/>
  <c r="L325" i="1"/>
  <c r="L324" i="1" s="1"/>
  <c r="M17" i="1"/>
  <c r="M20" i="1"/>
  <c r="M22" i="1"/>
  <c r="M25" i="1"/>
  <c r="M32" i="1"/>
  <c r="M35" i="1"/>
  <c r="M38" i="1"/>
  <c r="M41" i="1"/>
  <c r="M43" i="1"/>
  <c r="M52" i="1"/>
  <c r="M77" i="1"/>
  <c r="M86" i="1"/>
  <c r="M84" i="1"/>
  <c r="M88" i="1"/>
  <c r="M107" i="1"/>
  <c r="M113" i="1"/>
  <c r="M119" i="1"/>
  <c r="M125" i="1"/>
  <c r="M215" i="1"/>
  <c r="M239" i="1"/>
  <c r="M262" i="1"/>
  <c r="M256" i="1"/>
  <c r="M248" i="1"/>
  <c r="M268" i="1"/>
  <c r="M267" i="1" s="1"/>
  <c r="M281" i="1"/>
  <c r="M299" i="1"/>
  <c r="M292" i="1"/>
  <c r="M294" i="1"/>
  <c r="M306" i="1"/>
  <c r="M302" i="1" s="1"/>
  <c r="M301" i="1" s="1"/>
  <c r="M309" i="1"/>
  <c r="M308" i="1" s="1"/>
  <c r="M318" i="1"/>
  <c r="M312" i="1" s="1"/>
  <c r="M311" i="1" s="1"/>
  <c r="M322" i="1"/>
  <c r="M321" i="1" s="1"/>
  <c r="M325" i="1"/>
  <c r="M324" i="1" s="1"/>
  <c r="N38" i="1"/>
  <c r="N17" i="1"/>
  <c r="N20" i="1"/>
  <c r="N22" i="1"/>
  <c r="N25" i="1"/>
  <c r="N32" i="1"/>
  <c r="N35" i="1"/>
  <c r="N41" i="1"/>
  <c r="N52" i="1"/>
  <c r="N77" i="1"/>
  <c r="N86" i="1"/>
  <c r="N84" i="1"/>
  <c r="N107" i="1"/>
  <c r="N113" i="1"/>
  <c r="N248" i="1"/>
  <c r="N268" i="1"/>
  <c r="N267" i="1" s="1"/>
  <c r="N299" i="1"/>
  <c r="N292" i="1"/>
  <c r="N294" i="1"/>
  <c r="N215" i="1"/>
  <c r="N306" i="1"/>
  <c r="N302" i="1" s="1"/>
  <c r="N301" i="1" s="1"/>
  <c r="N309" i="1"/>
  <c r="N308" i="1" s="1"/>
  <c r="N318" i="1"/>
  <c r="N322" i="1"/>
  <c r="N321" i="1" s="1"/>
  <c r="O17" i="1"/>
  <c r="O22" i="1"/>
  <c r="O25" i="1"/>
  <c r="O32" i="1"/>
  <c r="O35" i="1"/>
  <c r="O41" i="1"/>
  <c r="O43" i="1"/>
  <c r="O52" i="1"/>
  <c r="O86" i="1"/>
  <c r="O84" i="1"/>
  <c r="O113" i="1"/>
  <c r="O119" i="1"/>
  <c r="O256" i="1"/>
  <c r="O262" i="1"/>
  <c r="O248" i="1"/>
  <c r="O299" i="1"/>
  <c r="O292" i="1"/>
  <c r="O294" i="1"/>
  <c r="O215" i="1"/>
  <c r="O306" i="1"/>
  <c r="O302" i="1" s="1"/>
  <c r="O301" i="1" s="1"/>
  <c r="O309" i="1"/>
  <c r="O308" i="1" s="1"/>
  <c r="O318" i="1"/>
  <c r="O322" i="1"/>
  <c r="O321" i="1" s="1"/>
  <c r="F108" i="1"/>
  <c r="F114" i="1"/>
  <c r="F120" i="1"/>
  <c r="F126" i="1"/>
  <c r="F78" i="1"/>
  <c r="F89" i="1"/>
  <c r="F257" i="1"/>
  <c r="F249" i="1"/>
  <c r="F288" i="1"/>
  <c r="F295" i="1"/>
  <c r="E199" i="3"/>
  <c r="E196" i="3" s="1"/>
  <c r="E186" i="3" s="1"/>
  <c r="E213" i="3"/>
  <c r="E211" i="3" s="1"/>
  <c r="E201" i="3" s="1"/>
  <c r="F199" i="3"/>
  <c r="F196" i="3" s="1"/>
  <c r="F186" i="3" s="1"/>
  <c r="F213" i="3"/>
  <c r="F211" i="3" s="1"/>
  <c r="F201" i="3" s="1"/>
  <c r="G78" i="1"/>
  <c r="G89" i="1"/>
  <c r="G114" i="1"/>
  <c r="G120" i="1"/>
  <c r="G126" i="1"/>
  <c r="G257" i="1"/>
  <c r="G249" i="1"/>
  <c r="G288" i="1"/>
  <c r="G295" i="1"/>
  <c r="G199" i="3"/>
  <c r="G196" i="3" s="1"/>
  <c r="G186" i="3" s="1"/>
  <c r="G213" i="3"/>
  <c r="G211" i="3" s="1"/>
  <c r="G201" i="3" s="1"/>
  <c r="H78" i="1"/>
  <c r="H89" i="1"/>
  <c r="H108" i="1"/>
  <c r="H114" i="1"/>
  <c r="H120" i="1"/>
  <c r="H126" i="1"/>
  <c r="H257" i="1"/>
  <c r="H249" i="1"/>
  <c r="H288" i="1"/>
  <c r="H295" i="1"/>
  <c r="H199" i="3"/>
  <c r="H196" i="3" s="1"/>
  <c r="H186" i="3" s="1"/>
  <c r="H213" i="3"/>
  <c r="H211" i="3" s="1"/>
  <c r="H201" i="3" s="1"/>
  <c r="I78" i="1"/>
  <c r="I89" i="1"/>
  <c r="I108" i="1"/>
  <c r="I114" i="1"/>
  <c r="I120" i="1"/>
  <c r="I126" i="1"/>
  <c r="I257" i="1"/>
  <c r="I249" i="1"/>
  <c r="I288" i="1"/>
  <c r="I295" i="1"/>
  <c r="K78" i="1"/>
  <c r="K89" i="1"/>
  <c r="K108" i="1"/>
  <c r="K114" i="1"/>
  <c r="K126" i="1"/>
  <c r="K257" i="1"/>
  <c r="K249" i="1"/>
  <c r="K288" i="1"/>
  <c r="K273" i="1" s="1"/>
  <c r="L78" i="1"/>
  <c r="L89" i="1"/>
  <c r="L108" i="1"/>
  <c r="L114" i="1"/>
  <c r="L120" i="1"/>
  <c r="L126" i="1"/>
  <c r="L257" i="1"/>
  <c r="L249" i="1"/>
  <c r="L288" i="1"/>
  <c r="L295" i="1"/>
  <c r="M78" i="1"/>
  <c r="M89" i="1"/>
  <c r="M108" i="1"/>
  <c r="M114" i="1"/>
  <c r="M120" i="1"/>
  <c r="M126" i="1"/>
  <c r="M257" i="1"/>
  <c r="M249" i="1"/>
  <c r="M288" i="1"/>
  <c r="M295" i="1"/>
  <c r="N78" i="1"/>
  <c r="N108" i="1"/>
  <c r="N114" i="1"/>
  <c r="N249" i="1"/>
  <c r="N295" i="1"/>
  <c r="O78" i="1"/>
  <c r="O89" i="1"/>
  <c r="O108" i="1"/>
  <c r="O114" i="1"/>
  <c r="O120" i="1"/>
  <c r="O126" i="1"/>
  <c r="O257" i="1"/>
  <c r="O249" i="1"/>
  <c r="O288" i="1"/>
  <c r="O295" i="1"/>
  <c r="O273" i="1" s="1"/>
  <c r="E116" i="1"/>
  <c r="D54" i="3" s="1"/>
  <c r="E114" i="1"/>
  <c r="E126" i="1"/>
  <c r="E78" i="1"/>
  <c r="E257" i="1"/>
  <c r="E249" i="1"/>
  <c r="E288" i="1"/>
  <c r="D199" i="1"/>
  <c r="P334" i="1"/>
  <c r="P326" i="1"/>
  <c r="D295" i="1"/>
  <c r="B259" i="1"/>
  <c r="E82" i="1"/>
  <c r="J82" i="1"/>
  <c r="P82" i="1" s="1"/>
  <c r="L210" i="3"/>
  <c r="K210" i="3"/>
  <c r="C248" i="1"/>
  <c r="D248" i="1"/>
  <c r="C250" i="1"/>
  <c r="B250" i="1"/>
  <c r="B248" i="1"/>
  <c r="C305" i="1"/>
  <c r="D305" i="1"/>
  <c r="B305" i="1"/>
  <c r="C60" i="1"/>
  <c r="D60" i="1"/>
  <c r="B60" i="1"/>
  <c r="C252" i="1"/>
  <c r="D252" i="1"/>
  <c r="B252" i="1"/>
  <c r="C277" i="1"/>
  <c r="D277" i="1"/>
  <c r="B277" i="1"/>
  <c r="C258" i="1"/>
  <c r="D258" i="1"/>
  <c r="B258" i="1"/>
  <c r="C210" i="1"/>
  <c r="D210" i="1"/>
  <c r="B210" i="1"/>
  <c r="C292" i="1"/>
  <c r="D292" i="1"/>
  <c r="C293" i="1"/>
  <c r="D293" i="1"/>
  <c r="B293" i="1"/>
  <c r="B292" i="1"/>
  <c r="C299" i="1"/>
  <c r="D299" i="1"/>
  <c r="C300" i="1"/>
  <c r="B300" i="1"/>
  <c r="B299" i="1"/>
  <c r="D128" i="1"/>
  <c r="D126" i="1"/>
  <c r="C287" i="1"/>
  <c r="D287" i="1"/>
  <c r="C290" i="1"/>
  <c r="D290" i="1"/>
  <c r="B290" i="1"/>
  <c r="B287" i="1"/>
  <c r="C256" i="1"/>
  <c r="D256" i="1"/>
  <c r="C259" i="1"/>
  <c r="D259" i="1"/>
  <c r="B256" i="1"/>
  <c r="C243" i="1"/>
  <c r="D243" i="1"/>
  <c r="B243" i="1"/>
  <c r="C125" i="1"/>
  <c r="D125" i="1"/>
  <c r="C127" i="1"/>
  <c r="D127" i="1"/>
  <c r="B127" i="1"/>
  <c r="B125" i="1"/>
  <c r="C88" i="1"/>
  <c r="D88" i="1"/>
  <c r="C90" i="1"/>
  <c r="D90" i="1"/>
  <c r="B90" i="1"/>
  <c r="B88" i="1"/>
  <c r="C320" i="1"/>
  <c r="D320" i="1"/>
  <c r="B320" i="1"/>
  <c r="C152" i="1"/>
  <c r="D152" i="1"/>
  <c r="B152" i="1"/>
  <c r="D94" i="1"/>
  <c r="C94" i="1"/>
  <c r="B94" i="1"/>
  <c r="C61" i="1"/>
  <c r="D61" i="1"/>
  <c r="B61" i="1"/>
  <c r="C28" i="1"/>
  <c r="D28" i="1"/>
  <c r="B28" i="1"/>
  <c r="C286" i="1"/>
  <c r="D286" i="1"/>
  <c r="B286" i="1"/>
  <c r="W339" i="1"/>
  <c r="X339" i="1"/>
  <c r="Y339" i="1"/>
  <c r="C111" i="1"/>
  <c r="D111" i="1"/>
  <c r="B111" i="1"/>
  <c r="C85" i="1"/>
  <c r="D85" i="1"/>
  <c r="B85" i="1"/>
  <c r="C84" i="1"/>
  <c r="D84" i="1"/>
  <c r="B84" i="1"/>
  <c r="B205" i="1"/>
  <c r="C205" i="1"/>
  <c r="D205" i="1"/>
  <c r="C204" i="1"/>
  <c r="B204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C171" i="1"/>
  <c r="B171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C154" i="1"/>
  <c r="D154" i="1"/>
  <c r="B154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C136" i="1"/>
  <c r="D136" i="1"/>
  <c r="B136" i="1"/>
  <c r="E54" i="3"/>
  <c r="F54" i="3"/>
  <c r="G54" i="3"/>
  <c r="H54" i="3"/>
  <c r="J54" i="3"/>
  <c r="K54" i="3"/>
  <c r="L54" i="3"/>
  <c r="M54" i="3"/>
  <c r="N54" i="3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C113" i="1"/>
  <c r="D113" i="1"/>
  <c r="B113" i="1"/>
  <c r="B188" i="1"/>
  <c r="C188" i="1"/>
  <c r="D188" i="1"/>
  <c r="B189" i="1"/>
  <c r="C189" i="1"/>
  <c r="D189" i="1"/>
  <c r="C187" i="1"/>
  <c r="D187" i="1"/>
  <c r="B187" i="1"/>
  <c r="C183" i="1"/>
  <c r="D183" i="1"/>
  <c r="B183" i="1"/>
  <c r="C335" i="1"/>
  <c r="D335" i="1"/>
  <c r="B335" i="1"/>
  <c r="C307" i="1"/>
  <c r="B307" i="1"/>
  <c r="C304" i="1"/>
  <c r="D304" i="1"/>
  <c r="B304" i="1"/>
  <c r="D123" i="1"/>
  <c r="C123" i="1"/>
  <c r="B123" i="1"/>
  <c r="C121" i="1"/>
  <c r="D121" i="1"/>
  <c r="B121" i="1"/>
  <c r="C53" i="1"/>
  <c r="B53" i="1"/>
  <c r="T321" i="1"/>
  <c r="R220" i="1"/>
  <c r="R321" i="1"/>
  <c r="S220" i="1"/>
  <c r="S321" i="1"/>
  <c r="R322" i="1"/>
  <c r="S322" i="1"/>
  <c r="T322" i="1"/>
  <c r="R318" i="1"/>
  <c r="S318" i="1"/>
  <c r="R221" i="1"/>
  <c r="S221" i="1"/>
  <c r="R215" i="1"/>
  <c r="S215" i="1"/>
  <c r="G149" i="3"/>
  <c r="H149" i="3"/>
  <c r="J149" i="3"/>
  <c r="K149" i="3"/>
  <c r="L149" i="3"/>
  <c r="N149" i="3"/>
  <c r="F150" i="3"/>
  <c r="G150" i="3"/>
  <c r="H150" i="3"/>
  <c r="J150" i="3"/>
  <c r="K150" i="3"/>
  <c r="L150" i="3"/>
  <c r="M150" i="3"/>
  <c r="N150" i="3"/>
  <c r="C46" i="1"/>
  <c r="D46" i="1"/>
  <c r="B46" i="1"/>
  <c r="D149" i="3"/>
  <c r="C211" i="1"/>
  <c r="D211" i="1"/>
  <c r="B211" i="1"/>
  <c r="C209" i="1"/>
  <c r="D209" i="1"/>
  <c r="B209" i="1"/>
  <c r="C207" i="1"/>
  <c r="D207" i="1"/>
  <c r="C208" i="1"/>
  <c r="D208" i="1"/>
  <c r="B208" i="1"/>
  <c r="B207" i="1"/>
  <c r="C206" i="1"/>
  <c r="D206" i="1"/>
  <c r="B206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1" i="1"/>
  <c r="D191" i="1"/>
  <c r="B191" i="1"/>
  <c r="C190" i="1"/>
  <c r="D190" i="1"/>
  <c r="B190" i="1"/>
  <c r="C186" i="1"/>
  <c r="D186" i="1"/>
  <c r="B186" i="1"/>
  <c r="C185" i="1"/>
  <c r="D185" i="1"/>
  <c r="B185" i="1"/>
  <c r="C184" i="1"/>
  <c r="D184" i="1"/>
  <c r="B184" i="1"/>
  <c r="C170" i="1"/>
  <c r="D170" i="1"/>
  <c r="B170" i="1"/>
  <c r="C153" i="1"/>
  <c r="D153" i="1"/>
  <c r="B153" i="1"/>
  <c r="C151" i="1"/>
  <c r="D151" i="1"/>
  <c r="B151" i="1"/>
  <c r="C150" i="1"/>
  <c r="D150" i="1"/>
  <c r="B150" i="1"/>
  <c r="C149" i="1"/>
  <c r="D149" i="1"/>
  <c r="B149" i="1"/>
  <c r="C148" i="1"/>
  <c r="D148" i="1"/>
  <c r="B148" i="1"/>
  <c r="C129" i="1"/>
  <c r="D129" i="1"/>
  <c r="B129" i="1"/>
  <c r="C119" i="1"/>
  <c r="D119" i="1"/>
  <c r="B119" i="1"/>
  <c r="C109" i="1"/>
  <c r="D109" i="1"/>
  <c r="B109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3" i="1"/>
  <c r="D93" i="1"/>
  <c r="B93" i="1"/>
  <c r="C92" i="1"/>
  <c r="D92" i="1"/>
  <c r="B92" i="1"/>
  <c r="C87" i="1"/>
  <c r="D87" i="1"/>
  <c r="B87" i="1"/>
  <c r="C86" i="1"/>
  <c r="D86" i="1"/>
  <c r="B86" i="1"/>
  <c r="D83" i="1"/>
  <c r="C83" i="1"/>
  <c r="B83" i="1"/>
  <c r="C79" i="1"/>
  <c r="D79" i="1"/>
  <c r="C81" i="1"/>
  <c r="D81" i="1"/>
  <c r="B81" i="1"/>
  <c r="B79" i="1"/>
  <c r="C77" i="1"/>
  <c r="D77" i="1"/>
  <c r="B77" i="1"/>
  <c r="C76" i="1"/>
  <c r="D76" i="1"/>
  <c r="B76" i="1"/>
  <c r="C74" i="1"/>
  <c r="D74" i="1"/>
  <c r="B74" i="1"/>
  <c r="C73" i="1"/>
  <c r="D73" i="1"/>
  <c r="B73" i="1"/>
  <c r="C71" i="1"/>
  <c r="D71" i="1"/>
  <c r="B71" i="1"/>
  <c r="C69" i="1"/>
  <c r="D69" i="1"/>
  <c r="B69" i="1"/>
  <c r="C67" i="1"/>
  <c r="D67" i="1"/>
  <c r="B67" i="1"/>
  <c r="C66" i="1"/>
  <c r="D66" i="1"/>
  <c r="B66" i="1"/>
  <c r="C59" i="1"/>
  <c r="D59" i="1"/>
  <c r="B59" i="1"/>
  <c r="C58" i="1"/>
  <c r="D58" i="1"/>
  <c r="B58" i="1"/>
  <c r="C57" i="1"/>
  <c r="D57" i="1"/>
  <c r="B57" i="1"/>
  <c r="C56" i="1"/>
  <c r="D56" i="1"/>
  <c r="B56" i="1"/>
  <c r="C55" i="1"/>
  <c r="D55" i="1"/>
  <c r="B55" i="1"/>
  <c r="C54" i="1"/>
  <c r="D54" i="1"/>
  <c r="B54" i="1"/>
  <c r="C52" i="1"/>
  <c r="D52" i="1"/>
  <c r="B52" i="1"/>
  <c r="C51" i="1"/>
  <c r="D51" i="1"/>
  <c r="B51" i="1"/>
  <c r="C50" i="1"/>
  <c r="D50" i="1"/>
  <c r="B50" i="1"/>
  <c r="C49" i="1"/>
  <c r="D49" i="1"/>
  <c r="B49" i="1"/>
  <c r="C48" i="1"/>
  <c r="D48" i="1"/>
  <c r="B48" i="1"/>
  <c r="C47" i="1"/>
  <c r="D47" i="1"/>
  <c r="B47" i="1"/>
  <c r="C45" i="1"/>
  <c r="D45" i="1"/>
  <c r="B45" i="1"/>
  <c r="C44" i="1"/>
  <c r="D44" i="1"/>
  <c r="B44" i="1"/>
  <c r="C43" i="1"/>
  <c r="D43" i="1"/>
  <c r="B43" i="1"/>
  <c r="C42" i="1"/>
  <c r="D42" i="1"/>
  <c r="B42" i="1"/>
  <c r="C41" i="1"/>
  <c r="D41" i="1"/>
  <c r="B41" i="1"/>
  <c r="C26" i="1"/>
  <c r="D26" i="1"/>
  <c r="C27" i="1"/>
  <c r="D27" i="1"/>
  <c r="B27" i="1"/>
  <c r="B26" i="1"/>
  <c r="C25" i="1"/>
  <c r="D25" i="1"/>
  <c r="B25" i="1"/>
  <c r="C30" i="1"/>
  <c r="D30" i="1"/>
  <c r="C31" i="1"/>
  <c r="D31" i="1"/>
  <c r="B31" i="1"/>
  <c r="B30" i="1"/>
  <c r="C29" i="1"/>
  <c r="D29" i="1"/>
  <c r="B29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4" i="1"/>
  <c r="D24" i="1"/>
  <c r="B24" i="1"/>
  <c r="C23" i="1"/>
  <c r="D23" i="1"/>
  <c r="B23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216" i="1"/>
  <c r="C215" i="1"/>
  <c r="D215" i="1"/>
  <c r="B215" i="1"/>
  <c r="C216" i="1"/>
  <c r="B216" i="1"/>
  <c r="C224" i="1"/>
  <c r="D224" i="1"/>
  <c r="B224" i="1"/>
  <c r="C225" i="1"/>
  <c r="D225" i="1"/>
  <c r="B225" i="1"/>
  <c r="C227" i="1"/>
  <c r="D227" i="1"/>
  <c r="C228" i="1"/>
  <c r="D228" i="1"/>
  <c r="B228" i="1"/>
  <c r="B227" i="1"/>
  <c r="C226" i="1"/>
  <c r="D226" i="1"/>
  <c r="B226" i="1"/>
  <c r="C233" i="1"/>
  <c r="D233" i="1"/>
  <c r="B233" i="1"/>
  <c r="C238" i="1"/>
  <c r="D238" i="1"/>
  <c r="B238" i="1"/>
  <c r="C244" i="1"/>
  <c r="D244" i="1"/>
  <c r="B244" i="1"/>
  <c r="C242" i="1"/>
  <c r="D242" i="1"/>
  <c r="B242" i="1"/>
  <c r="C241" i="1"/>
  <c r="D241" i="1"/>
  <c r="B241" i="1"/>
  <c r="C240" i="1"/>
  <c r="D240" i="1"/>
  <c r="B240" i="1"/>
  <c r="C239" i="1"/>
  <c r="D239" i="1"/>
  <c r="B239" i="1"/>
  <c r="C245" i="1"/>
  <c r="D245" i="1"/>
  <c r="B245" i="1"/>
  <c r="C246" i="1"/>
  <c r="D246" i="1"/>
  <c r="B246" i="1"/>
  <c r="C247" i="1"/>
  <c r="D247" i="1"/>
  <c r="B247" i="1"/>
  <c r="C253" i="1"/>
  <c r="D253" i="1"/>
  <c r="B253" i="1"/>
  <c r="C254" i="1"/>
  <c r="D254" i="1"/>
  <c r="B254" i="1"/>
  <c r="C255" i="1"/>
  <c r="D255" i="1"/>
  <c r="B255" i="1"/>
  <c r="C261" i="1"/>
  <c r="D261" i="1"/>
  <c r="B261" i="1"/>
  <c r="C262" i="1"/>
  <c r="D262" i="1"/>
  <c r="B262" i="1"/>
  <c r="C264" i="1"/>
  <c r="D264" i="1"/>
  <c r="B264" i="1"/>
  <c r="C265" i="1"/>
  <c r="D265" i="1"/>
  <c r="B265" i="1"/>
  <c r="C266" i="1"/>
  <c r="D266" i="1"/>
  <c r="B266" i="1"/>
  <c r="C275" i="1"/>
  <c r="D275" i="1"/>
  <c r="B275" i="1"/>
  <c r="C276" i="1"/>
  <c r="D276" i="1"/>
  <c r="B276" i="1"/>
  <c r="C279" i="1"/>
  <c r="D279" i="1"/>
  <c r="B279" i="1"/>
  <c r="C280" i="1"/>
  <c r="D280" i="1"/>
  <c r="B280" i="1"/>
  <c r="C284" i="1"/>
  <c r="D284" i="1"/>
  <c r="B284" i="1"/>
  <c r="C283" i="1"/>
  <c r="D283" i="1"/>
  <c r="B283" i="1"/>
  <c r="C282" i="1"/>
  <c r="D282" i="1"/>
  <c r="B282" i="1"/>
  <c r="C281" i="1"/>
  <c r="D281" i="1"/>
  <c r="B281" i="1"/>
  <c r="C285" i="1"/>
  <c r="D285" i="1"/>
  <c r="B285" i="1"/>
  <c r="C298" i="1"/>
  <c r="D298" i="1"/>
  <c r="B298" i="1"/>
  <c r="C270" i="1"/>
  <c r="D270" i="1"/>
  <c r="B270" i="1"/>
  <c r="C306" i="1"/>
  <c r="D306" i="1"/>
  <c r="B306" i="1"/>
  <c r="C314" i="1"/>
  <c r="D314" i="1"/>
  <c r="B314" i="1"/>
  <c r="C315" i="1"/>
  <c r="D315" i="1"/>
  <c r="B315" i="1"/>
  <c r="C316" i="1"/>
  <c r="D316" i="1"/>
  <c r="B316" i="1"/>
  <c r="C317" i="1"/>
  <c r="D317" i="1"/>
  <c r="B317" i="1"/>
  <c r="C318" i="1"/>
  <c r="D318" i="1"/>
  <c r="B318" i="1"/>
  <c r="C319" i="1"/>
  <c r="D319" i="1"/>
  <c r="B319" i="1"/>
  <c r="C328" i="1"/>
  <c r="D328" i="1"/>
  <c r="B328" i="1"/>
  <c r="C329" i="1"/>
  <c r="D329" i="1"/>
  <c r="B329" i="1"/>
  <c r="C330" i="1"/>
  <c r="D330" i="1"/>
  <c r="B330" i="1"/>
  <c r="C331" i="1"/>
  <c r="D331" i="1"/>
  <c r="B331" i="1"/>
  <c r="C332" i="1"/>
  <c r="D332" i="1"/>
  <c r="B332" i="1"/>
  <c r="C327" i="1"/>
  <c r="B327" i="1"/>
  <c r="C323" i="1"/>
  <c r="B323" i="1"/>
  <c r="C313" i="1"/>
  <c r="B313" i="1"/>
  <c r="C310" i="1"/>
  <c r="B310" i="1"/>
  <c r="C303" i="1"/>
  <c r="B303" i="1"/>
  <c r="C274" i="1"/>
  <c r="B274" i="1"/>
  <c r="C269" i="1"/>
  <c r="B269" i="1"/>
  <c r="C237" i="1"/>
  <c r="B237" i="1"/>
  <c r="C223" i="1"/>
  <c r="B223" i="1"/>
  <c r="C214" i="1"/>
  <c r="B214" i="1"/>
  <c r="C135" i="1"/>
  <c r="B135" i="1"/>
  <c r="C98" i="1"/>
  <c r="B98" i="1"/>
  <c r="C65" i="1"/>
  <c r="B65" i="1"/>
  <c r="C15" i="1"/>
  <c r="B15" i="1"/>
  <c r="D327" i="1"/>
  <c r="D323" i="1"/>
  <c r="D313" i="1"/>
  <c r="D310" i="1"/>
  <c r="D303" i="1"/>
  <c r="D274" i="1"/>
  <c r="D269" i="1"/>
  <c r="D237" i="1"/>
  <c r="D223" i="1"/>
  <c r="D214" i="1"/>
  <c r="D135" i="1"/>
  <c r="D98" i="1"/>
  <c r="D65" i="1"/>
  <c r="D15" i="1"/>
  <c r="F159" i="3"/>
  <c r="G38" i="1"/>
  <c r="E15" i="3"/>
  <c r="E327" i="1"/>
  <c r="E67" i="1"/>
  <c r="D19" i="3" s="1"/>
  <c r="E19" i="3"/>
  <c r="P109" i="1"/>
  <c r="O47" i="3" s="1"/>
  <c r="P138" i="1"/>
  <c r="E27" i="1"/>
  <c r="E144" i="3"/>
  <c r="F25" i="1"/>
  <c r="E28" i="1"/>
  <c r="E41" i="1"/>
  <c r="E149" i="3"/>
  <c r="O107" i="1"/>
  <c r="G35" i="1"/>
  <c r="G20" i="1"/>
  <c r="D32" i="3"/>
  <c r="H206" i="3"/>
  <c r="F18" i="3"/>
  <c r="G221" i="1"/>
  <c r="G220" i="1" s="1"/>
  <c r="E237" i="1"/>
  <c r="E214" i="1"/>
  <c r="E123" i="1"/>
  <c r="P123" i="1" s="1"/>
  <c r="O61" i="3" s="1"/>
  <c r="P85" i="1"/>
  <c r="P84" i="1" s="1"/>
  <c r="E84" i="1"/>
  <c r="E225" i="1"/>
  <c r="D146" i="3" s="1"/>
  <c r="E146" i="3"/>
  <c r="E54" i="1"/>
  <c r="D225" i="3" s="1"/>
  <c r="E44" i="1"/>
  <c r="D205" i="3" s="1"/>
  <c r="D189" i="3"/>
  <c r="E229" i="3"/>
  <c r="E154" i="3"/>
  <c r="J135" i="1"/>
  <c r="N29" i="1"/>
  <c r="J316" i="1"/>
  <c r="M219" i="3"/>
  <c r="I111" i="3"/>
  <c r="O281" i="1"/>
  <c r="J136" i="1"/>
  <c r="E48" i="3"/>
  <c r="J253" i="1"/>
  <c r="M187" i="3"/>
  <c r="J335" i="1"/>
  <c r="P291" i="1"/>
  <c r="P288" i="1" s="1"/>
  <c r="J68" i="1"/>
  <c r="I20" i="3" s="1"/>
  <c r="J297" i="1"/>
  <c r="D61" i="3"/>
  <c r="D147" i="3"/>
  <c r="O67" i="3"/>
  <c r="P182" i="1"/>
  <c r="O111" i="3" s="1"/>
  <c r="D15" i="3"/>
  <c r="P16" i="1"/>
  <c r="O15" i="3" s="1"/>
  <c r="P153" i="1"/>
  <c r="P293" i="1"/>
  <c r="P292" i="1" s="1"/>
  <c r="E39" i="1"/>
  <c r="D159" i="3" s="1"/>
  <c r="E159" i="3"/>
  <c r="E275" i="1"/>
  <c r="E170" i="3"/>
  <c r="E72" i="1"/>
  <c r="D24" i="3" s="1"/>
  <c r="E24" i="3"/>
  <c r="P259" i="1"/>
  <c r="J43" i="1"/>
  <c r="O20" i="1"/>
  <c r="E225" i="3"/>
  <c r="O64" i="1"/>
  <c r="O239" i="1"/>
  <c r="N312" i="1"/>
  <c r="N311" i="1" s="1"/>
  <c r="N43" i="1"/>
  <c r="M221" i="1"/>
  <c r="M220" i="1" s="1"/>
  <c r="F318" i="1"/>
  <c r="F119" i="1"/>
  <c r="F38" i="1"/>
  <c r="E318" i="1"/>
  <c r="M133" i="1"/>
  <c r="M132" i="1" s="1"/>
  <c r="F171" i="1"/>
  <c r="F148" i="1"/>
  <c r="D224" i="3"/>
  <c r="D177" i="3"/>
  <c r="E59" i="3"/>
  <c r="E81" i="3"/>
  <c r="P186" i="1"/>
  <c r="O122" i="3" s="1"/>
  <c r="D122" i="3"/>
  <c r="E82" i="3"/>
  <c r="E46" i="1"/>
  <c r="D209" i="3" s="1"/>
  <c r="E209" i="3"/>
  <c r="E157" i="3"/>
  <c r="E244" i="1"/>
  <c r="D168" i="3" s="1"/>
  <c r="M206" i="3"/>
  <c r="M204" i="3" s="1"/>
  <c r="J208" i="1"/>
  <c r="M144" i="3"/>
  <c r="E106" i="1"/>
  <c r="D44" i="3" s="1"/>
  <c r="E44" i="3"/>
  <c r="M28" i="3"/>
  <c r="J159" i="3"/>
  <c r="J39" i="1"/>
  <c r="P118" i="1"/>
  <c r="O56" i="3" s="1"/>
  <c r="P121" i="1"/>
  <c r="O59" i="3" s="1"/>
  <c r="I48" i="3"/>
  <c r="E108" i="3"/>
  <c r="D38" i="3"/>
  <c r="P156" i="1"/>
  <c r="O85" i="3" s="1"/>
  <c r="D85" i="3"/>
  <c r="D103" i="3"/>
  <c r="I141" i="3"/>
  <c r="D108" i="3"/>
  <c r="P177" i="1"/>
  <c r="O106" i="3" s="1"/>
  <c r="D43" i="3"/>
  <c r="D93" i="3"/>
  <c r="P275" i="1"/>
  <c r="O208" i="3"/>
  <c r="O207" i="3" s="1"/>
  <c r="D86" i="3"/>
  <c r="L273" i="1" l="1"/>
  <c r="K64" i="1"/>
  <c r="I273" i="1"/>
  <c r="I236" i="1"/>
  <c r="I64" i="1"/>
  <c r="H273" i="1"/>
  <c r="H236" i="1"/>
  <c r="H97" i="1"/>
  <c r="G273" i="1"/>
  <c r="G236" i="1"/>
  <c r="G97" i="1"/>
  <c r="H272" i="1"/>
  <c r="H271" i="1" s="1"/>
  <c r="J46" i="3"/>
  <c r="E51" i="3"/>
  <c r="N218" i="3"/>
  <c r="L221" i="1"/>
  <c r="L220" i="1" s="1"/>
  <c r="P209" i="1"/>
  <c r="P48" i="1"/>
  <c r="P27" i="1"/>
  <c r="E25" i="1"/>
  <c r="F272" i="1"/>
  <c r="F271" i="1" s="1"/>
  <c r="F63" i="1"/>
  <c r="F62" i="1" s="1"/>
  <c r="H133" i="1"/>
  <c r="H132" i="1" s="1"/>
  <c r="G118" i="3"/>
  <c r="G117" i="3" s="1"/>
  <c r="H20" i="1"/>
  <c r="H14" i="1" s="1"/>
  <c r="H13" i="1" s="1"/>
  <c r="P310" i="1"/>
  <c r="P309" i="1" s="1"/>
  <c r="P308" i="1" s="1"/>
  <c r="E309" i="1"/>
  <c r="E308" i="1" s="1"/>
  <c r="D55" i="3"/>
  <c r="E113" i="1"/>
  <c r="P162" i="1"/>
  <c r="O91" i="3" s="1"/>
  <c r="D91" i="3"/>
  <c r="D78" i="3"/>
  <c r="P149" i="1"/>
  <c r="O78" i="3" s="1"/>
  <c r="P300" i="1"/>
  <c r="P299" i="1" s="1"/>
  <c r="E299" i="1"/>
  <c r="P250" i="1"/>
  <c r="O173" i="3" s="1"/>
  <c r="O171" i="3" s="1"/>
  <c r="D173" i="3"/>
  <c r="D171" i="3" s="1"/>
  <c r="E248" i="1"/>
  <c r="M14" i="3"/>
  <c r="I47" i="3"/>
  <c r="J107" i="1"/>
  <c r="I114" i="3"/>
  <c r="I113" i="3" s="1"/>
  <c r="J184" i="1"/>
  <c r="I150" i="3"/>
  <c r="J224" i="3"/>
  <c r="P80" i="1"/>
  <c r="I33" i="3"/>
  <c r="I31" i="3" s="1"/>
  <c r="I17" i="3" s="1"/>
  <c r="I74" i="3"/>
  <c r="I72" i="3" s="1"/>
  <c r="P145" i="1"/>
  <c r="O74" i="3" s="1"/>
  <c r="J234" i="3"/>
  <c r="J232" i="3" s="1"/>
  <c r="J255" i="1"/>
  <c r="P255" i="1" s="1"/>
  <c r="M193" i="3"/>
  <c r="M191" i="3"/>
  <c r="J284" i="1"/>
  <c r="I191" i="3" s="1"/>
  <c r="E14" i="3"/>
  <c r="E13" i="3" s="1"/>
  <c r="J127" i="1"/>
  <c r="N125" i="1"/>
  <c r="N96" i="1" s="1"/>
  <c r="N95" i="1" s="1"/>
  <c r="J128" i="1"/>
  <c r="N126" i="1"/>
  <c r="N97" i="1" s="1"/>
  <c r="J290" i="1"/>
  <c r="J287" i="1" s="1"/>
  <c r="N287" i="1"/>
  <c r="D102" i="3"/>
  <c r="P260" i="1"/>
  <c r="P257" i="1" s="1"/>
  <c r="I144" i="3"/>
  <c r="D81" i="3"/>
  <c r="E292" i="1"/>
  <c r="E119" i="1"/>
  <c r="I225" i="3"/>
  <c r="P117" i="1"/>
  <c r="O55" i="3" s="1"/>
  <c r="J143" i="1"/>
  <c r="P335" i="1"/>
  <c r="P189" i="1"/>
  <c r="O125" i="3" s="1"/>
  <c r="F325" i="1"/>
  <c r="F324" i="1" s="1"/>
  <c r="M213" i="1"/>
  <c r="M212" i="1" s="1"/>
  <c r="L14" i="1"/>
  <c r="L13" i="1" s="1"/>
  <c r="K213" i="1"/>
  <c r="K212" i="1" s="1"/>
  <c r="O206" i="1"/>
  <c r="L133" i="1"/>
  <c r="L132" i="1" s="1"/>
  <c r="H181" i="3"/>
  <c r="P265" i="1"/>
  <c r="J78" i="1"/>
  <c r="D213" i="3"/>
  <c r="D211" i="3" s="1"/>
  <c r="D201" i="3" s="1"/>
  <c r="E295" i="1"/>
  <c r="E273" i="1" s="1"/>
  <c r="P297" i="1"/>
  <c r="P316" i="1"/>
  <c r="O219" i="3" s="1"/>
  <c r="E236" i="1"/>
  <c r="M273" i="1"/>
  <c r="M64" i="1"/>
  <c r="F273" i="1"/>
  <c r="I96" i="1"/>
  <c r="I63" i="1"/>
  <c r="I62" i="1" s="1"/>
  <c r="M134" i="1"/>
  <c r="H148" i="3"/>
  <c r="E281" i="1"/>
  <c r="D187" i="3"/>
  <c r="P94" i="1"/>
  <c r="D156" i="3"/>
  <c r="O312" i="1"/>
  <c r="O311" i="1" s="1"/>
  <c r="N14" i="3"/>
  <c r="L57" i="3"/>
  <c r="I82" i="3"/>
  <c r="P227" i="1"/>
  <c r="I228" i="3"/>
  <c r="I227" i="3" s="1"/>
  <c r="J120" i="1"/>
  <c r="P116" i="1"/>
  <c r="O54" i="3" s="1"/>
  <c r="N51" i="3"/>
  <c r="L58" i="3"/>
  <c r="F97" i="1"/>
  <c r="J295" i="1"/>
  <c r="J88" i="1"/>
  <c r="J89" i="1"/>
  <c r="P91" i="1"/>
  <c r="P89" i="1" s="1"/>
  <c r="P128" i="1"/>
  <c r="P126" i="1" s="1"/>
  <c r="J126" i="1"/>
  <c r="K133" i="1"/>
  <c r="K132" i="1" s="1"/>
  <c r="E330" i="1"/>
  <c r="D237" i="3" s="1"/>
  <c r="E237" i="3"/>
  <c r="E33" i="1"/>
  <c r="E153" i="3"/>
  <c r="E152" i="3" s="1"/>
  <c r="J224" i="1"/>
  <c r="I26" i="3" s="1"/>
  <c r="M26" i="3"/>
  <c r="I116" i="3"/>
  <c r="I115" i="3" s="1"/>
  <c r="J215" i="1"/>
  <c r="J212" i="3"/>
  <c r="J210" i="3" s="1"/>
  <c r="J296" i="1"/>
  <c r="O68" i="3"/>
  <c r="P137" i="1"/>
  <c r="M135" i="3"/>
  <c r="J199" i="1"/>
  <c r="I135" i="3" s="1"/>
  <c r="N196" i="1"/>
  <c r="N197" i="1" s="1"/>
  <c r="N134" i="1" s="1"/>
  <c r="J231" i="1"/>
  <c r="N229" i="1"/>
  <c r="N221" i="1" s="1"/>
  <c r="N220" i="1" s="1"/>
  <c r="D229" i="3"/>
  <c r="P290" i="1"/>
  <c r="P287" i="1" s="1"/>
  <c r="N88" i="1"/>
  <c r="N63" i="1" s="1"/>
  <c r="N62" i="1" s="1"/>
  <c r="P28" i="1"/>
  <c r="O147" i="3" s="1"/>
  <c r="J30" i="1"/>
  <c r="J29" i="1" s="1"/>
  <c r="D198" i="3"/>
  <c r="P237" i="1"/>
  <c r="O236" i="1"/>
  <c r="N288" i="1"/>
  <c r="N273" i="1" s="1"/>
  <c r="N257" i="1"/>
  <c r="N236" i="1" s="1"/>
  <c r="N89" i="1"/>
  <c r="N64" i="1" s="1"/>
  <c r="L64" i="1"/>
  <c r="M96" i="1"/>
  <c r="M63" i="1"/>
  <c r="M62" i="1" s="1"/>
  <c r="I221" i="1"/>
  <c r="I220" i="1" s="1"/>
  <c r="E197" i="1"/>
  <c r="K221" i="1"/>
  <c r="K220" i="1" s="1"/>
  <c r="H169" i="3"/>
  <c r="F32" i="3"/>
  <c r="F30" i="3" s="1"/>
  <c r="F16" i="3" s="1"/>
  <c r="G77" i="1"/>
  <c r="G63" i="1" s="1"/>
  <c r="G62" i="1" s="1"/>
  <c r="E302" i="1"/>
  <c r="E301" i="1" s="1"/>
  <c r="P65" i="1"/>
  <c r="P81" i="1"/>
  <c r="O34" i="3" s="1"/>
  <c r="E204" i="1"/>
  <c r="D140" i="3" s="1"/>
  <c r="E140" i="3"/>
  <c r="P140" i="1"/>
  <c r="O69" i="3" s="1"/>
  <c r="D69" i="3"/>
  <c r="D65" i="3" s="1"/>
  <c r="E136" i="1"/>
  <c r="D144" i="3"/>
  <c r="E23" i="1"/>
  <c r="D120" i="3" s="1"/>
  <c r="D119" i="3" s="1"/>
  <c r="F22" i="1"/>
  <c r="E51" i="1"/>
  <c r="D222" i="3" s="1"/>
  <c r="E222" i="3"/>
  <c r="E315" i="1"/>
  <c r="E217" i="3"/>
  <c r="I276" i="1"/>
  <c r="E279" i="1"/>
  <c r="H180" i="3"/>
  <c r="J198" i="1"/>
  <c r="I134" i="3" s="1"/>
  <c r="I132" i="3" s="1"/>
  <c r="J225" i="1"/>
  <c r="I146" i="3" s="1"/>
  <c r="M146" i="3"/>
  <c r="J53" i="1"/>
  <c r="K52" i="1"/>
  <c r="K14" i="1" s="1"/>
  <c r="K13" i="1" s="1"/>
  <c r="K134" i="1"/>
  <c r="I70" i="3"/>
  <c r="E124" i="1"/>
  <c r="E62" i="3"/>
  <c r="E58" i="3" s="1"/>
  <c r="E102" i="1"/>
  <c r="D40" i="3" s="1"/>
  <c r="E40" i="3"/>
  <c r="E205" i="1"/>
  <c r="D141" i="3" s="1"/>
  <c r="E141" i="3"/>
  <c r="P304" i="1"/>
  <c r="K96" i="1"/>
  <c r="K95" i="1" s="1"/>
  <c r="H235" i="1"/>
  <c r="H234" i="1" s="1"/>
  <c r="H221" i="1"/>
  <c r="H220" i="1" s="1"/>
  <c r="G133" i="1"/>
  <c r="G132" i="1" s="1"/>
  <c r="G14" i="1"/>
  <c r="G13" i="1" s="1"/>
  <c r="F148" i="3"/>
  <c r="P18" i="1"/>
  <c r="P319" i="1"/>
  <c r="P318" i="1" s="1"/>
  <c r="P49" i="1"/>
  <c r="P92" i="1"/>
  <c r="E256" i="1"/>
  <c r="D193" i="3"/>
  <c r="P329" i="1"/>
  <c r="P320" i="1"/>
  <c r="E38" i="1"/>
  <c r="P242" i="1"/>
  <c r="O166" i="3" s="1"/>
  <c r="O325" i="1"/>
  <c r="O324" i="1" s="1"/>
  <c r="N177" i="3"/>
  <c r="O276" i="1"/>
  <c r="O272" i="1" s="1"/>
  <c r="O271" i="1" s="1"/>
  <c r="L148" i="3"/>
  <c r="L145" i="3" s="1"/>
  <c r="K148" i="3"/>
  <c r="K145" i="3" s="1"/>
  <c r="J274" i="1"/>
  <c r="P274" i="1" s="1"/>
  <c r="P228" i="1"/>
  <c r="D199" i="3"/>
  <c r="D196" i="3" s="1"/>
  <c r="D186" i="3" s="1"/>
  <c r="P122" i="1"/>
  <c r="O60" i="3" s="1"/>
  <c r="J108" i="1"/>
  <c r="O63" i="1"/>
  <c r="O62" i="1" s="1"/>
  <c r="J93" i="1"/>
  <c r="I234" i="3" s="1"/>
  <c r="I232" i="3" s="1"/>
  <c r="I226" i="3" s="1"/>
  <c r="P280" i="1"/>
  <c r="I123" i="3"/>
  <c r="P74" i="1"/>
  <c r="O27" i="3" s="1"/>
  <c r="P54" i="1"/>
  <c r="P46" i="1"/>
  <c r="O209" i="3" s="1"/>
  <c r="P178" i="1"/>
  <c r="O107" i="3" s="1"/>
  <c r="E52" i="1"/>
  <c r="J17" i="1"/>
  <c r="J223" i="3"/>
  <c r="I54" i="3"/>
  <c r="J155" i="1"/>
  <c r="I193" i="3"/>
  <c r="P105" i="1"/>
  <c r="O43" i="3" s="1"/>
  <c r="P244" i="1"/>
  <c r="O168" i="3" s="1"/>
  <c r="I109" i="3"/>
  <c r="P181" i="1"/>
  <c r="O110" i="3" s="1"/>
  <c r="I90" i="3"/>
  <c r="P165" i="1"/>
  <c r="O94" i="3" s="1"/>
  <c r="I86" i="3"/>
  <c r="P253" i="1"/>
  <c r="D46" i="3"/>
  <c r="M13" i="3"/>
  <c r="P247" i="1"/>
  <c r="I131" i="3"/>
  <c r="I103" i="3"/>
  <c r="I101" i="3" s="1"/>
  <c r="P169" i="1"/>
  <c r="O98" i="3" s="1"/>
  <c r="J32" i="1"/>
  <c r="P160" i="1"/>
  <c r="O89" i="3" s="1"/>
  <c r="I245" i="3"/>
  <c r="O245" i="3" s="1"/>
  <c r="O243" i="3" s="1"/>
  <c r="J172" i="1"/>
  <c r="P194" i="1"/>
  <c r="O130" i="3" s="1"/>
  <c r="J154" i="1"/>
  <c r="D95" i="3"/>
  <c r="E158" i="3"/>
  <c r="D112" i="3"/>
  <c r="O65" i="3"/>
  <c r="P225" i="1"/>
  <c r="O146" i="3" s="1"/>
  <c r="P238" i="1"/>
  <c r="L96" i="1"/>
  <c r="L95" i="1" s="1"/>
  <c r="K235" i="1"/>
  <c r="K234" i="1" s="1"/>
  <c r="H96" i="1"/>
  <c r="H95" i="1" s="1"/>
  <c r="F96" i="1"/>
  <c r="F95" i="1" s="1"/>
  <c r="H127" i="3"/>
  <c r="H155" i="3"/>
  <c r="H175" i="3"/>
  <c r="G204" i="3"/>
  <c r="G200" i="3" s="1"/>
  <c r="G195" i="3"/>
  <c r="H46" i="3"/>
  <c r="G58" i="3"/>
  <c r="E52" i="3"/>
  <c r="P164" i="1"/>
  <c r="O93" i="3" s="1"/>
  <c r="P261" i="1"/>
  <c r="N71" i="3"/>
  <c r="M127" i="3"/>
  <c r="L51" i="3"/>
  <c r="L223" i="3"/>
  <c r="L216" i="3" s="1"/>
  <c r="L195" i="3"/>
  <c r="J71" i="3"/>
  <c r="I218" i="3"/>
  <c r="F52" i="3"/>
  <c r="F58" i="3"/>
  <c r="F46" i="3"/>
  <c r="F72" i="3"/>
  <c r="F66" i="3"/>
  <c r="M72" i="3"/>
  <c r="L46" i="3"/>
  <c r="P200" i="1"/>
  <c r="O136" i="3" s="1"/>
  <c r="P243" i="1"/>
  <c r="O167" i="3" s="1"/>
  <c r="P208" i="1"/>
  <c r="P158" i="1"/>
  <c r="O87" i="3" s="1"/>
  <c r="P135" i="1"/>
  <c r="P111" i="1"/>
  <c r="O49" i="3" s="1"/>
  <c r="O45" i="3" s="1"/>
  <c r="O96" i="1"/>
  <c r="O95" i="1" s="1"/>
  <c r="D37" i="3"/>
  <c r="P73" i="1"/>
  <c r="O25" i="3" s="1"/>
  <c r="N14" i="1"/>
  <c r="N13" i="1" s="1"/>
  <c r="F77" i="3"/>
  <c r="H17" i="3"/>
  <c r="N163" i="3"/>
  <c r="H83" i="3"/>
  <c r="G77" i="3"/>
  <c r="L163" i="3"/>
  <c r="L227" i="3"/>
  <c r="K83" i="3"/>
  <c r="J163" i="3"/>
  <c r="I57" i="3"/>
  <c r="O57" i="3"/>
  <c r="M17" i="3"/>
  <c r="D57" i="3"/>
  <c r="N232" i="3"/>
  <c r="M227" i="3"/>
  <c r="L30" i="3"/>
  <c r="L16" i="3" s="1"/>
  <c r="L142" i="3"/>
  <c r="L158" i="3"/>
  <c r="L155" i="3"/>
  <c r="K204" i="3"/>
  <c r="K200" i="3" s="1"/>
  <c r="K195" i="3"/>
  <c r="J45" i="3"/>
  <c r="J123" i="3"/>
  <c r="J127" i="3"/>
  <c r="J152" i="3"/>
  <c r="G13" i="3"/>
  <c r="J227" i="3"/>
  <c r="G57" i="3"/>
  <c r="F223" i="3"/>
  <c r="F204" i="3"/>
  <c r="F200" i="3" s="1"/>
  <c r="E45" i="3"/>
  <c r="I45" i="3"/>
  <c r="N101" i="3"/>
  <c r="M51" i="3"/>
  <c r="M84" i="3"/>
  <c r="J51" i="3"/>
  <c r="K45" i="3"/>
  <c r="I170" i="3"/>
  <c r="I187" i="3"/>
  <c r="O235" i="1"/>
  <c r="O234" i="1" s="1"/>
  <c r="P254" i="1"/>
  <c r="E148" i="3"/>
  <c r="E145" i="3" s="1"/>
  <c r="O221" i="1"/>
  <c r="O220" i="1" s="1"/>
  <c r="M148" i="3"/>
  <c r="J226" i="1"/>
  <c r="M142" i="3"/>
  <c r="E148" i="1"/>
  <c r="D80" i="3"/>
  <c r="I159" i="3"/>
  <c r="P39" i="1"/>
  <c r="O159" i="3" s="1"/>
  <c r="K63" i="1"/>
  <c r="K62" i="1" s="1"/>
  <c r="J52" i="1"/>
  <c r="P53" i="1"/>
  <c r="P52" i="1" s="1"/>
  <c r="F84" i="3"/>
  <c r="J113" i="1"/>
  <c r="P115" i="1"/>
  <c r="I53" i="3"/>
  <c r="I52" i="3" s="1"/>
  <c r="I40" i="3"/>
  <c r="P102" i="1"/>
  <c r="O40" i="3" s="1"/>
  <c r="I38" i="3"/>
  <c r="P100" i="1"/>
  <c r="O38" i="3" s="1"/>
  <c r="P72" i="1"/>
  <c r="O24" i="3" s="1"/>
  <c r="P70" i="1"/>
  <c r="O22" i="3" s="1"/>
  <c r="P104" i="1"/>
  <c r="O42" i="3" s="1"/>
  <c r="J41" i="1"/>
  <c r="P110" i="1"/>
  <c r="O48" i="3" s="1"/>
  <c r="H239" i="3"/>
  <c r="F163" i="3"/>
  <c r="F216" i="3"/>
  <c r="E101" i="3"/>
  <c r="E84" i="3"/>
  <c r="P69" i="1"/>
  <c r="O21" i="3" s="1"/>
  <c r="D51" i="3"/>
  <c r="P103" i="1"/>
  <c r="O41" i="3" s="1"/>
  <c r="P33" i="1"/>
  <c r="O153" i="3" s="1"/>
  <c r="L100" i="3"/>
  <c r="L83" i="3"/>
  <c r="L77" i="3"/>
  <c r="M158" i="3"/>
  <c r="M200" i="3"/>
  <c r="E77" i="3"/>
  <c r="O97" i="1"/>
  <c r="H30" i="3"/>
  <c r="H16" i="3" s="1"/>
  <c r="H71" i="3"/>
  <c r="H65" i="3"/>
  <c r="H223" i="3"/>
  <c r="H188" i="3"/>
  <c r="H163" i="3"/>
  <c r="G30" i="3"/>
  <c r="G45" i="3"/>
  <c r="G123" i="3"/>
  <c r="G142" i="3"/>
  <c r="G145" i="3"/>
  <c r="G175" i="3"/>
  <c r="F45" i="3"/>
  <c r="F123" i="3"/>
  <c r="F155" i="3"/>
  <c r="F152" i="3"/>
  <c r="F239" i="3"/>
  <c r="E30" i="3"/>
  <c r="H72" i="3"/>
  <c r="G51" i="3"/>
  <c r="G101" i="3"/>
  <c r="G66" i="3"/>
  <c r="E72" i="3"/>
  <c r="E66" i="3"/>
  <c r="P58" i="1"/>
  <c r="P57" i="1"/>
  <c r="O231" i="3" s="1"/>
  <c r="O230" i="3" s="1"/>
  <c r="P131" i="1"/>
  <c r="N30" i="3"/>
  <c r="N16" i="3" s="1"/>
  <c r="N145" i="3"/>
  <c r="N152" i="3"/>
  <c r="I71" i="3"/>
  <c r="I121" i="3"/>
  <c r="I217" i="3"/>
  <c r="N58" i="3"/>
  <c r="N84" i="3"/>
  <c r="N66" i="3"/>
  <c r="M52" i="3"/>
  <c r="M46" i="3"/>
  <c r="M66" i="3"/>
  <c r="L52" i="3"/>
  <c r="L36" i="3" s="1"/>
  <c r="L72" i="3"/>
  <c r="K17" i="3"/>
  <c r="K52" i="3"/>
  <c r="K58" i="3"/>
  <c r="K46" i="3"/>
  <c r="K72" i="3"/>
  <c r="K66" i="3"/>
  <c r="J58" i="3"/>
  <c r="E107" i="1"/>
  <c r="G16" i="3"/>
  <c r="P59" i="1"/>
  <c r="O236" i="3" s="1"/>
  <c r="O235" i="3" s="1"/>
  <c r="P50" i="1"/>
  <c r="O221" i="3" s="1"/>
  <c r="P45" i="1"/>
  <c r="O206" i="3" s="1"/>
  <c r="E43" i="1"/>
  <c r="I83" i="3"/>
  <c r="I65" i="3"/>
  <c r="I204" i="3"/>
  <c r="M101" i="3"/>
  <c r="L17" i="3"/>
  <c r="L84" i="3"/>
  <c r="K101" i="3"/>
  <c r="J158" i="3"/>
  <c r="I142" i="3"/>
  <c r="D195" i="3"/>
  <c r="H13" i="3"/>
  <c r="H57" i="3"/>
  <c r="H123" i="3"/>
  <c r="H142" i="3"/>
  <c r="H152" i="3"/>
  <c r="H195" i="3"/>
  <c r="H232" i="3"/>
  <c r="F65" i="3"/>
  <c r="F158" i="3"/>
  <c r="E71" i="3"/>
  <c r="E175" i="3"/>
  <c r="G162" i="3"/>
  <c r="E162" i="3"/>
  <c r="H204" i="3"/>
  <c r="H200" i="3" s="1"/>
  <c r="N13" i="3"/>
  <c r="L162" i="3"/>
  <c r="I51" i="3"/>
  <c r="P295" i="1"/>
  <c r="P273" i="1" s="1"/>
  <c r="O213" i="3"/>
  <c r="O211" i="3" s="1"/>
  <c r="O201" i="3" s="1"/>
  <c r="P307" i="1"/>
  <c r="P306" i="1" s="1"/>
  <c r="J306" i="1"/>
  <c r="J302" i="1" s="1"/>
  <c r="J301" i="1" s="1"/>
  <c r="P34" i="1"/>
  <c r="D154" i="3"/>
  <c r="E32" i="1"/>
  <c r="J38" i="1"/>
  <c r="H216" i="3"/>
  <c r="P170" i="1"/>
  <c r="O99" i="3" s="1"/>
  <c r="D99" i="3"/>
  <c r="I46" i="3"/>
  <c r="J273" i="1"/>
  <c r="L97" i="1"/>
  <c r="K97" i="1"/>
  <c r="K272" i="1"/>
  <c r="K271" i="1" s="1"/>
  <c r="I272" i="1"/>
  <c r="I271" i="1" s="1"/>
  <c r="F14" i="3"/>
  <c r="F13" i="3" s="1"/>
  <c r="F145" i="3"/>
  <c r="F312" i="1"/>
  <c r="F311" i="1" s="1"/>
  <c r="E313" i="1"/>
  <c r="P313" i="1" s="1"/>
  <c r="E76" i="1"/>
  <c r="E29" i="3"/>
  <c r="E224" i="1"/>
  <c r="E26" i="3"/>
  <c r="E71" i="1"/>
  <c r="E23" i="3"/>
  <c r="E66" i="1"/>
  <c r="E18" i="3"/>
  <c r="P144" i="1"/>
  <c r="O73" i="3" s="1"/>
  <c r="E142" i="1"/>
  <c r="E193" i="1"/>
  <c r="E129" i="3"/>
  <c r="E127" i="3" s="1"/>
  <c r="E190" i="1"/>
  <c r="E126" i="3"/>
  <c r="P216" i="1"/>
  <c r="E215" i="1"/>
  <c r="E213" i="1" s="1"/>
  <c r="E212" i="1" s="1"/>
  <c r="P150" i="1"/>
  <c r="D79" i="3"/>
  <c r="E31" i="1"/>
  <c r="E29" i="1" s="1"/>
  <c r="D148" i="3" s="1"/>
  <c r="D145" i="3" s="1"/>
  <c r="E150" i="3"/>
  <c r="D228" i="3"/>
  <c r="P245" i="1"/>
  <c r="O169" i="3" s="1"/>
  <c r="D169" i="3"/>
  <c r="E246" i="1"/>
  <c r="H170" i="3"/>
  <c r="J279" i="1"/>
  <c r="J241" i="1"/>
  <c r="I165" i="3" s="1"/>
  <c r="M165" i="3"/>
  <c r="J263" i="1"/>
  <c r="P263" i="1" s="1"/>
  <c r="P262" i="1" s="1"/>
  <c r="M224" i="3"/>
  <c r="M223" i="3" s="1"/>
  <c r="M216" i="3" s="1"/>
  <c r="N262" i="1"/>
  <c r="D88" i="3"/>
  <c r="D84" i="3" s="1"/>
  <c r="P159" i="1"/>
  <c r="O88" i="3" s="1"/>
  <c r="E143" i="1"/>
  <c r="O196" i="1"/>
  <c r="O197" i="1" s="1"/>
  <c r="N134" i="3"/>
  <c r="N132" i="3" s="1"/>
  <c r="N133" i="3" s="1"/>
  <c r="J21" i="1"/>
  <c r="M118" i="3"/>
  <c r="M117" i="3" s="1"/>
  <c r="J61" i="1"/>
  <c r="M250" i="3"/>
  <c r="M249" i="3" s="1"/>
  <c r="M239" i="3" s="1"/>
  <c r="E68" i="1"/>
  <c r="F64" i="1"/>
  <c r="J67" i="1"/>
  <c r="P67" i="1" s="1"/>
  <c r="O19" i="3" s="1"/>
  <c r="M19" i="3"/>
  <c r="J71" i="1"/>
  <c r="I23" i="3" s="1"/>
  <c r="M23" i="3"/>
  <c r="J283" i="1"/>
  <c r="I190" i="3" s="1"/>
  <c r="M190" i="3"/>
  <c r="E323" i="1"/>
  <c r="F322" i="1"/>
  <c r="F321" i="1" s="1"/>
  <c r="E185" i="1"/>
  <c r="F184" i="1"/>
  <c r="E166" i="3"/>
  <c r="E163" i="3" s="1"/>
  <c r="F239" i="1"/>
  <c r="F235" i="1" s="1"/>
  <c r="F234" i="1" s="1"/>
  <c r="J36" i="1"/>
  <c r="M156" i="3"/>
  <c r="M155" i="3" s="1"/>
  <c r="J240" i="1"/>
  <c r="M164" i="3"/>
  <c r="M163" i="3" s="1"/>
  <c r="N239" i="1"/>
  <c r="M189" i="3"/>
  <c r="M188" i="3" s="1"/>
  <c r="J282" i="1"/>
  <c r="I192" i="3"/>
  <c r="E181" i="3"/>
  <c r="F268" i="1"/>
  <c r="F267" i="1" s="1"/>
  <c r="N198" i="3"/>
  <c r="N195" i="3" s="1"/>
  <c r="P232" i="1"/>
  <c r="J230" i="1"/>
  <c r="J256" i="1"/>
  <c r="I199" i="3"/>
  <c r="I196" i="3" s="1"/>
  <c r="I186" i="3" s="1"/>
  <c r="J206" i="1"/>
  <c r="I248" i="3"/>
  <c r="I247" i="3" s="1"/>
  <c r="I152" i="3"/>
  <c r="J171" i="1"/>
  <c r="E154" i="1"/>
  <c r="P75" i="1"/>
  <c r="O28" i="3" s="1"/>
  <c r="P90" i="1"/>
  <c r="E239" i="1"/>
  <c r="I100" i="3"/>
  <c r="P175" i="1"/>
  <c r="P179" i="1"/>
  <c r="O108" i="3" s="1"/>
  <c r="P176" i="1"/>
  <c r="D101" i="3"/>
  <c r="D218" i="3"/>
  <c r="E172" i="1"/>
  <c r="P163" i="1"/>
  <c r="O92" i="3" s="1"/>
  <c r="P55" i="1"/>
  <c r="O228" i="3" s="1"/>
  <c r="O227" i="3" s="1"/>
  <c r="P44" i="1"/>
  <c r="P167" i="1"/>
  <c r="O96" i="3" s="1"/>
  <c r="P51" i="1"/>
  <c r="O222" i="3" s="1"/>
  <c r="E171" i="1"/>
  <c r="J114" i="1"/>
  <c r="J97" i="1" s="1"/>
  <c r="P168" i="1"/>
  <c r="O97" i="3" s="1"/>
  <c r="P204" i="1"/>
  <c r="O140" i="3" s="1"/>
  <c r="D215" i="3"/>
  <c r="D214" i="3" s="1"/>
  <c r="J191" i="1"/>
  <c r="P23" i="1"/>
  <c r="J22" i="1"/>
  <c r="P106" i="1"/>
  <c r="O44" i="3" s="1"/>
  <c r="E195" i="1"/>
  <c r="M170" i="3"/>
  <c r="E37" i="1"/>
  <c r="D194" i="3"/>
  <c r="E19" i="1"/>
  <c r="F143" i="3"/>
  <c r="F142" i="3" s="1"/>
  <c r="D223" i="3"/>
  <c r="E312" i="1"/>
  <c r="E311" i="1" s="1"/>
  <c r="F302" i="1"/>
  <c r="F301" i="1" s="1"/>
  <c r="I43" i="1"/>
  <c r="I14" i="1" s="1"/>
  <c r="I13" i="1" s="1"/>
  <c r="N281" i="1"/>
  <c r="P42" i="1"/>
  <c r="D153" i="3"/>
  <c r="P303" i="1"/>
  <c r="O14" i="1"/>
  <c r="O13" i="1" s="1"/>
  <c r="D250" i="3"/>
  <c r="D249" i="3" s="1"/>
  <c r="E218" i="3"/>
  <c r="E99" i="3"/>
  <c r="P226" i="1"/>
  <c r="D181" i="3"/>
  <c r="P187" i="1"/>
  <c r="I219" i="3"/>
  <c r="I213" i="3"/>
  <c r="I211" i="3" s="1"/>
  <c r="I201" i="3" s="1"/>
  <c r="J213" i="3"/>
  <c r="J211" i="3" s="1"/>
  <c r="J201" i="3" s="1"/>
  <c r="I60" i="3"/>
  <c r="I58" i="3" s="1"/>
  <c r="E187" i="1"/>
  <c r="O123" i="3"/>
  <c r="E228" i="3"/>
  <c r="E227" i="3" s="1"/>
  <c r="F32" i="1"/>
  <c r="E22" i="1"/>
  <c r="E325" i="1"/>
  <c r="E324" i="1" s="1"/>
  <c r="F149" i="3"/>
  <c r="M97" i="1"/>
  <c r="N256" i="1"/>
  <c r="M235" i="1"/>
  <c r="M234" i="1" s="1"/>
  <c r="M14" i="1"/>
  <c r="M13" i="1" s="1"/>
  <c r="I95" i="1"/>
  <c r="I235" i="1"/>
  <c r="I234" i="1" s="1"/>
  <c r="H63" i="1"/>
  <c r="H62" i="1" s="1"/>
  <c r="G272" i="1"/>
  <c r="G271" i="1" s="1"/>
  <c r="G235" i="1"/>
  <c r="G234" i="1" s="1"/>
  <c r="L134" i="1"/>
  <c r="H134" i="1"/>
  <c r="F134" i="1"/>
  <c r="J292" i="1"/>
  <c r="E196" i="1"/>
  <c r="J148" i="1"/>
  <c r="I133" i="1"/>
  <c r="I132" i="1" s="1"/>
  <c r="D73" i="3"/>
  <c r="D124" i="3"/>
  <c r="D123" i="3" s="1"/>
  <c r="E28" i="3"/>
  <c r="E20" i="3"/>
  <c r="E101" i="1"/>
  <c r="E39" i="3"/>
  <c r="P146" i="1"/>
  <c r="O75" i="3" s="1"/>
  <c r="D75" i="3"/>
  <c r="E207" i="1"/>
  <c r="E143" i="3"/>
  <c r="E142" i="3" s="1"/>
  <c r="E192" i="1"/>
  <c r="F191" i="1"/>
  <c r="E24" i="1"/>
  <c r="E121" i="3"/>
  <c r="E21" i="1"/>
  <c r="F20" i="1"/>
  <c r="P284" i="1"/>
  <c r="O191" i="3" s="1"/>
  <c r="E60" i="1"/>
  <c r="P60" i="1" s="1"/>
  <c r="E248" i="3"/>
  <c r="E247" i="3" s="1"/>
  <c r="E239" i="3" s="1"/>
  <c r="P332" i="1"/>
  <c r="O242" i="3" s="1"/>
  <c r="O241" i="3" s="1"/>
  <c r="D242" i="3"/>
  <c r="D241" i="3" s="1"/>
  <c r="D165" i="3"/>
  <c r="D163" i="3" s="1"/>
  <c r="M25" i="3"/>
  <c r="M39" i="3"/>
  <c r="M180" i="3"/>
  <c r="M234" i="3"/>
  <c r="M232" i="3" s="1"/>
  <c r="J327" i="1"/>
  <c r="N325" i="1"/>
  <c r="N324" i="1" s="1"/>
  <c r="I32" i="3"/>
  <c r="I30" i="3" s="1"/>
  <c r="J77" i="1"/>
  <c r="P79" i="1"/>
  <c r="M236" i="1"/>
  <c r="L236" i="1"/>
  <c r="K236" i="1"/>
  <c r="I97" i="1"/>
  <c r="H64" i="1"/>
  <c r="H337" i="1" s="1"/>
  <c r="G64" i="1"/>
  <c r="F236" i="1"/>
  <c r="M272" i="1"/>
  <c r="M271" i="1" s="1"/>
  <c r="M95" i="1"/>
  <c r="L272" i="1"/>
  <c r="L271" i="1" s="1"/>
  <c r="L235" i="1"/>
  <c r="L234" i="1" s="1"/>
  <c r="L63" i="1"/>
  <c r="L62" i="1" s="1"/>
  <c r="O134" i="1"/>
  <c r="O337" i="1" s="1"/>
  <c r="I134" i="1"/>
  <c r="G134" i="1"/>
  <c r="J119" i="1"/>
  <c r="F221" i="1"/>
  <c r="F220" i="1" s="1"/>
  <c r="G65" i="3"/>
  <c r="G127" i="3"/>
  <c r="G152" i="3"/>
  <c r="G223" i="3"/>
  <c r="G216" i="3" s="1"/>
  <c r="G188" i="3"/>
  <c r="G232" i="3"/>
  <c r="E232" i="3"/>
  <c r="P15" i="1"/>
  <c r="P233" i="1"/>
  <c r="P258" i="1"/>
  <c r="O197" i="3" s="1"/>
  <c r="P286" i="1"/>
  <c r="P285" i="1"/>
  <c r="P283" i="1"/>
  <c r="O190" i="3" s="1"/>
  <c r="P264" i="1"/>
  <c r="O233" i="3" s="1"/>
  <c r="K13" i="3"/>
  <c r="J277" i="1"/>
  <c r="M177" i="3"/>
  <c r="O66" i="3"/>
  <c r="P251" i="1"/>
  <c r="I174" i="3"/>
  <c r="I172" i="3" s="1"/>
  <c r="J219" i="1"/>
  <c r="P219" i="1" s="1"/>
  <c r="O179" i="3" s="1"/>
  <c r="O176" i="3" s="1"/>
  <c r="P218" i="1"/>
  <c r="O178" i="3" s="1"/>
  <c r="J217" i="1"/>
  <c r="K51" i="3"/>
  <c r="K152" i="3"/>
  <c r="J148" i="3"/>
  <c r="J145" i="3" s="1"/>
  <c r="I80" i="3"/>
  <c r="I181" i="3"/>
  <c r="I184" i="3"/>
  <c r="I183" i="3" s="1"/>
  <c r="P112" i="1"/>
  <c r="O50" i="3" s="1"/>
  <c r="P157" i="1"/>
  <c r="N46" i="3"/>
  <c r="J52" i="3"/>
  <c r="J72" i="3"/>
  <c r="J66" i="3"/>
  <c r="O181" i="3"/>
  <c r="J268" i="1"/>
  <c r="J267" i="1" s="1"/>
  <c r="D30" i="3"/>
  <c r="H45" i="3"/>
  <c r="H145" i="3"/>
  <c r="H158" i="3"/>
  <c r="H227" i="3"/>
  <c r="J84" i="3"/>
  <c r="D188" i="3"/>
  <c r="E57" i="3"/>
  <c r="G163" i="3"/>
  <c r="G239" i="3"/>
  <c r="F57" i="3"/>
  <c r="F35" i="3" s="1"/>
  <c r="F71" i="3"/>
  <c r="F127" i="3"/>
  <c r="F195" i="3"/>
  <c r="F188" i="3"/>
  <c r="F232" i="3"/>
  <c r="M71" i="3"/>
  <c r="E123" i="3"/>
  <c r="E204" i="3"/>
  <c r="E200" i="3" s="1"/>
  <c r="E195" i="3"/>
  <c r="H52" i="3"/>
  <c r="H58" i="3"/>
  <c r="H101" i="3"/>
  <c r="H84" i="3"/>
  <c r="G17" i="3"/>
  <c r="G52" i="3"/>
  <c r="G46" i="3"/>
  <c r="N57" i="3"/>
  <c r="N45" i="3"/>
  <c r="N65" i="3"/>
  <c r="N123" i="3"/>
  <c r="N142" i="3"/>
  <c r="N155" i="3"/>
  <c r="N223" i="3"/>
  <c r="N216" i="3" s="1"/>
  <c r="N204" i="3"/>
  <c r="N200" i="3" s="1"/>
  <c r="N188" i="3"/>
  <c r="N227" i="3"/>
  <c r="M57" i="3"/>
  <c r="M45" i="3"/>
  <c r="M100" i="3"/>
  <c r="M152" i="3"/>
  <c r="L13" i="3"/>
  <c r="L45" i="3"/>
  <c r="L71" i="3"/>
  <c r="L65" i="3"/>
  <c r="L123" i="3"/>
  <c r="L127" i="3"/>
  <c r="L152" i="3"/>
  <c r="L204" i="3"/>
  <c r="L200" i="3" s="1"/>
  <c r="L188" i="3"/>
  <c r="L232" i="3"/>
  <c r="K30" i="3"/>
  <c r="K16" i="3" s="1"/>
  <c r="K100" i="3"/>
  <c r="K71" i="3"/>
  <c r="K123" i="3"/>
  <c r="K142" i="3"/>
  <c r="K127" i="3"/>
  <c r="K158" i="3"/>
  <c r="K155" i="3"/>
  <c r="K175" i="3"/>
  <c r="K163" i="3"/>
  <c r="K223" i="3"/>
  <c r="K216" i="3" s="1"/>
  <c r="K232" i="3"/>
  <c r="K227" i="3"/>
  <c r="J57" i="3"/>
  <c r="J83" i="3"/>
  <c r="J65" i="3"/>
  <c r="J142" i="3"/>
  <c r="J77" i="3"/>
  <c r="J155" i="3"/>
  <c r="J175" i="3"/>
  <c r="J204" i="3"/>
  <c r="J200" i="3" s="1"/>
  <c r="J195" i="3"/>
  <c r="J188" i="3"/>
  <c r="I127" i="3"/>
  <c r="N17" i="3"/>
  <c r="F100" i="3"/>
  <c r="F83" i="3"/>
  <c r="J100" i="3"/>
  <c r="J17" i="3"/>
  <c r="J101" i="3"/>
  <c r="I246" i="3"/>
  <c r="J244" i="3"/>
  <c r="J240" i="3" s="1"/>
  <c r="I77" i="3"/>
  <c r="E100" i="3"/>
  <c r="J216" i="3"/>
  <c r="H100" i="3"/>
  <c r="H77" i="3"/>
  <c r="F175" i="3"/>
  <c r="F161" i="3" s="1"/>
  <c r="G72" i="3"/>
  <c r="F17" i="3"/>
  <c r="K84" i="3"/>
  <c r="I133" i="3"/>
  <c r="I158" i="3"/>
  <c r="E223" i="3"/>
  <c r="E46" i="3"/>
  <c r="D204" i="3"/>
  <c r="D200" i="3" s="1"/>
  <c r="D52" i="3"/>
  <c r="G71" i="3"/>
  <c r="N100" i="3"/>
  <c r="N127" i="3"/>
  <c r="N77" i="3"/>
  <c r="N158" i="3"/>
  <c r="N239" i="3"/>
  <c r="M123" i="3"/>
  <c r="K57" i="3"/>
  <c r="F101" i="3"/>
  <c r="M58" i="3"/>
  <c r="G100" i="3"/>
  <c r="G83" i="3"/>
  <c r="G84" i="3"/>
  <c r="N83" i="3"/>
  <c r="M83" i="3"/>
  <c r="K77" i="3"/>
  <c r="J30" i="3"/>
  <c r="J16" i="3" s="1"/>
  <c r="D66" i="3"/>
  <c r="G155" i="3"/>
  <c r="G227" i="3"/>
  <c r="F227" i="3"/>
  <c r="F226" i="3" s="1"/>
  <c r="E83" i="3"/>
  <c r="E65" i="3"/>
  <c r="E188" i="3"/>
  <c r="H66" i="3"/>
  <c r="N175" i="3"/>
  <c r="M30" i="3"/>
  <c r="M65" i="3"/>
  <c r="K65" i="3"/>
  <c r="J13" i="3"/>
  <c r="N72" i="3"/>
  <c r="L101" i="3"/>
  <c r="L66" i="3"/>
  <c r="P203" i="1"/>
  <c r="O139" i="3" s="1"/>
  <c r="P202" i="1"/>
  <c r="O138" i="3" s="1"/>
  <c r="E108" i="1"/>
  <c r="D45" i="3"/>
  <c r="E268" i="1"/>
  <c r="E267" i="1" s="1"/>
  <c r="P269" i="1"/>
  <c r="P268" i="1" s="1"/>
  <c r="P267" i="1" s="1"/>
  <c r="P25" i="1"/>
  <c r="D217" i="3"/>
  <c r="P315" i="1"/>
  <c r="O217" i="3" s="1"/>
  <c r="D184" i="3"/>
  <c r="D183" i="3" s="1"/>
  <c r="P314" i="1"/>
  <c r="O184" i="3" s="1"/>
  <c r="O183" i="3" s="1"/>
  <c r="P330" i="1"/>
  <c r="D83" i="3"/>
  <c r="D100" i="3"/>
  <c r="I84" i="3"/>
  <c r="E155" i="3"/>
  <c r="O80" i="3"/>
  <c r="D150" i="3"/>
  <c r="P40" i="1"/>
  <c r="D160" i="3"/>
  <c r="D158" i="3" s="1"/>
  <c r="E86" i="1"/>
  <c r="P87" i="1"/>
  <c r="P86" i="1" s="1"/>
  <c r="P248" i="1"/>
  <c r="J312" i="1"/>
  <c r="J311" i="1" s="1"/>
  <c r="F213" i="1"/>
  <c r="F212" i="1" s="1"/>
  <c r="J239" i="3"/>
  <c r="D234" i="3"/>
  <c r="D232" i="3" s="1"/>
  <c r="O213" i="1"/>
  <c r="O212" i="1" s="1"/>
  <c r="M77" i="3"/>
  <c r="L175" i="3"/>
  <c r="L161" i="3" s="1"/>
  <c r="L239" i="3"/>
  <c r="K188" i="3"/>
  <c r="K239" i="3"/>
  <c r="N213" i="1"/>
  <c r="N212" i="1" s="1"/>
  <c r="J214" i="1"/>
  <c r="J37" i="3"/>
  <c r="J99" i="1"/>
  <c r="M162" i="3"/>
  <c r="I179" i="3"/>
  <c r="I176" i="3" s="1"/>
  <c r="J249" i="1"/>
  <c r="J236" i="1" s="1"/>
  <c r="J137" i="1"/>
  <c r="I68" i="3"/>
  <c r="I66" i="3" s="1"/>
  <c r="P199" i="1"/>
  <c r="O135" i="3" s="1"/>
  <c r="E155" i="1"/>
  <c r="D76" i="3"/>
  <c r="D72" i="3" s="1"/>
  <c r="P147" i="1"/>
  <c r="N52" i="3"/>
  <c r="N162" i="3"/>
  <c r="M132" i="3"/>
  <c r="M133" i="3" s="1"/>
  <c r="P201" i="1"/>
  <c r="O137" i="3" s="1"/>
  <c r="J222" i="1"/>
  <c r="M199" i="3"/>
  <c r="M196" i="3" s="1"/>
  <c r="M186" i="3" s="1"/>
  <c r="G336" i="1" l="1"/>
  <c r="P205" i="1"/>
  <c r="O141" i="3" s="1"/>
  <c r="J226" i="3"/>
  <c r="K337" i="1"/>
  <c r="J64" i="1"/>
  <c r="P30" i="1"/>
  <c r="P107" i="1"/>
  <c r="J161" i="3"/>
  <c r="O193" i="3"/>
  <c r="O218" i="3"/>
  <c r="P119" i="1"/>
  <c r="I337" i="1"/>
  <c r="M226" i="3"/>
  <c r="O248" i="3"/>
  <c r="O247" i="3" s="1"/>
  <c r="N133" i="1"/>
  <c r="N132" i="1" s="1"/>
  <c r="M337" i="1"/>
  <c r="M198" i="3"/>
  <c r="M195" i="3" s="1"/>
  <c r="H161" i="3"/>
  <c r="D227" i="3"/>
  <c r="P114" i="1"/>
  <c r="M145" i="3"/>
  <c r="O144" i="3"/>
  <c r="J197" i="1"/>
  <c r="P197" i="1" s="1"/>
  <c r="I149" i="3"/>
  <c r="J196" i="1"/>
  <c r="P93" i="1"/>
  <c r="J125" i="1"/>
  <c r="J96" i="1" s="1"/>
  <c r="J95" i="1" s="1"/>
  <c r="P127" i="1"/>
  <c r="P125" i="1" s="1"/>
  <c r="O33" i="3"/>
  <c r="O31" i="3" s="1"/>
  <c r="P78" i="1"/>
  <c r="E235" i="1"/>
  <c r="E234" i="1" s="1"/>
  <c r="I212" i="3"/>
  <c r="M336" i="1"/>
  <c r="K336" i="1"/>
  <c r="E276" i="1"/>
  <c r="E272" i="1" s="1"/>
  <c r="E271" i="1" s="1"/>
  <c r="D180" i="3"/>
  <c r="D175" i="3" s="1"/>
  <c r="P296" i="1"/>
  <c r="P294" i="1" s="1"/>
  <c r="J294" i="1"/>
  <c r="J134" i="1"/>
  <c r="P217" i="1"/>
  <c r="P31" i="1"/>
  <c r="O150" i="3" s="1"/>
  <c r="P142" i="1"/>
  <c r="E151" i="3"/>
  <c r="L226" i="3"/>
  <c r="H151" i="3"/>
  <c r="P196" i="1"/>
  <c r="N272" i="1"/>
  <c r="N271" i="1" s="1"/>
  <c r="P198" i="1"/>
  <c r="O134" i="3" s="1"/>
  <c r="J276" i="1"/>
  <c r="I243" i="3"/>
  <c r="O234" i="3"/>
  <c r="O232" i="3" s="1"/>
  <c r="I148" i="3"/>
  <c r="I145" i="3" s="1"/>
  <c r="F36" i="3"/>
  <c r="O187" i="3"/>
  <c r="O225" i="3"/>
  <c r="D62" i="3"/>
  <c r="D58" i="3" s="1"/>
  <c r="D36" i="3" s="1"/>
  <c r="E120" i="1"/>
  <c r="P120" i="1" s="1"/>
  <c r="P124" i="1"/>
  <c r="O62" i="3" s="1"/>
  <c r="O58" i="3" s="1"/>
  <c r="P136" i="1"/>
  <c r="J229" i="1"/>
  <c r="P231" i="1"/>
  <c r="P229" i="1" s="1"/>
  <c r="E96" i="1"/>
  <c r="K36" i="3"/>
  <c r="F151" i="3"/>
  <c r="H336" i="1"/>
  <c r="L336" i="1"/>
  <c r="E134" i="1"/>
  <c r="L185" i="3"/>
  <c r="P241" i="1"/>
  <c r="O165" i="3" s="1"/>
  <c r="O83" i="3"/>
  <c r="F337" i="1"/>
  <c r="P154" i="1"/>
  <c r="P108" i="1"/>
  <c r="L35" i="3"/>
  <c r="N226" i="3"/>
  <c r="G161" i="3"/>
  <c r="O192" i="3"/>
  <c r="G185" i="3"/>
  <c r="L337" i="1"/>
  <c r="N337" i="1"/>
  <c r="E64" i="3"/>
  <c r="D248" i="3"/>
  <c r="D247" i="3" s="1"/>
  <c r="D239" i="3" s="1"/>
  <c r="F14" i="1"/>
  <c r="F13" i="1" s="1"/>
  <c r="M151" i="3"/>
  <c r="K64" i="3"/>
  <c r="K252" i="3" s="1"/>
  <c r="G35" i="3"/>
  <c r="O71" i="3"/>
  <c r="D216" i="3"/>
  <c r="O132" i="3"/>
  <c r="O133" i="3" s="1"/>
  <c r="N161" i="3"/>
  <c r="L151" i="3"/>
  <c r="E17" i="3"/>
  <c r="N36" i="3"/>
  <c r="F64" i="3"/>
  <c r="E36" i="3"/>
  <c r="H35" i="3"/>
  <c r="J36" i="3"/>
  <c r="E16" i="3"/>
  <c r="M64" i="3"/>
  <c r="K185" i="3"/>
  <c r="K182" i="3" s="1"/>
  <c r="G151" i="3"/>
  <c r="E216" i="3"/>
  <c r="G182" i="3"/>
  <c r="M175" i="3"/>
  <c r="M161" i="3" s="1"/>
  <c r="D152" i="3"/>
  <c r="O46" i="3"/>
  <c r="E63" i="1"/>
  <c r="E62" i="1" s="1"/>
  <c r="E63" i="3"/>
  <c r="N185" i="3"/>
  <c r="E161" i="3"/>
  <c r="O53" i="3"/>
  <c r="P113" i="1"/>
  <c r="N64" i="3"/>
  <c r="N252" i="3" s="1"/>
  <c r="O344" i="1" s="1"/>
  <c r="M36" i="3"/>
  <c r="J151" i="3"/>
  <c r="H36" i="3"/>
  <c r="H226" i="3"/>
  <c r="E35" i="3"/>
  <c r="I336" i="1"/>
  <c r="H185" i="3"/>
  <c r="H182" i="3" s="1"/>
  <c r="M16" i="3"/>
  <c r="N182" i="3"/>
  <c r="I64" i="3"/>
  <c r="I162" i="3"/>
  <c r="J35" i="3"/>
  <c r="D226" i="3"/>
  <c r="E185" i="3"/>
  <c r="E182" i="3" s="1"/>
  <c r="G226" i="3"/>
  <c r="G64" i="3"/>
  <c r="K35" i="3"/>
  <c r="N151" i="3"/>
  <c r="J64" i="3"/>
  <c r="J252" i="3" s="1"/>
  <c r="K349" i="1" s="1"/>
  <c r="J185" i="3"/>
  <c r="J182" i="3" s="1"/>
  <c r="J63" i="3"/>
  <c r="K226" i="3"/>
  <c r="L182" i="3"/>
  <c r="L63" i="3"/>
  <c r="M185" i="3"/>
  <c r="M182" i="3" s="1"/>
  <c r="M35" i="3"/>
  <c r="N35" i="3"/>
  <c r="G36" i="3"/>
  <c r="E226" i="3"/>
  <c r="D185" i="3"/>
  <c r="D182" i="3" s="1"/>
  <c r="I36" i="3"/>
  <c r="I177" i="3"/>
  <c r="P277" i="1"/>
  <c r="O177" i="3" s="1"/>
  <c r="P77" i="1"/>
  <c r="O32" i="3"/>
  <c r="O30" i="3" s="1"/>
  <c r="J325" i="1"/>
  <c r="J324" i="1" s="1"/>
  <c r="P327" i="1"/>
  <c r="P325" i="1" s="1"/>
  <c r="P324" i="1" s="1"/>
  <c r="D118" i="3"/>
  <c r="D117" i="3" s="1"/>
  <c r="E20" i="1"/>
  <c r="P21" i="1"/>
  <c r="D121" i="3"/>
  <c r="P24" i="1"/>
  <c r="O121" i="3" s="1"/>
  <c r="P192" i="1"/>
  <c r="E191" i="1"/>
  <c r="D128" i="3"/>
  <c r="D143" i="3"/>
  <c r="D142" i="3" s="1"/>
  <c r="P207" i="1"/>
  <c r="E206" i="1"/>
  <c r="D39" i="3"/>
  <c r="D35" i="3" s="1"/>
  <c r="P101" i="1"/>
  <c r="O39" i="3" s="1"/>
  <c r="D71" i="3"/>
  <c r="P41" i="1"/>
  <c r="O203" i="3"/>
  <c r="O202" i="3" s="1"/>
  <c r="P19" i="1"/>
  <c r="E17" i="1"/>
  <c r="D82" i="3"/>
  <c r="D77" i="3" s="1"/>
  <c r="D157" i="3"/>
  <c r="D155" i="3" s="1"/>
  <c r="P37" i="1"/>
  <c r="O157" i="3" s="1"/>
  <c r="E35" i="1"/>
  <c r="D131" i="3"/>
  <c r="P195" i="1"/>
  <c r="O131" i="3" s="1"/>
  <c r="O205" i="3"/>
  <c r="O204" i="3" s="1"/>
  <c r="P43" i="1"/>
  <c r="O105" i="3"/>
  <c r="O101" i="3" s="1"/>
  <c r="P172" i="1"/>
  <c r="O104" i="3"/>
  <c r="O100" i="3" s="1"/>
  <c r="P171" i="1"/>
  <c r="P88" i="1"/>
  <c r="O198" i="3"/>
  <c r="O195" i="3" s="1"/>
  <c r="I189" i="3"/>
  <c r="I188" i="3" s="1"/>
  <c r="P282" i="1"/>
  <c r="J281" i="1"/>
  <c r="I164" i="3"/>
  <c r="I163" i="3" s="1"/>
  <c r="J239" i="1"/>
  <c r="I156" i="3"/>
  <c r="I155" i="3" s="1"/>
  <c r="I151" i="3" s="1"/>
  <c r="P36" i="1"/>
  <c r="P35" i="1" s="1"/>
  <c r="J35" i="1"/>
  <c r="P185" i="1"/>
  <c r="E184" i="1"/>
  <c r="D114" i="3"/>
  <c r="D113" i="3" s="1"/>
  <c r="E322" i="1"/>
  <c r="E321" i="1" s="1"/>
  <c r="P323" i="1"/>
  <c r="P322" i="1" s="1"/>
  <c r="P321" i="1" s="1"/>
  <c r="J63" i="1"/>
  <c r="J62" i="1" s="1"/>
  <c r="I19" i="3"/>
  <c r="I16" i="3" s="1"/>
  <c r="D20" i="3"/>
  <c r="D17" i="3" s="1"/>
  <c r="P68" i="1"/>
  <c r="E64" i="1"/>
  <c r="I250" i="3"/>
  <c r="I249" i="3" s="1"/>
  <c r="I239" i="3" s="1"/>
  <c r="P61" i="1"/>
  <c r="O250" i="3" s="1"/>
  <c r="O249" i="3" s="1"/>
  <c r="O239" i="3" s="1"/>
  <c r="J20" i="1"/>
  <c r="I118" i="3"/>
  <c r="I117" i="3" s="1"/>
  <c r="I63" i="3" s="1"/>
  <c r="N235" i="1"/>
  <c r="N234" i="1" s="1"/>
  <c r="J262" i="1"/>
  <c r="I224" i="3"/>
  <c r="I223" i="3" s="1"/>
  <c r="I216" i="3" s="1"/>
  <c r="I180" i="3"/>
  <c r="O79" i="3"/>
  <c r="P148" i="1"/>
  <c r="O116" i="3"/>
  <c r="O115" i="3" s="1"/>
  <c r="P215" i="1"/>
  <c r="P190" i="1"/>
  <c r="O126" i="3" s="1"/>
  <c r="D126" i="3"/>
  <c r="D129" i="3"/>
  <c r="P193" i="1"/>
  <c r="O129" i="3" s="1"/>
  <c r="D18" i="3"/>
  <c r="P66" i="1"/>
  <c r="O18" i="3" s="1"/>
  <c r="D23" i="3"/>
  <c r="P71" i="1"/>
  <c r="O23" i="3" s="1"/>
  <c r="D26" i="3"/>
  <c r="P224" i="1"/>
  <c r="D29" i="3"/>
  <c r="P76" i="1"/>
  <c r="O29" i="3" s="1"/>
  <c r="E95" i="1"/>
  <c r="P256" i="1"/>
  <c r="P240" i="1"/>
  <c r="D14" i="3"/>
  <c r="D13" i="3" s="1"/>
  <c r="H64" i="3"/>
  <c r="O86" i="3"/>
  <c r="O84" i="3" s="1"/>
  <c r="P155" i="1"/>
  <c r="O174" i="3"/>
  <c r="O172" i="3" s="1"/>
  <c r="O162" i="3" s="1"/>
  <c r="P249" i="1"/>
  <c r="P236" i="1" s="1"/>
  <c r="G337" i="1"/>
  <c r="O120" i="3"/>
  <c r="O119" i="3" s="1"/>
  <c r="P22" i="1"/>
  <c r="J133" i="1"/>
  <c r="J132" i="1" s="1"/>
  <c r="P222" i="1"/>
  <c r="P230" i="1"/>
  <c r="F133" i="1"/>
  <c r="F132" i="1" s="1"/>
  <c r="F336" i="1" s="1"/>
  <c r="O133" i="1"/>
  <c r="O132" i="1" s="1"/>
  <c r="O336" i="1" s="1"/>
  <c r="P246" i="1"/>
  <c r="O170" i="3" s="1"/>
  <c r="D170" i="3"/>
  <c r="D161" i="3" s="1"/>
  <c r="O199" i="3"/>
  <c r="O196" i="3" s="1"/>
  <c r="O186" i="3" s="1"/>
  <c r="O224" i="3"/>
  <c r="O223" i="3" s="1"/>
  <c r="O216" i="3" s="1"/>
  <c r="O154" i="3"/>
  <c r="O152" i="3" s="1"/>
  <c r="P32" i="1"/>
  <c r="P302" i="1"/>
  <c r="P301" i="1" s="1"/>
  <c r="P279" i="1"/>
  <c r="P276" i="1" s="1"/>
  <c r="E221" i="1"/>
  <c r="E220" i="1" s="1"/>
  <c r="H63" i="3"/>
  <c r="F63" i="3"/>
  <c r="K161" i="3"/>
  <c r="K151" i="3"/>
  <c r="F185" i="3"/>
  <c r="F182" i="3" s="1"/>
  <c r="O212" i="3"/>
  <c r="O210" i="3" s="1"/>
  <c r="I210" i="3"/>
  <c r="I200" i="3" s="1"/>
  <c r="D64" i="3"/>
  <c r="N63" i="3"/>
  <c r="I244" i="3"/>
  <c r="O246" i="3"/>
  <c r="L64" i="3"/>
  <c r="L252" i="3" s="1"/>
  <c r="K63" i="3"/>
  <c r="G63" i="3"/>
  <c r="J337" i="1"/>
  <c r="M63" i="3"/>
  <c r="O76" i="3"/>
  <c r="O72" i="3" s="1"/>
  <c r="P143" i="1"/>
  <c r="I37" i="3"/>
  <c r="I35" i="3" s="1"/>
  <c r="P99" i="1"/>
  <c r="J213" i="1"/>
  <c r="J212" i="1" s="1"/>
  <c r="I14" i="3"/>
  <c r="I13" i="3" s="1"/>
  <c r="P214" i="1"/>
  <c r="O160" i="3"/>
  <c r="O158" i="3" s="1"/>
  <c r="P38" i="1"/>
  <c r="O237" i="3"/>
  <c r="P29" i="1"/>
  <c r="O148" i="3" s="1"/>
  <c r="O145" i="3" s="1"/>
  <c r="O149" i="3"/>
  <c r="P312" i="1"/>
  <c r="P311" i="1" s="1"/>
  <c r="L349" i="1" l="1"/>
  <c r="J272" i="1"/>
  <c r="J271" i="1" s="1"/>
  <c r="M349" i="1"/>
  <c r="N336" i="1"/>
  <c r="M252" i="3"/>
  <c r="N349" i="1" s="1"/>
  <c r="F252" i="3"/>
  <c r="G349" i="1" s="1"/>
  <c r="E252" i="3"/>
  <c r="F349" i="1" s="1"/>
  <c r="P97" i="1"/>
  <c r="J221" i="1"/>
  <c r="J220" i="1" s="1"/>
  <c r="I198" i="3"/>
  <c r="I195" i="3" s="1"/>
  <c r="I185" i="3" s="1"/>
  <c r="I182" i="3" s="1"/>
  <c r="E97" i="1"/>
  <c r="E337" i="1" s="1"/>
  <c r="O156" i="3"/>
  <c r="P96" i="1"/>
  <c r="H252" i="3"/>
  <c r="I349" i="1" s="1"/>
  <c r="P134" i="1"/>
  <c r="J14" i="1"/>
  <c r="J13" i="1" s="1"/>
  <c r="O226" i="3"/>
  <c r="O155" i="3"/>
  <c r="O151" i="3" s="1"/>
  <c r="O64" i="3"/>
  <c r="H251" i="3"/>
  <c r="I175" i="3"/>
  <c r="I161" i="3" s="1"/>
  <c r="D151" i="3"/>
  <c r="L251" i="3"/>
  <c r="K251" i="3"/>
  <c r="E133" i="1"/>
  <c r="E132" i="1" s="1"/>
  <c r="O51" i="3"/>
  <c r="O52" i="3"/>
  <c r="O36" i="3" s="1"/>
  <c r="E251" i="3"/>
  <c r="M251" i="3"/>
  <c r="P63" i="1"/>
  <c r="P62" i="1" s="1"/>
  <c r="D16" i="3"/>
  <c r="G251" i="3"/>
  <c r="N251" i="3"/>
  <c r="O343" i="1" s="1"/>
  <c r="D252" i="3"/>
  <c r="O200" i="3"/>
  <c r="F251" i="3"/>
  <c r="J251" i="3"/>
  <c r="G252" i="3"/>
  <c r="H349" i="1" s="1"/>
  <c r="O180" i="3"/>
  <c r="O175" i="3" s="1"/>
  <c r="O26" i="3"/>
  <c r="P221" i="1"/>
  <c r="P220" i="1" s="1"/>
  <c r="O16" i="3"/>
  <c r="O20" i="3"/>
  <c r="O17" i="3" s="1"/>
  <c r="P64" i="1"/>
  <c r="O114" i="3"/>
  <c r="O113" i="3" s="1"/>
  <c r="P184" i="1"/>
  <c r="J235" i="1"/>
  <c r="J234" i="1" s="1"/>
  <c r="J336" i="1" s="1"/>
  <c r="P17" i="1"/>
  <c r="O82" i="3"/>
  <c r="O77" i="3" s="1"/>
  <c r="P20" i="1"/>
  <c r="O118" i="3"/>
  <c r="O117" i="3" s="1"/>
  <c r="O164" i="3"/>
  <c r="O163" i="3" s="1"/>
  <c r="P239" i="1"/>
  <c r="P235" i="1" s="1"/>
  <c r="P234" i="1" s="1"/>
  <c r="O189" i="3"/>
  <c r="O188" i="3" s="1"/>
  <c r="O185" i="3" s="1"/>
  <c r="P281" i="1"/>
  <c r="E14" i="1"/>
  <c r="E13" i="1" s="1"/>
  <c r="O143" i="3"/>
  <c r="O142" i="3" s="1"/>
  <c r="P206" i="1"/>
  <c r="D127" i="3"/>
  <c r="D63" i="3" s="1"/>
  <c r="O128" i="3"/>
  <c r="O127" i="3" s="1"/>
  <c r="P191" i="1"/>
  <c r="I240" i="3"/>
  <c r="I252" i="3" s="1"/>
  <c r="J349" i="1" s="1"/>
  <c r="O244" i="3"/>
  <c r="O240" i="3" s="1"/>
  <c r="P14" i="1"/>
  <c r="P13" i="1" s="1"/>
  <c r="P213" i="1"/>
  <c r="P212" i="1" s="1"/>
  <c r="O14" i="3"/>
  <c r="O13" i="3" s="1"/>
  <c r="O37" i="3"/>
  <c r="O35" i="3" s="1"/>
  <c r="P95" i="1"/>
  <c r="E349" i="1" l="1"/>
  <c r="I251" i="3"/>
  <c r="E336" i="1"/>
  <c r="P337" i="1"/>
  <c r="O182" i="3"/>
  <c r="D251" i="3"/>
  <c r="O252" i="3"/>
  <c r="P344" i="1" s="1"/>
  <c r="P133" i="1"/>
  <c r="P132" i="1" s="1"/>
  <c r="O63" i="3"/>
  <c r="P272" i="1"/>
  <c r="P271" i="1" s="1"/>
  <c r="O161" i="3"/>
  <c r="P336" i="1" l="1"/>
  <c r="R336" i="1" s="1"/>
  <c r="O251" i="3"/>
  <c r="Q251" i="3" s="1"/>
  <c r="P343" i="1" l="1"/>
</calcChain>
</file>

<file path=xl/comments1.xml><?xml version="1.0" encoding="utf-8"?>
<comments xmlns="http://schemas.openxmlformats.org/spreadsheetml/2006/main">
  <authors>
    <author>User</author>
  </authors>
  <commentList>
    <comment ref="B24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<sst xmlns="http://schemas.openxmlformats.org/spreadsheetml/2006/main" count="961" uniqueCount="684">
  <si>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</si>
  <si>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</si>
  <si>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</si>
  <si>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</si>
  <si>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</si>
  <si>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</si>
  <si>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</si>
  <si>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</si>
  <si>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</si>
  <si>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</si>
  <si>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</si>
  <si>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</si>
  <si>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</si>
  <si>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</si>
  <si>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</si>
  <si>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</si>
  <si>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</si>
  <si>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</si>
  <si>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</si>
  <si>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</si>
  <si>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</si>
  <si>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</si>
  <si>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</si>
  <si>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</si>
  <si>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</si>
  <si>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</si>
  <si>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</si>
  <si>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</si>
  <si>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</si>
  <si>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</si>
  <si>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</si>
  <si>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</si>
  <si>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</si>
  <si>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</si>
  <si>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</si>
  <si>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</si>
  <si>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</si>
  <si>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</si>
  <si>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</si>
  <si>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</si>
  <si>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</si>
  <si>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</si>
  <si>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</si>
  <si>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</si>
  <si>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</si>
  <si>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</si>
  <si>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</si>
  <si>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</si>
  <si>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</si>
  <si>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</si>
  <si>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</si>
  <si>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</si>
  <si>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</si>
  <si>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</si>
  <si>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</si>
  <si>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</si>
  <si>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</si>
  <si>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</si>
  <si>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</si>
  <si>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</si>
  <si>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</si>
  <si>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</si>
  <si>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</si>
  <si>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</si>
  <si>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</si>
  <si>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</si>
  <si>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</si>
  <si>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</si>
  <si>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</si>
  <si>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</si>
  <si>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</si>
  <si>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</si>
  <si>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</si>
  <si>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</si>
  <si>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</si>
  <si>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</si>
  <si>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</si>
  <si>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</si>
  <si>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</si>
  <si>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</si>
  <si>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</si>
  <si>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</si>
  <si>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</si>
  <si>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</si>
  <si>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</si>
  <si>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</si>
  <si>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</si>
  <si>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</si>
  <si>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</si>
  <si>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</si>
  <si>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</si>
  <si>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</si>
  <si>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</si>
  <si>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</si>
  <si>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</si>
  <si>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</si>
  <si>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</si>
  <si>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</si>
  <si>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</si>
  <si>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</si>
  <si>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</si>
  <si>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</si>
  <si>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</si>
  <si>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</si>
  <si>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</si>
  <si>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</si>
  <si>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</si>
  <si>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</si>
  <si>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</si>
  <si>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</si>
  <si>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</si>
  <si>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</si>
  <si>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</si>
  <si>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</si>
  <si>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</si>
  <si>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</si>
  <si>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</si>
  <si>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</si>
  <si>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</si>
  <si>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</si>
  <si>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</si>
  <si>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</si>
  <si>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</si>
  <si>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</si>
  <si>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</si>
  <si>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</si>
  <si>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</si>
  <si>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</si>
  <si>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</si>
  <si>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</si>
  <si>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</si>
  <si>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</si>
  <si>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</si>
  <si>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</si>
  <si>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</si>
  <si>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</si>
  <si>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</si>
  <si>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</si>
  <si>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</si>
  <si>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</si>
  <si>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</si>
  <si>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</si>
  <si>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</si>
  <si>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</si>
  <si>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</si>
  <si>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</si>
  <si>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</si>
  <si>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</si>
  <si>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</si>
  <si>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</si>
  <si>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</si>
  <si>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</si>
  <si>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</si>
  <si>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</si>
  <si>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</si>
  <si>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</si>
  <si>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</si>
  <si>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</si>
  <si>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</si>
  <si>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</si>
  <si>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</si>
  <si>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</si>
  <si>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</si>
  <si>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</si>
  <si>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</si>
  <si>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</si>
  <si>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</si>
  <si>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</si>
  <si>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</si>
  <si>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</si>
  <si>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</si>
  <si>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</si>
  <si>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</si>
  <si>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</si>
  <si>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</si>
  <si>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</si>
  <si>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</si>
  <si>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</si>
  <si>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</si>
  <si>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</si>
  <si>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</si>
  <si>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</si>
  <si>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</si>
  <si>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</si>
  <si>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</si>
  <si>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</si>
  <si>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</si>
  <si>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</si>
  <si>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</si>
  <si>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</si>
  <si>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</si>
  <si>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</si>
  <si>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</si>
  <si>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</si>
  <si>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</si>
  <si>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</si>
  <si>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</si>
  <si>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</si>
  <si>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</si>
  <si>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</si>
  <si>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</si>
  <si>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</si>
  <si>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</si>
  <si>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</si>
  <si>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</si>
  <si>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</si>
  <si>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</si>
  <si>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</si>
  <si>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</si>
  <si>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</si>
  <si>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</si>
  <si>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</si>
  <si>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</si>
  <si>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</si>
  <si>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</si>
  <si>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</si>
  <si>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</si>
  <si>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</si>
  <si>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</si>
  <si>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</si>
  <si>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</si>
  <si>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</si>
  <si>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</si>
  <si>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</si>
  <si>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</si>
  <si>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</si>
  <si>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</si>
  <si>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</si>
  <si>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</si>
  <si>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</si>
  <si>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</si>
  <si>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</si>
  <si>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</si>
  <si>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</si>
  <si>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</si>
  <si>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</si>
  <si>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</si>
  <si>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</si>
  <si>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</si>
  <si>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</si>
  <si>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</si>
  <si>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</si>
  <si>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</si>
  <si>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</si>
  <si>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</si>
  <si>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</si>
  <si>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</si>
  <si>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</si>
  <si>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</si>
  <si>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</si>
  <si>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</si>
  <si>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</si>
  <si>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</si>
  <si>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</si>
  <si>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</si>
  <si>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</si>
  <si>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</si>
  <si>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</si>
  <si>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</si>
  <si>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</si>
  <si>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</si>
  <si>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</si>
  <si>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</si>
  <si>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</si>
  <si>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</si>
  <si>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</si>
  <si>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</si>
  <si>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</si>
  <si>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</si>
  <si>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</si>
  <si>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</si>
  <si>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</si>
  <si>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</si>
  <si>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</si>
  <si>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</si>
  <si>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</si>
  <si>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</si>
  <si>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</si>
  <si>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</si>
  <si>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</si>
  <si>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</si>
  <si>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</si>
  <si>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</si>
  <si>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</si>
  <si>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</si>
  <si>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</si>
  <si>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</si>
  <si>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</si>
  <si>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</si>
  <si>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</si>
  <si>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</si>
  <si>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</si>
  <si>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</si>
  <si>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</si>
  <si>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</si>
  <si>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</si>
  <si>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</si>
  <si>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</si>
  <si>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</si>
  <si>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</si>
  <si>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</si>
  <si>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</si>
  <si>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</si>
  <si>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</si>
  <si>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</si>
  <si>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</si>
  <si>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</si>
  <si>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</si>
  <si>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</si>
  <si>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</si>
  <si>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</si>
  <si>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</si>
  <si>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</si>
  <si>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</si>
  <si>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</si>
  <si>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</si>
  <si>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</si>
  <si>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</si>
  <si>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</si>
  <si>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</si>
  <si>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</si>
  <si>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</si>
  <si>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</si>
  <si>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</si>
  <si>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</si>
  <si>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</si>
  <si>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</si>
  <si>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</si>
  <si>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</si>
  <si>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</si>
  <si>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</si>
  <si>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</si>
  <si>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</si>
  <si>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</si>
  <si>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</si>
  <si>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</si>
  <si>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</si>
  <si>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</si>
  <si>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</si>
  <si>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</si>
  <si>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</si>
  <si>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</si>
  <si>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</si>
  <si>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</si>
  <si>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</si>
  <si>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</si>
  <si>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</si>
  <si>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</si>
  <si>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</si>
  <si>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</si>
  <si>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</si>
  <si>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</si>
  <si>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</si>
  <si>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</si>
  <si>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</si>
  <si>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</si>
  <si>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</si>
  <si>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</si>
  <si>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</si>
  <si>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</si>
  <si>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</si>
  <si>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</si>
  <si>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</si>
  <si>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</si>
  <si>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</si>
  <si>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</si>
  <si>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</si>
  <si>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</si>
  <si>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</si>
  <si>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</si>
  <si>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</si>
  <si>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</si>
  <si>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</si>
  <si>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</si>
  <si>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</si>
  <si>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</si>
  <si>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</si>
  <si>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</si>
  <si>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</si>
  <si>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</si>
  <si>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</si>
  <si>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</si>
  <si>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</si>
  <si>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</si>
  <si>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</si>
  <si>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</si>
  <si>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</si>
  <si>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</si>
  <si>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</si>
  <si>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</si>
  <si>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</si>
  <si>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</si>
  <si>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</si>
  <si>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</si>
  <si>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</si>
  <si>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</si>
  <si>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</si>
  <si>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</si>
  <si>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</si>
  <si>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</si>
  <si>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</si>
  <si>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</si>
  <si>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</si>
  <si>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</si>
  <si>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</si>
  <si>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</si>
  <si>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</si>
  <si>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</si>
  <si>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</si>
  <si>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</si>
  <si>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</si>
  <si>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</si>
  <si>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</si>
  <si>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</si>
  <si>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</si>
  <si>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</si>
  <si>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</si>
  <si>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</si>
  <si>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</si>
  <si>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</si>
  <si>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</si>
  <si>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</si>
  <si>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</si>
  <si>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</si>
  <si>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</si>
  <si>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</si>
  <si>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</si>
  <si>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</si>
  <si>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</si>
  <si>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</si>
  <si>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</si>
  <si>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</si>
  <si>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</si>
  <si>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</si>
  <si>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</si>
  <si>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</si>
  <si>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</si>
  <si>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</si>
  <si>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</si>
  <si>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</si>
  <si>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</si>
  <si>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</si>
  <si>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</si>
  <si>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</si>
  <si>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</si>
  <si>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</si>
  <si>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</si>
  <si>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</si>
  <si>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</si>
  <si>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</si>
  <si>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</si>
  <si>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</si>
  <si>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</si>
  <si>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</si>
  <si>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</si>
  <si>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</si>
  <si>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</si>
  <si>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</si>
  <si>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</si>
  <si>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</si>
  <si>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</si>
  <si>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</si>
  <si>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</si>
  <si>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</si>
  <si>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</si>
  <si>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</si>
  <si>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</si>
  <si>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</si>
  <si>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</si>
  <si>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</si>
  <si>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</si>
  <si>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</si>
  <si>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</si>
  <si>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</si>
  <si>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</si>
  <si>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</si>
  <si>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</si>
  <si>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</si>
  <si>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</si>
  <si>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</si>
  <si>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</si>
  <si>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</si>
  <si>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</si>
  <si>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</si>
  <si>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</si>
  <si>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</si>
  <si>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</si>
  <si>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</si>
  <si>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</si>
  <si>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</si>
  <si>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</si>
  <si>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</si>
  <si>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</si>
  <si>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</si>
  <si>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</si>
  <si>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</si>
  <si>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</si>
  <si>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</si>
  <si>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</si>
  <si>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</si>
  <si>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</si>
  <si>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</si>
  <si>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</si>
  <si>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</si>
  <si>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</si>
  <si>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</si>
  <si>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</si>
  <si>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</si>
  <si>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</si>
  <si>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</si>
  <si>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</si>
  <si>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</si>
  <si>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</si>
  <si>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</si>
  <si>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</si>
  <si>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</si>
  <si>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</si>
  <si>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</si>
  <si>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</si>
  <si>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</si>
  <si>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</si>
  <si>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</si>
  <si>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</si>
  <si>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</si>
  <si>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</si>
  <si>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</si>
  <si>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</si>
  <si>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</si>
  <si>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</si>
  <si>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</si>
  <si>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</si>
  <si>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</si>
  <si>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</si>
  <si>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</si>
  <si>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</si>
  <si>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</si>
  <si>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</si>
  <si>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</si>
  <si>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</si>
  <si>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</si>
  <si>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</si>
  <si>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</si>
  <si>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</si>
  <si>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</si>
  <si>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</si>
  <si>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</si>
  <si>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</si>
  <si>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</si>
  <si>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</si>
  <si>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</si>
  <si>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</si>
  <si>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</si>
  <si>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</si>
  <si>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</si>
  <si>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</si>
  <si>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</si>
  <si>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</si>
  <si>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</si>
  <si>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</si>
  <si>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</si>
  <si>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</si>
  <si>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</si>
  <si>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</si>
  <si>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</si>
  <si>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</si>
  <si>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</si>
  <si>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</si>
  <si>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</si>
  <si>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</si>
  <si>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</si>
  <si>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</si>
  <si>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</si>
  <si>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</si>
  <si>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</si>
  <si>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</si>
  <si>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</si>
  <si>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</si>
  <si>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</si>
  <si>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</si>
  <si>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</si>
  <si>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</si>
  <si>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</si>
  <si>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</si>
  <si>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</si>
  <si>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</si>
  <si>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</si>
  <si>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</si>
  <si>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</si>
  <si>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</si>
  <si>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</si>
  <si>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</si>
  <si>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</si>
  <si>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</si>
  <si>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</si>
  <si>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</si>
  <si>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</si>
  <si>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</si>
  <si>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</si>
  <si>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</si>
  <si>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</si>
  <si>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</si>
  <si>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</si>
  <si>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</si>
  <si>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</si>
  <si>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</si>
  <si>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</si>
  <si>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</si>
  <si>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</si>
  <si>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</si>
  <si>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</si>
  <si>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</si>
  <si>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</si>
  <si>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</si>
  <si>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</si>
  <si>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</si>
  <si>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</si>
  <si>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</si>
  <si>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</si>
  <si>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</si>
  <si>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</si>
  <si>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</si>
  <si>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</si>
  <si>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</si>
  <si>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</si>
  <si>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</si>
  <si>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</si>
  <si>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</si>
  <si>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</si>
  <si>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</si>
  <si>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</si>
  <si>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</si>
  <si>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</si>
  <si>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</si>
  <si>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</si>
  <si>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</si>
  <si>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</si>
  <si>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</si>
  <si>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</si>
  <si>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</si>
  <si>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</si>
  <si>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</si>
  <si>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</si>
  <si>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</si>
  <si>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</si>
  <si>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</si>
  <si>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</si>
  <si>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</si>
  <si>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</si>
  <si>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</si>
  <si>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</si>
  <si>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</si>
  <si>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</si>
  <si>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</si>
  <si>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</si>
  <si>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</si>
  <si>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</si>
  <si>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</si>
  <si>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</si>
  <si>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</si>
  <si>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</si>
  <si>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</si>
  <si>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</si>
  <si>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</si>
  <si>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</si>
  <si>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</si>
  <si>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</si>
  <si>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</si>
  <si>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</si>
  <si>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</si>
  <si>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</si>
  <si>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</si>
  <si>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</si>
  <si>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0718340</t>
  </si>
  <si>
    <t xml:space="preserve">                Додаток  № 3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</si>
  <si>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</si>
  <si>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</si>
  <si>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</si>
  <si>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 xml:space="preserve">                Додаток  № 4</t>
  </si>
  <si>
    <t>1516083</t>
  </si>
  <si>
    <t>1517361</t>
  </si>
  <si>
    <t>Сумський міський голова</t>
  </si>
  <si>
    <t>О.М. Лисенко</t>
  </si>
  <si>
    <t>Виконавець: Липова С.А.</t>
  </si>
  <si>
    <t>від 29 серпня 2018 року № 3779 -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</si>
</sst>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4" fillId="40" borderId="0" applyNumberFormat="0" applyBorder="0" applyAlignment="0" applyProtection="0"/>
    <xf numFmtId="0" fontId="53" fillId="29" borderId="0" applyNumberFormat="0" applyBorder="0" applyAlignment="0" applyProtection="0"/>
    <xf numFmtId="0" fontId="53" fillId="35" borderId="0" applyNumberFormat="0" applyBorder="0" applyAlignment="0" applyProtection="0"/>
    <xf numFmtId="0" fontId="54" fillId="41" borderId="0" applyNumberFormat="0" applyBorder="0" applyAlignment="0" applyProtection="0"/>
    <xf numFmtId="0" fontId="53" fillId="30" borderId="0" applyNumberFormat="0" applyBorder="0" applyAlignment="0" applyProtection="0"/>
    <xf numFmtId="0" fontId="53" fillId="36" borderId="0" applyNumberFormat="0" applyBorder="0" applyAlignment="0" applyProtection="0"/>
    <xf numFmtId="0" fontId="54" fillId="42" borderId="0" applyNumberFormat="0" applyBorder="0" applyAlignment="0" applyProtection="0"/>
    <xf numFmtId="0" fontId="53" fillId="31" borderId="0" applyNumberFormat="0" applyBorder="0" applyAlignment="0" applyProtection="0"/>
    <xf numFmtId="0" fontId="53" fillId="37" borderId="0" applyNumberFormat="0" applyBorder="0" applyAlignment="0" applyProtection="0"/>
    <xf numFmtId="0" fontId="54" fillId="43" borderId="0" applyNumberFormat="0" applyBorder="0" applyAlignment="0" applyProtection="0"/>
    <xf numFmtId="0" fontId="53" fillId="32" borderId="0" applyNumberFormat="0" applyBorder="0" applyAlignment="0" applyProtection="0"/>
    <xf numFmtId="0" fontId="53" fillId="38" borderId="0" applyNumberFormat="0" applyBorder="0" applyAlignment="0" applyProtection="0"/>
    <xf numFmtId="0" fontId="5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9" borderId="0" applyNumberFormat="0" applyBorder="0" applyAlignment="0" applyProtection="0"/>
    <xf numFmtId="0" fontId="54" fillId="45" borderId="0" applyNumberFormat="0" applyBorder="0" applyAlignment="0" applyProtection="0"/>
  </cellStyleXfs>
  <cellXfs count="288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left" vertical="center" wrapText="1" shrinkToFit="1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9" fontId="39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4" fillId="24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0" fontId="27" fillId="0" borderId="7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/>
    <xf numFmtId="0" fontId="27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vertical="center" textRotation="180"/>
    </xf>
    <xf numFmtId="3" fontId="29" fillId="0" borderId="0" xfId="0" applyNumberFormat="1" applyFont="1" applyFill="1" applyBorder="1" applyAlignment="1">
      <alignment vertical="center" textRotation="180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29" fillId="0" borderId="0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/>
    <xf numFmtId="4" fontId="51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 applyProtection="1"/>
    <xf numFmtId="0" fontId="29" fillId="0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3" fontId="29" fillId="0" borderId="12" xfId="0" applyNumberFormat="1" applyFont="1" applyFill="1" applyBorder="1" applyAlignment="1">
      <alignment horizontal="center" vertical="center" textRotation="180"/>
    </xf>
    <xf numFmtId="49" fontId="27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4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Y509"/>
  <sheetViews>
    <sheetView showGridLines="0" showZeros="0" tabSelected="1" view="pageBreakPreview" topLeftCell="A247" zoomScale="55" zoomScaleNormal="40" zoomScaleSheetLayoutView="55" workbookViewId="0">
      <selection activeCell="A252" sqref="A252:XFD252"/>
    </sheetView>
  </sheetViews>
  <sheetFormatPr defaultColWidth="9.1640625" defaultRowHeight="15" x14ac:dyDescent="0.25"/>
  <cols>
    <col min="1" max="1" width="19.33203125" style="64" customWidth="1"/>
    <col min="2" max="2" width="17.5" style="69" customWidth="1"/>
    <col min="3" max="3" width="18" style="65" customWidth="1"/>
    <col min="4" max="4" width="64.33203125" style="208" customWidth="1"/>
    <col min="5" max="5" width="24.1640625" style="62" customWidth="1"/>
    <col min="6" max="6" width="21.83203125" style="62" customWidth="1"/>
    <col min="7" max="7" width="19.33203125" style="62" customWidth="1"/>
    <col min="8" max="8" width="19.1640625" style="62" customWidth="1"/>
    <col min="9" max="9" width="18" style="62" customWidth="1"/>
    <col min="10" max="10" width="20.83203125" style="62" customWidth="1"/>
    <col min="11" max="11" width="19.33203125" style="62" customWidth="1"/>
    <col min="12" max="12" width="16.6640625" style="62" customWidth="1"/>
    <col min="13" max="13" width="16.5" style="62" customWidth="1"/>
    <col min="14" max="14" width="19.1640625" style="62" customWidth="1"/>
    <col min="15" max="15" width="20.1640625" style="62" customWidth="1"/>
    <col min="16" max="16" width="22.1640625" style="129" customWidth="1"/>
    <col min="17" max="17" width="7.5" style="193" customWidth="1"/>
    <col min="18" max="18" width="15.83203125" style="141" customWidth="1"/>
    <col min="19" max="19" width="18.1640625" style="141" customWidth="1"/>
    <col min="20" max="20" width="18.83203125" style="141" customWidth="1"/>
    <col min="21" max="16384" width="9.1640625" style="19"/>
  </cols>
  <sheetData>
    <row r="1" spans="1:20" ht="21.75" customHeight="1" x14ac:dyDescent="0.25">
      <c r="A1" s="58"/>
      <c r="B1" s="59"/>
      <c r="C1" s="59"/>
      <c r="D1" s="202"/>
      <c r="E1" s="130"/>
      <c r="F1" s="60"/>
      <c r="G1" s="60"/>
      <c r="H1" s="60"/>
      <c r="I1" s="60"/>
      <c r="J1" s="60"/>
      <c r="K1" s="130"/>
      <c r="L1" s="281" t="s">
        <v>673</v>
      </c>
      <c r="M1" s="281"/>
      <c r="N1" s="281"/>
      <c r="O1" s="281"/>
      <c r="P1" s="254"/>
      <c r="Q1" s="270"/>
    </row>
    <row r="2" spans="1:20" ht="23.25" customHeight="1" x14ac:dyDescent="0.25">
      <c r="A2" s="58"/>
      <c r="B2" s="59"/>
      <c r="C2" s="59"/>
      <c r="D2" s="202"/>
      <c r="E2" s="130"/>
      <c r="F2" s="60"/>
      <c r="G2" s="60"/>
      <c r="H2" s="60"/>
      <c r="I2" s="60"/>
      <c r="J2" s="60"/>
      <c r="K2" s="130"/>
      <c r="L2" s="254" t="s">
        <v>674</v>
      </c>
      <c r="M2" s="254"/>
      <c r="N2" s="254"/>
      <c r="O2" s="254"/>
      <c r="P2" s="254"/>
      <c r="Q2" s="270"/>
    </row>
    <row r="3" spans="1:20" ht="23.25" customHeight="1" x14ac:dyDescent="0.25">
      <c r="A3" s="58"/>
      <c r="B3" s="59"/>
      <c r="C3" s="59"/>
      <c r="D3" s="202"/>
      <c r="E3" s="130"/>
      <c r="F3" s="60"/>
      <c r="G3" s="60"/>
      <c r="H3" s="60"/>
      <c r="I3" s="60"/>
      <c r="J3" s="60"/>
      <c r="K3" s="130"/>
      <c r="L3" s="262" t="s">
        <v>675</v>
      </c>
      <c r="M3" s="262"/>
      <c r="N3" s="262"/>
      <c r="O3" s="262"/>
      <c r="P3" s="262"/>
      <c r="Q3" s="270"/>
    </row>
    <row r="4" spans="1:20" ht="23.25" customHeight="1" x14ac:dyDescent="0.25">
      <c r="A4" s="58"/>
      <c r="B4" s="59"/>
      <c r="C4" s="59"/>
      <c r="D4" s="202"/>
      <c r="E4" s="130"/>
      <c r="F4" s="60"/>
      <c r="G4" s="60"/>
      <c r="H4" s="60"/>
      <c r="I4" s="60"/>
      <c r="J4" s="60"/>
      <c r="K4" s="130"/>
      <c r="L4" s="262" t="s">
        <v>676</v>
      </c>
      <c r="M4" s="262"/>
      <c r="N4" s="262"/>
      <c r="O4" s="262"/>
      <c r="P4" s="262"/>
      <c r="Q4" s="270"/>
    </row>
    <row r="5" spans="1:20" ht="24" customHeight="1" x14ac:dyDescent="0.25">
      <c r="A5" s="58"/>
      <c r="B5" s="59"/>
      <c r="C5" s="59"/>
      <c r="D5" s="202"/>
      <c r="E5" s="130"/>
      <c r="F5" s="60"/>
      <c r="G5" s="60"/>
      <c r="H5" s="60"/>
      <c r="I5" s="60"/>
      <c r="J5" s="60"/>
      <c r="K5" s="130"/>
      <c r="L5" s="280" t="s">
        <v>683</v>
      </c>
      <c r="M5" s="280"/>
      <c r="N5" s="280"/>
      <c r="O5" s="280"/>
      <c r="P5" s="280"/>
      <c r="Q5" s="270"/>
    </row>
    <row r="6" spans="1:20" ht="36" customHeight="1" x14ac:dyDescent="0.25">
      <c r="A6" s="58"/>
      <c r="B6" s="59"/>
      <c r="C6" s="59"/>
      <c r="D6" s="202"/>
      <c r="E6" s="130"/>
      <c r="F6" s="60"/>
      <c r="G6" s="60"/>
      <c r="H6" s="60"/>
      <c r="I6" s="60"/>
      <c r="J6" s="60"/>
      <c r="K6" s="130"/>
      <c r="L6" s="280"/>
      <c r="M6" s="280"/>
      <c r="N6" s="280"/>
      <c r="O6" s="280"/>
      <c r="P6" s="280"/>
      <c r="Q6" s="270"/>
    </row>
    <row r="7" spans="1:20" ht="52.5" customHeight="1" x14ac:dyDescent="0.25">
      <c r="A7" s="58"/>
      <c r="B7" s="59"/>
      <c r="C7" s="59"/>
      <c r="D7" s="282" t="s">
        <v>372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60"/>
      <c r="Q7" s="270"/>
      <c r="R7" s="145"/>
      <c r="S7" s="145"/>
      <c r="T7" s="145"/>
    </row>
    <row r="8" spans="1:20" ht="25.9" customHeight="1" x14ac:dyDescent="0.25">
      <c r="A8" s="58"/>
      <c r="B8" s="59"/>
      <c r="C8" s="59"/>
      <c r="D8" s="203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7" t="s">
        <v>373</v>
      </c>
      <c r="Q8" s="270"/>
      <c r="R8" s="191"/>
      <c r="S8" s="191"/>
      <c r="T8" s="191"/>
    </row>
    <row r="9" spans="1:20" s="3" customFormat="1" ht="21.75" customHeight="1" x14ac:dyDescent="0.25">
      <c r="A9" s="275" t="s">
        <v>163</v>
      </c>
      <c r="B9" s="267" t="s">
        <v>165</v>
      </c>
      <c r="C9" s="267" t="s">
        <v>80</v>
      </c>
      <c r="D9" s="267" t="s">
        <v>178</v>
      </c>
      <c r="E9" s="264" t="s">
        <v>362</v>
      </c>
      <c r="F9" s="265"/>
      <c r="G9" s="265"/>
      <c r="H9" s="265"/>
      <c r="I9" s="266"/>
      <c r="J9" s="264" t="s">
        <v>363</v>
      </c>
      <c r="K9" s="265"/>
      <c r="L9" s="265"/>
      <c r="M9" s="265"/>
      <c r="N9" s="265"/>
      <c r="O9" s="266"/>
      <c r="P9" s="267" t="s">
        <v>364</v>
      </c>
      <c r="Q9" s="270"/>
      <c r="R9" s="192"/>
      <c r="S9" s="192"/>
      <c r="T9" s="192"/>
    </row>
    <row r="10" spans="1:20" s="3" customFormat="1" ht="33" customHeight="1" x14ac:dyDescent="0.25">
      <c r="A10" s="276"/>
      <c r="B10" s="269"/>
      <c r="C10" s="269"/>
      <c r="D10" s="269"/>
      <c r="E10" s="267" t="s">
        <v>365</v>
      </c>
      <c r="F10" s="267" t="s">
        <v>366</v>
      </c>
      <c r="G10" s="264" t="s">
        <v>367</v>
      </c>
      <c r="H10" s="266"/>
      <c r="I10" s="267" t="s">
        <v>368</v>
      </c>
      <c r="J10" s="267" t="s">
        <v>365</v>
      </c>
      <c r="K10" s="267" t="s">
        <v>366</v>
      </c>
      <c r="L10" s="264" t="s">
        <v>367</v>
      </c>
      <c r="M10" s="266"/>
      <c r="N10" s="267" t="s">
        <v>368</v>
      </c>
      <c r="O10" s="38" t="s">
        <v>367</v>
      </c>
      <c r="P10" s="269"/>
      <c r="Q10" s="270"/>
      <c r="R10" s="146"/>
      <c r="S10" s="146"/>
      <c r="T10" s="146"/>
    </row>
    <row r="11" spans="1:20" s="3" customFormat="1" ht="30.75" customHeight="1" x14ac:dyDescent="0.25">
      <c r="A11" s="276"/>
      <c r="B11" s="269"/>
      <c r="C11" s="269"/>
      <c r="D11" s="269"/>
      <c r="E11" s="269"/>
      <c r="F11" s="269"/>
      <c r="G11" s="267" t="s">
        <v>369</v>
      </c>
      <c r="H11" s="267" t="s">
        <v>370</v>
      </c>
      <c r="I11" s="269"/>
      <c r="J11" s="269"/>
      <c r="K11" s="269"/>
      <c r="L11" s="267" t="s">
        <v>369</v>
      </c>
      <c r="M11" s="267" t="s">
        <v>370</v>
      </c>
      <c r="N11" s="269"/>
      <c r="O11" s="267" t="s">
        <v>371</v>
      </c>
      <c r="P11" s="269"/>
      <c r="Q11" s="270"/>
      <c r="R11" s="148"/>
      <c r="S11" s="148"/>
      <c r="T11" s="147"/>
    </row>
    <row r="12" spans="1:20" s="3" customFormat="1" ht="38.25" customHeight="1" x14ac:dyDescent="0.25">
      <c r="A12" s="27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70"/>
      <c r="R12" s="146"/>
      <c r="S12" s="146"/>
      <c r="T12" s="149"/>
    </row>
    <row r="13" spans="1:20" s="107" customFormat="1" ht="19.5" customHeight="1" x14ac:dyDescent="0.2">
      <c r="A13" s="106" t="s">
        <v>237</v>
      </c>
      <c r="B13" s="106"/>
      <c r="C13" s="106"/>
      <c r="D13" s="35" t="s">
        <v>67</v>
      </c>
      <c r="E13" s="46">
        <f>E14</f>
        <v>155563238</v>
      </c>
      <c r="F13" s="46">
        <f t="shared" ref="F13:P13" si="0">F14</f>
        <v>130665802</v>
      </c>
      <c r="G13" s="46">
        <f t="shared" si="0"/>
        <v>65407723</v>
      </c>
      <c r="H13" s="46">
        <f t="shared" si="0"/>
        <v>4166743</v>
      </c>
      <c r="I13" s="46">
        <f t="shared" si="0"/>
        <v>24897436</v>
      </c>
      <c r="J13" s="46">
        <f t="shared" si="0"/>
        <v>50164063.479999997</v>
      </c>
      <c r="K13" s="46">
        <f t="shared" si="0"/>
        <v>483319.48</v>
      </c>
      <c r="L13" s="46">
        <f t="shared" si="0"/>
        <v>141022</v>
      </c>
      <c r="M13" s="46">
        <f t="shared" si="0"/>
        <v>54604</v>
      </c>
      <c r="N13" s="46">
        <f t="shared" si="0"/>
        <v>49680744</v>
      </c>
      <c r="O13" s="46">
        <f t="shared" si="0"/>
        <v>49680744</v>
      </c>
      <c r="P13" s="46">
        <f t="shared" si="0"/>
        <v>205727301.47999999</v>
      </c>
      <c r="Q13" s="270"/>
      <c r="R13" s="151"/>
      <c r="S13" s="151"/>
      <c r="T13" s="151"/>
    </row>
    <row r="14" spans="1:20" s="109" customFormat="1" ht="19.5" customHeight="1" x14ac:dyDescent="0.2">
      <c r="A14" s="108" t="s">
        <v>238</v>
      </c>
      <c r="B14" s="108"/>
      <c r="C14" s="108"/>
      <c r="D14" s="118" t="s">
        <v>67</v>
      </c>
      <c r="E14" s="74">
        <f>E15+E16+E17+E20+E22+E24+E25+E29+E32+E35+E38+E41+E43+E47+E48+E49+E50+E51+E52+E55+E56+E57+E58+E59+E46+E28+E61+E60</f>
        <v>155563238</v>
      </c>
      <c r="F14" s="74">
        <f>F15+F16+F17+F20+F22+F24+F25+F29+F32+F35+F38+F41+F43+F47+F48+F49+F50+F51+F52+F55+F56+F57+F58+F59+F46+F28+F61+F60</f>
        <v>130665802</v>
      </c>
      <c r="G14" s="74">
        <f>G15+G16+G17+G20+G22+G24+G25+G29+G32+G35+G38+G41+G43+G47+G48+G49+G50+G51+G52+G55+G56+G57+G58+G59+G46+G28+G61+G60</f>
        <v>65407723</v>
      </c>
      <c r="H14" s="74">
        <f t="shared" ref="H14:P14" si="1">H15+H16+H17+H20+H22+H24+H25+H29+H32+H35+H38+H41+H43+H47+H48+H49+H50+H51+H52+H55+H56+H57+H58+H59+H46+H28+H61+H60</f>
        <v>4166743</v>
      </c>
      <c r="I14" s="74">
        <f t="shared" si="1"/>
        <v>24897436</v>
      </c>
      <c r="J14" s="74">
        <f t="shared" si="1"/>
        <v>50164063.479999997</v>
      </c>
      <c r="K14" s="74">
        <f t="shared" si="1"/>
        <v>483319.48</v>
      </c>
      <c r="L14" s="74">
        <f t="shared" si="1"/>
        <v>141022</v>
      </c>
      <c r="M14" s="74">
        <f t="shared" si="1"/>
        <v>54604</v>
      </c>
      <c r="N14" s="74">
        <f t="shared" si="1"/>
        <v>49680744</v>
      </c>
      <c r="O14" s="74">
        <f t="shared" si="1"/>
        <v>49680744</v>
      </c>
      <c r="P14" s="74">
        <f t="shared" si="1"/>
        <v>205727301.47999999</v>
      </c>
      <c r="Q14" s="270"/>
      <c r="R14" s="152"/>
      <c r="S14" s="152"/>
      <c r="T14" s="152"/>
    </row>
    <row r="15" spans="1:20" s="4" customFormat="1" ht="46.5" customHeight="1" x14ac:dyDescent="0.2">
      <c r="A15" s="75" t="s">
        <v>239</v>
      </c>
      <c r="B15" s="75" t="str">
        <f>'дод. 4'!A14</f>
        <v>0160</v>
      </c>
      <c r="C15" s="75" t="str">
        <f>'дод. 4'!B14</f>
        <v>0111</v>
      </c>
      <c r="D1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77">
        <f>F15+I15</f>
        <v>73843925</v>
      </c>
      <c r="F15" s="77">
        <f>72007500+190000-526200+150000+210000+172915+392079+352087+277500+150000+265200-31200+171000+10000+53044</f>
        <v>73843925</v>
      </c>
      <c r="G15" s="77">
        <f>52010600+108947+321373</f>
        <v>52440920</v>
      </c>
      <c r="H15" s="77">
        <f>2150738+53044</f>
        <v>2203782</v>
      </c>
      <c r="I15" s="77"/>
      <c r="J15" s="77">
        <f>K15+N15</f>
        <v>3218214</v>
      </c>
      <c r="K15" s="77"/>
      <c r="L15" s="77"/>
      <c r="M15" s="77"/>
      <c r="N15" s="77">
        <f>4000000-1295000+302014+31200+180000</f>
        <v>3218214</v>
      </c>
      <c r="O15" s="77">
        <f>4000000-1295000+302014+31200+180000</f>
        <v>3218214</v>
      </c>
      <c r="P15" s="77">
        <f>E15+J15</f>
        <v>77062139</v>
      </c>
      <c r="Q15" s="270"/>
      <c r="R15" s="153"/>
      <c r="S15" s="153"/>
      <c r="T15" s="153"/>
    </row>
    <row r="16" spans="1:20" s="4" customFormat="1" ht="27" customHeight="1" x14ac:dyDescent="0.2">
      <c r="A16" s="75" t="s">
        <v>385</v>
      </c>
      <c r="B16" s="75" t="str">
        <f>'дод. 4'!A15</f>
        <v>0180</v>
      </c>
      <c r="C16" s="75" t="str">
        <f>'дод. 4'!B15</f>
        <v>0133</v>
      </c>
      <c r="D16" s="104" t="str">
        <f>'дод. 4'!C15</f>
        <v>Інша діяльність у сфері державного управління</v>
      </c>
      <c r="E16" s="77">
        <f>F16+I16</f>
        <v>137640</v>
      </c>
      <c r="F16" s="77">
        <f>100000+27500+10140</f>
        <v>137640</v>
      </c>
      <c r="G16" s="77"/>
      <c r="H16" s="77"/>
      <c r="I16" s="77"/>
      <c r="J16" s="77">
        <f>K16+N16</f>
        <v>0</v>
      </c>
      <c r="K16" s="77"/>
      <c r="L16" s="77"/>
      <c r="M16" s="77"/>
      <c r="N16" s="77"/>
      <c r="O16" s="77"/>
      <c r="P16" s="77">
        <f>E16+J16</f>
        <v>137640</v>
      </c>
      <c r="Q16" s="270"/>
      <c r="R16" s="153"/>
      <c r="S16" s="153"/>
      <c r="T16" s="153"/>
    </row>
    <row r="17" spans="1:20" s="4" customFormat="1" ht="68.25" customHeight="1" x14ac:dyDescent="0.2">
      <c r="A17" s="75" t="s">
        <v>240</v>
      </c>
      <c r="B17" s="75" t="str">
        <f>'дод. 4'!A77</f>
        <v>3030</v>
      </c>
      <c r="C17" s="75">
        <f>'дод. 4'!B77</f>
        <v>0</v>
      </c>
      <c r="D17" s="104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77">
        <f>E18+E19</f>
        <v>190000</v>
      </c>
      <c r="F17" s="77">
        <f t="shared" ref="F17:P17" si="2">F18+F19</f>
        <v>190000</v>
      </c>
      <c r="G17" s="77">
        <f t="shared" si="2"/>
        <v>0</v>
      </c>
      <c r="H17" s="77">
        <f t="shared" si="2"/>
        <v>0</v>
      </c>
      <c r="I17" s="77">
        <f t="shared" si="2"/>
        <v>0</v>
      </c>
      <c r="J17" s="77">
        <f t="shared" si="2"/>
        <v>0</v>
      </c>
      <c r="K17" s="77">
        <f t="shared" si="2"/>
        <v>0</v>
      </c>
      <c r="L17" s="77">
        <f t="shared" si="2"/>
        <v>0</v>
      </c>
      <c r="M17" s="77">
        <f t="shared" si="2"/>
        <v>0</v>
      </c>
      <c r="N17" s="77">
        <f t="shared" si="2"/>
        <v>0</v>
      </c>
      <c r="O17" s="77">
        <f t="shared" si="2"/>
        <v>0</v>
      </c>
      <c r="P17" s="77">
        <f t="shared" si="2"/>
        <v>190000</v>
      </c>
      <c r="Q17" s="270"/>
      <c r="R17" s="154"/>
      <c r="S17" s="154"/>
      <c r="T17" s="154"/>
    </row>
    <row r="18" spans="1:20" s="110" customFormat="1" ht="51.75" customHeight="1" x14ac:dyDescent="0.2">
      <c r="A18" s="78" t="s">
        <v>401</v>
      </c>
      <c r="B18" s="78" t="str">
        <f>'дод. 4'!A80</f>
        <v>3033</v>
      </c>
      <c r="C18" s="78" t="str">
        <f>'дод. 4'!B80</f>
        <v>1070</v>
      </c>
      <c r="D18" s="101" t="str">
        <f>'дод. 4'!C80</f>
        <v>Компенсаційні виплати на пільговий проїзд автомобільним транспортом окремим категоріям громадян</v>
      </c>
      <c r="E18" s="80">
        <f>F18+I18</f>
        <v>51700</v>
      </c>
      <c r="F18" s="80">
        <f>25000+26700</f>
        <v>51700</v>
      </c>
      <c r="G18" s="80"/>
      <c r="H18" s="80"/>
      <c r="I18" s="80"/>
      <c r="J18" s="80">
        <f>K18+N18</f>
        <v>0</v>
      </c>
      <c r="K18" s="80"/>
      <c r="L18" s="80"/>
      <c r="M18" s="80"/>
      <c r="N18" s="80"/>
      <c r="O18" s="80"/>
      <c r="P18" s="80">
        <f>E18+J18</f>
        <v>51700</v>
      </c>
      <c r="Q18" s="270"/>
      <c r="R18" s="155"/>
      <c r="S18" s="155"/>
      <c r="T18" s="155"/>
    </row>
    <row r="19" spans="1:20" s="110" customFormat="1" ht="48.75" customHeight="1" x14ac:dyDescent="0.2">
      <c r="A19" s="78" t="s">
        <v>241</v>
      </c>
      <c r="B19" s="78" t="str">
        <f>'дод. 4'!A82</f>
        <v>3036</v>
      </c>
      <c r="C19" s="78" t="str">
        <f>'дод. 4'!B82</f>
        <v>1070</v>
      </c>
      <c r="D19" s="101" t="str">
        <f>'дод. 4'!C82</f>
        <v>Компенсаційні виплати на пільговий проїзд електротранспортом окремим категоріям громадян</v>
      </c>
      <c r="E19" s="80">
        <f>F19+I19</f>
        <v>138300</v>
      </c>
      <c r="F19" s="80">
        <f>65000+73300</f>
        <v>138300</v>
      </c>
      <c r="G19" s="80"/>
      <c r="H19" s="80"/>
      <c r="I19" s="80"/>
      <c r="J19" s="80">
        <f t="shared" ref="J19:J60" si="3">K19+N19</f>
        <v>0</v>
      </c>
      <c r="K19" s="80"/>
      <c r="L19" s="80"/>
      <c r="M19" s="80"/>
      <c r="N19" s="80"/>
      <c r="O19" s="80"/>
      <c r="P19" s="80">
        <f>E19+J19</f>
        <v>138300</v>
      </c>
      <c r="Q19" s="270"/>
      <c r="R19" s="155"/>
      <c r="S19" s="155"/>
      <c r="T19" s="155"/>
    </row>
    <row r="20" spans="1:20" s="4" customFormat="1" ht="32.25" customHeight="1" x14ac:dyDescent="0.2">
      <c r="A20" s="81" t="s">
        <v>242</v>
      </c>
      <c r="B20" s="81" t="str">
        <f>'дод. 4'!A117</f>
        <v>3120</v>
      </c>
      <c r="C20" s="81">
        <f>'дод. 4'!B117</f>
        <v>0</v>
      </c>
      <c r="D20" s="102" t="str">
        <f>'дод. 4'!C117</f>
        <v>Здійснення соціальної роботи з вразливими категоріями населення</v>
      </c>
      <c r="E20" s="83">
        <f>E21</f>
        <v>1791330</v>
      </c>
      <c r="F20" s="83">
        <f t="shared" ref="F20:P20" si="4">F21</f>
        <v>1791330</v>
      </c>
      <c r="G20" s="83">
        <f t="shared" si="4"/>
        <v>1348310</v>
      </c>
      <c r="H20" s="83">
        <f t="shared" si="4"/>
        <v>63780</v>
      </c>
      <c r="I20" s="83">
        <f t="shared" si="4"/>
        <v>0</v>
      </c>
      <c r="J20" s="83">
        <f t="shared" si="4"/>
        <v>790500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83">
        <f t="shared" si="4"/>
        <v>790500</v>
      </c>
      <c r="O20" s="83">
        <f t="shared" si="4"/>
        <v>790500</v>
      </c>
      <c r="P20" s="83">
        <f t="shared" si="4"/>
        <v>2581830</v>
      </c>
      <c r="Q20" s="270"/>
      <c r="R20" s="154"/>
      <c r="S20" s="154"/>
      <c r="T20" s="154"/>
    </row>
    <row r="21" spans="1:20" s="110" customFormat="1" ht="48.75" customHeight="1" x14ac:dyDescent="0.2">
      <c r="A21" s="78" t="s">
        <v>243</v>
      </c>
      <c r="B21" s="78" t="str">
        <f>'дод. 4'!A118</f>
        <v>3121</v>
      </c>
      <c r="C21" s="78" t="str">
        <f>'дод. 4'!B118</f>
        <v>1040</v>
      </c>
      <c r="D21" s="101" t="str">
        <f>'дод. 4'!C118</f>
        <v>Утримання та забезпечення діяльності центрів соціальних служб для сім’ї, дітей та молоді</v>
      </c>
      <c r="E21" s="80">
        <f>F21+I21</f>
        <v>1791330</v>
      </c>
      <c r="F21" s="80">
        <f>1661740+122260+7330</f>
        <v>1791330</v>
      </c>
      <c r="G21" s="80">
        <f>1247850+100460</f>
        <v>1348310</v>
      </c>
      <c r="H21" s="80">
        <f>56450+7330</f>
        <v>63780</v>
      </c>
      <c r="I21" s="80"/>
      <c r="J21" s="80">
        <f t="shared" si="3"/>
        <v>790500</v>
      </c>
      <c r="K21" s="80"/>
      <c r="L21" s="80"/>
      <c r="M21" s="80"/>
      <c r="N21" s="80">
        <f>20500+385000+300000+85000</f>
        <v>790500</v>
      </c>
      <c r="O21" s="80">
        <f>20500+385000+300000+85000</f>
        <v>790500</v>
      </c>
      <c r="P21" s="80">
        <f>E21+J21</f>
        <v>2581830</v>
      </c>
      <c r="Q21" s="270"/>
      <c r="R21" s="155"/>
      <c r="S21" s="155"/>
      <c r="T21" s="155"/>
    </row>
    <row r="22" spans="1:20" s="110" customFormat="1" ht="36" customHeight="1" x14ac:dyDescent="0.2">
      <c r="A22" s="81" t="s">
        <v>244</v>
      </c>
      <c r="B22" s="81" t="str">
        <f>'дод. 4'!A119</f>
        <v>3130</v>
      </c>
      <c r="C22" s="81">
        <f>'дод. 4'!B119</f>
        <v>0</v>
      </c>
      <c r="D22" s="102" t="str">
        <f>'дод. 4'!C119</f>
        <v>Реалізація державної політики у молодіжній сфері</v>
      </c>
      <c r="E22" s="83">
        <f>E23</f>
        <v>684600</v>
      </c>
      <c r="F22" s="83">
        <f t="shared" ref="F22:P22" si="5">F23</f>
        <v>684600</v>
      </c>
      <c r="G22" s="83">
        <f t="shared" si="5"/>
        <v>0</v>
      </c>
      <c r="H22" s="83">
        <f t="shared" si="5"/>
        <v>0</v>
      </c>
      <c r="I22" s="83">
        <f t="shared" si="5"/>
        <v>0</v>
      </c>
      <c r="J22" s="83">
        <f t="shared" si="5"/>
        <v>0</v>
      </c>
      <c r="K22" s="83">
        <f t="shared" si="5"/>
        <v>0</v>
      </c>
      <c r="L22" s="83">
        <f t="shared" si="5"/>
        <v>0</v>
      </c>
      <c r="M22" s="83">
        <f t="shared" si="5"/>
        <v>0</v>
      </c>
      <c r="N22" s="83">
        <f t="shared" si="5"/>
        <v>0</v>
      </c>
      <c r="O22" s="83">
        <f t="shared" si="5"/>
        <v>0</v>
      </c>
      <c r="P22" s="83">
        <f t="shared" si="5"/>
        <v>684600</v>
      </c>
      <c r="Q22" s="270"/>
      <c r="R22" s="154"/>
      <c r="S22" s="154"/>
      <c r="T22" s="154"/>
    </row>
    <row r="23" spans="1:20" s="110" customFormat="1" ht="45" x14ac:dyDescent="0.2">
      <c r="A23" s="78" t="s">
        <v>245</v>
      </c>
      <c r="B23" s="78" t="str">
        <f>'дод. 4'!A120</f>
        <v>3131</v>
      </c>
      <c r="C23" s="78" t="str">
        <f>'дод. 4'!B120</f>
        <v>1040</v>
      </c>
      <c r="D23" s="101" t="str">
        <f>'дод. 4'!C120</f>
        <v>Здійснення заходів та реалізація проектів на виконання Державної цільової соціальної програми «Молодь України»</v>
      </c>
      <c r="E23" s="80">
        <f>F23+I23</f>
        <v>684600</v>
      </c>
      <c r="F23" s="80">
        <f>750000-65400</f>
        <v>684600</v>
      </c>
      <c r="G23" s="80"/>
      <c r="H23" s="80"/>
      <c r="I23" s="80"/>
      <c r="J23" s="80">
        <f t="shared" si="3"/>
        <v>0</v>
      </c>
      <c r="K23" s="80"/>
      <c r="L23" s="80"/>
      <c r="M23" s="80"/>
      <c r="N23" s="80"/>
      <c r="O23" s="80"/>
      <c r="P23" s="80">
        <f>E23+J23</f>
        <v>684600</v>
      </c>
      <c r="Q23" s="270"/>
      <c r="R23" s="155"/>
      <c r="S23" s="155"/>
      <c r="T23" s="155"/>
    </row>
    <row r="24" spans="1:20" s="110" customFormat="1" ht="60" customHeight="1" x14ac:dyDescent="0.2">
      <c r="A24" s="81" t="s">
        <v>246</v>
      </c>
      <c r="B24" s="81" t="str">
        <f>'дод. 4'!A121</f>
        <v>3140</v>
      </c>
      <c r="C24" s="81" t="str">
        <f>'дод. 4'!B121</f>
        <v>1040</v>
      </c>
      <c r="D24" s="102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83">
        <f>F24+I24</f>
        <v>2129665</v>
      </c>
      <c r="F24" s="83">
        <f>430000+1699665</f>
        <v>2129665</v>
      </c>
      <c r="G24" s="83"/>
      <c r="H24" s="83"/>
      <c r="I24" s="83"/>
      <c r="J24" s="83">
        <f t="shared" si="3"/>
        <v>0</v>
      </c>
      <c r="K24" s="83"/>
      <c r="L24" s="83"/>
      <c r="M24" s="83"/>
      <c r="N24" s="83"/>
      <c r="O24" s="83"/>
      <c r="P24" s="83">
        <f>E24+J24</f>
        <v>2129665</v>
      </c>
      <c r="Q24" s="270"/>
      <c r="R24" s="153"/>
      <c r="S24" s="153"/>
      <c r="T24" s="153"/>
    </row>
    <row r="25" spans="1:20" s="110" customFormat="1" ht="21.75" customHeight="1" x14ac:dyDescent="0.2">
      <c r="A25" s="81" t="s">
        <v>479</v>
      </c>
      <c r="B25" s="81" t="str">
        <f>'дод. 4'!A142</f>
        <v>3240</v>
      </c>
      <c r="C25" s="81">
        <f>'дод. 4'!B142</f>
        <v>0</v>
      </c>
      <c r="D25" s="102" t="str">
        <f>'дод. 4'!C142</f>
        <v>Інші заклади та заходи</v>
      </c>
      <c r="E25" s="83">
        <f>E26+E27</f>
        <v>1054111</v>
      </c>
      <c r="F25" s="83">
        <f t="shared" ref="F25:P25" si="6">F26+F27</f>
        <v>1054111</v>
      </c>
      <c r="G25" s="83">
        <f t="shared" si="6"/>
        <v>578471</v>
      </c>
      <c r="H25" s="83">
        <f t="shared" si="6"/>
        <v>97477</v>
      </c>
      <c r="I25" s="83">
        <f t="shared" si="6"/>
        <v>0</v>
      </c>
      <c r="J25" s="83">
        <f t="shared" si="6"/>
        <v>0</v>
      </c>
      <c r="K25" s="83">
        <f t="shared" si="6"/>
        <v>0</v>
      </c>
      <c r="L25" s="83">
        <f t="shared" si="6"/>
        <v>0</v>
      </c>
      <c r="M25" s="83">
        <f t="shared" si="6"/>
        <v>0</v>
      </c>
      <c r="N25" s="83">
        <f t="shared" si="6"/>
        <v>0</v>
      </c>
      <c r="O25" s="83">
        <f t="shared" si="6"/>
        <v>0</v>
      </c>
      <c r="P25" s="83">
        <f t="shared" si="6"/>
        <v>1054111</v>
      </c>
      <c r="Q25" s="270"/>
      <c r="R25" s="154"/>
      <c r="S25" s="154"/>
      <c r="T25" s="154"/>
    </row>
    <row r="26" spans="1:20" s="32" customFormat="1" ht="31.5" customHeight="1" x14ac:dyDescent="0.2">
      <c r="A26" s="78" t="s">
        <v>477</v>
      </c>
      <c r="B26" s="78" t="str">
        <f>'дод. 4'!A143</f>
        <v>3241</v>
      </c>
      <c r="C26" s="78" t="str">
        <f>'дод. 4'!B143</f>
        <v>1090</v>
      </c>
      <c r="D26" s="101" t="str">
        <f>'дод. 4'!C143</f>
        <v>Забезпечення діяльності інших закладів у сфері соціального захисту і соціального забезпечення</v>
      </c>
      <c r="E26" s="80">
        <f>F26+I26</f>
        <v>845645</v>
      </c>
      <c r="F26" s="80">
        <f>818206+27439</f>
        <v>845645</v>
      </c>
      <c r="G26" s="80">
        <f>555810+22661</f>
        <v>578471</v>
      </c>
      <c r="H26" s="80">
        <v>97477</v>
      </c>
      <c r="I26" s="80"/>
      <c r="J26" s="80"/>
      <c r="K26" s="80"/>
      <c r="L26" s="80"/>
      <c r="M26" s="80"/>
      <c r="N26" s="80"/>
      <c r="O26" s="80"/>
      <c r="P26" s="80">
        <f>E26+J26</f>
        <v>845645</v>
      </c>
      <c r="Q26" s="270"/>
      <c r="R26" s="155"/>
      <c r="S26" s="155"/>
      <c r="T26" s="155"/>
    </row>
    <row r="27" spans="1:20" s="32" customFormat="1" ht="33.75" customHeight="1" x14ac:dyDescent="0.2">
      <c r="A27" s="78" t="s">
        <v>478</v>
      </c>
      <c r="B27" s="78" t="str">
        <f>'дод. 4'!A144</f>
        <v>3242</v>
      </c>
      <c r="C27" s="78" t="str">
        <f>'дод. 4'!B144</f>
        <v>1090</v>
      </c>
      <c r="D27" s="101" t="str">
        <f>'дод. 4'!C144</f>
        <v>Інші заходи у сфері соціального захисту і соціального забезпечення</v>
      </c>
      <c r="E27" s="80">
        <f>F27+I27</f>
        <v>208466</v>
      </c>
      <c r="F27" s="80">
        <f>182066+26400</f>
        <v>208466</v>
      </c>
      <c r="G27" s="80"/>
      <c r="H27" s="80"/>
      <c r="I27" s="80"/>
      <c r="J27" s="80"/>
      <c r="K27" s="80"/>
      <c r="L27" s="80"/>
      <c r="M27" s="80"/>
      <c r="N27" s="80"/>
      <c r="O27" s="80"/>
      <c r="P27" s="80">
        <f>E27+J27</f>
        <v>208466</v>
      </c>
      <c r="Q27" s="270"/>
      <c r="R27" s="155"/>
      <c r="S27" s="155"/>
      <c r="T27" s="155"/>
    </row>
    <row r="28" spans="1:20" s="194" customFormat="1" ht="33.75" customHeight="1" x14ac:dyDescent="0.2">
      <c r="A28" s="75" t="s">
        <v>586</v>
      </c>
      <c r="B28" s="75" t="str">
        <f>'дод. 4'!A147</f>
        <v>4060</v>
      </c>
      <c r="C28" s="75" t="str">
        <f>'дод. 4'!B147</f>
        <v>0828</v>
      </c>
      <c r="D28" s="102" t="str">
        <f>'дод. 4'!C147</f>
        <v>Забезпечення діяльності палаців i будинків культури, клубів, центрів дозвілля та iнших клубних закладів</v>
      </c>
      <c r="E28" s="77">
        <f>F28+I28</f>
        <v>2392830</v>
      </c>
      <c r="F28" s="212">
        <f>1551300+200000+83000+100000+6000+198030+11100+100000+65400+78000</f>
        <v>2392830</v>
      </c>
      <c r="G28" s="77">
        <v>783989</v>
      </c>
      <c r="H28" s="77">
        <f>37625+200000+78000</f>
        <v>315625</v>
      </c>
      <c r="I28" s="77"/>
      <c r="J28" s="77">
        <f>K28+N28</f>
        <v>28500</v>
      </c>
      <c r="K28" s="77"/>
      <c r="L28" s="77"/>
      <c r="M28" s="77"/>
      <c r="N28" s="77">
        <v>28500</v>
      </c>
      <c r="O28" s="77">
        <v>28500</v>
      </c>
      <c r="P28" s="77">
        <f>E28+J28</f>
        <v>2421330</v>
      </c>
      <c r="Q28" s="270"/>
      <c r="R28" s="153"/>
      <c r="S28" s="153"/>
      <c r="T28" s="153"/>
    </row>
    <row r="29" spans="1:20" s="4" customFormat="1" ht="32.25" customHeight="1" x14ac:dyDescent="0.2">
      <c r="A29" s="81" t="s">
        <v>247</v>
      </c>
      <c r="B29" s="81" t="str">
        <f>'дод. 4'!A148</f>
        <v>4080</v>
      </c>
      <c r="C29" s="81">
        <f>'дод. 4'!B148</f>
        <v>0</v>
      </c>
      <c r="D29" s="102" t="str">
        <f>'дод. 4'!C148</f>
        <v>Інші заклади та заходи в галузі культури і мистецтва</v>
      </c>
      <c r="E29" s="83">
        <f>E30+E31</f>
        <v>2720602</v>
      </c>
      <c r="F29" s="83">
        <f t="shared" ref="F29:P29" si="7">F30+F31</f>
        <v>2720602</v>
      </c>
      <c r="G29" s="83">
        <f t="shared" si="7"/>
        <v>998500</v>
      </c>
      <c r="H29" s="83">
        <f t="shared" si="7"/>
        <v>93642</v>
      </c>
      <c r="I29" s="83">
        <f t="shared" si="7"/>
        <v>0</v>
      </c>
      <c r="J29" s="83">
        <f t="shared" si="7"/>
        <v>20500</v>
      </c>
      <c r="K29" s="83">
        <f t="shared" si="7"/>
        <v>0</v>
      </c>
      <c r="L29" s="83">
        <f t="shared" si="7"/>
        <v>0</v>
      </c>
      <c r="M29" s="83">
        <f t="shared" si="7"/>
        <v>0</v>
      </c>
      <c r="N29" s="83">
        <f t="shared" si="7"/>
        <v>20500</v>
      </c>
      <c r="O29" s="83">
        <f t="shared" si="7"/>
        <v>20500</v>
      </c>
      <c r="P29" s="83">
        <f t="shared" si="7"/>
        <v>2741102</v>
      </c>
      <c r="Q29" s="270"/>
      <c r="R29" s="154"/>
      <c r="S29" s="154"/>
      <c r="T29" s="154"/>
    </row>
    <row r="30" spans="1:20" s="110" customFormat="1" ht="30.75" customHeight="1" x14ac:dyDescent="0.2">
      <c r="A30" s="78" t="s">
        <v>475</v>
      </c>
      <c r="B30" s="78" t="str">
        <f>'дод. 4'!A149</f>
        <v>4081</v>
      </c>
      <c r="C30" s="78" t="str">
        <f>'дод. 4'!B149</f>
        <v>0829</v>
      </c>
      <c r="D30" s="101" t="str">
        <f>'дод. 4'!C149</f>
        <v xml:space="preserve">Забезпечення діяльності інших закладів в галузі культури і мистецтва </v>
      </c>
      <c r="E30" s="80">
        <f>F30+I30</f>
        <v>2234102</v>
      </c>
      <c r="F30" s="80">
        <f>2846100-420200+884400+400000-1551300+60000+15102</f>
        <v>2234102</v>
      </c>
      <c r="G30" s="80">
        <f>1782489-783989</f>
        <v>998500</v>
      </c>
      <c r="H30" s="80">
        <f>116165-37625+15102</f>
        <v>93642</v>
      </c>
      <c r="I30" s="80"/>
      <c r="J30" s="80">
        <f>K30+N30</f>
        <v>20500</v>
      </c>
      <c r="K30" s="80"/>
      <c r="L30" s="80"/>
      <c r="M30" s="80"/>
      <c r="N30" s="80">
        <f>49000-28500</f>
        <v>20500</v>
      </c>
      <c r="O30" s="80">
        <f>49000-28500</f>
        <v>20500</v>
      </c>
      <c r="P30" s="80">
        <f>E30+J30</f>
        <v>2254602</v>
      </c>
      <c r="Q30" s="270"/>
      <c r="R30" s="155"/>
      <c r="S30" s="155"/>
      <c r="T30" s="155"/>
    </row>
    <row r="31" spans="1:20" s="110" customFormat="1" ht="25.5" customHeight="1" x14ac:dyDescent="0.2">
      <c r="A31" s="78" t="s">
        <v>476</v>
      </c>
      <c r="B31" s="78" t="str">
        <f>'дод. 4'!A150</f>
        <v>4082</v>
      </c>
      <c r="C31" s="78" t="str">
        <f>'дод. 4'!B150</f>
        <v>0829</v>
      </c>
      <c r="D31" s="101" t="str">
        <f>'дод. 4'!C150</f>
        <v>Інші заходи в галузі культури і мистецтва</v>
      </c>
      <c r="E31" s="80">
        <f>F31+I31</f>
        <v>486500</v>
      </c>
      <c r="F31" s="80">
        <f>420200+66300</f>
        <v>486500</v>
      </c>
      <c r="G31" s="80"/>
      <c r="H31" s="80"/>
      <c r="I31" s="80"/>
      <c r="J31" s="80">
        <f>K31+N31</f>
        <v>0</v>
      </c>
      <c r="K31" s="80"/>
      <c r="L31" s="80"/>
      <c r="M31" s="80"/>
      <c r="N31" s="80"/>
      <c r="O31" s="80"/>
      <c r="P31" s="80">
        <f>E31+J31</f>
        <v>486500</v>
      </c>
      <c r="Q31" s="270"/>
      <c r="R31" s="155"/>
      <c r="S31" s="155"/>
      <c r="T31" s="155"/>
    </row>
    <row r="32" spans="1:20" s="4" customFormat="1" ht="21.75" customHeight="1" x14ac:dyDescent="0.2">
      <c r="A32" s="84" t="s">
        <v>248</v>
      </c>
      <c r="B32" s="84" t="str">
        <f>'дод. 4'!A152</f>
        <v>5010</v>
      </c>
      <c r="C32" s="84">
        <f>'дод. 4'!B152</f>
        <v>0</v>
      </c>
      <c r="D32" s="105" t="str">
        <f>'дод. 4'!C152</f>
        <v>Проведення спортивної роботи в регіоні</v>
      </c>
      <c r="E32" s="83">
        <f>E33+E34</f>
        <v>1772339</v>
      </c>
      <c r="F32" s="83">
        <f t="shared" ref="F32:P32" si="8">F33+F34</f>
        <v>1772339</v>
      </c>
      <c r="G32" s="83">
        <f t="shared" si="8"/>
        <v>0</v>
      </c>
      <c r="H32" s="83">
        <f t="shared" si="8"/>
        <v>0</v>
      </c>
      <c r="I32" s="83">
        <f t="shared" si="8"/>
        <v>0</v>
      </c>
      <c r="J32" s="83">
        <f t="shared" si="8"/>
        <v>177000</v>
      </c>
      <c r="K32" s="83">
        <f t="shared" si="8"/>
        <v>0</v>
      </c>
      <c r="L32" s="83">
        <f t="shared" si="8"/>
        <v>0</v>
      </c>
      <c r="M32" s="83">
        <f t="shared" si="8"/>
        <v>0</v>
      </c>
      <c r="N32" s="83">
        <f t="shared" si="8"/>
        <v>177000</v>
      </c>
      <c r="O32" s="83">
        <f t="shared" si="8"/>
        <v>177000</v>
      </c>
      <c r="P32" s="83">
        <f t="shared" si="8"/>
        <v>1949339</v>
      </c>
      <c r="Q32" s="270"/>
      <c r="R32" s="154"/>
      <c r="S32" s="154"/>
      <c r="T32" s="154"/>
    </row>
    <row r="33" spans="1:20" s="110" customFormat="1" ht="36.75" customHeight="1" x14ac:dyDescent="0.2">
      <c r="A33" s="111" t="s">
        <v>249</v>
      </c>
      <c r="B33" s="111" t="str">
        <f>'дод. 4'!A153</f>
        <v>5011</v>
      </c>
      <c r="C33" s="111" t="str">
        <f>'дод. 4'!B153</f>
        <v>0810</v>
      </c>
      <c r="D33" s="112" t="str">
        <f>'дод. 4'!C153</f>
        <v>Проведення навчально-тренувальних зборів і змагань з олімпійських видів спорту</v>
      </c>
      <c r="E33" s="80">
        <f>F33+I33</f>
        <v>836070</v>
      </c>
      <c r="F33" s="80">
        <f>700000+76070+35000+25000</f>
        <v>836070</v>
      </c>
      <c r="G33" s="80"/>
      <c r="H33" s="80"/>
      <c r="I33" s="80"/>
      <c r="J33" s="80">
        <f t="shared" si="3"/>
        <v>177000</v>
      </c>
      <c r="K33" s="80"/>
      <c r="L33" s="80"/>
      <c r="M33" s="80"/>
      <c r="N33" s="80">
        <v>177000</v>
      </c>
      <c r="O33" s="80">
        <v>177000</v>
      </c>
      <c r="P33" s="80">
        <f>E33+J33</f>
        <v>1013070</v>
      </c>
      <c r="Q33" s="270"/>
      <c r="R33" s="155"/>
      <c r="S33" s="155"/>
      <c r="T33" s="155"/>
    </row>
    <row r="34" spans="1:20" s="110" customFormat="1" ht="34.5" customHeight="1" x14ac:dyDescent="0.2">
      <c r="A34" s="111" t="s">
        <v>250</v>
      </c>
      <c r="B34" s="111" t="str">
        <f>'дод. 4'!A154</f>
        <v>5012</v>
      </c>
      <c r="C34" s="111" t="str">
        <f>'дод. 4'!B154</f>
        <v>0810</v>
      </c>
      <c r="D34" s="112" t="str">
        <f>'дод. 4'!C154</f>
        <v>Проведення навчально-тренувальних зборів і змагань з неолімпійських видів спорту</v>
      </c>
      <c r="E34" s="80">
        <f>F34+I34</f>
        <v>936269</v>
      </c>
      <c r="F34" s="80">
        <f>700000+28000+5000+18000+60000+26000+99269</f>
        <v>936269</v>
      </c>
      <c r="G34" s="80"/>
      <c r="H34" s="80"/>
      <c r="I34" s="80"/>
      <c r="J34" s="80">
        <f t="shared" si="3"/>
        <v>0</v>
      </c>
      <c r="K34" s="80"/>
      <c r="L34" s="80"/>
      <c r="M34" s="80"/>
      <c r="N34" s="80"/>
      <c r="O34" s="80"/>
      <c r="P34" s="80">
        <f>E34+J34</f>
        <v>936269</v>
      </c>
      <c r="Q34" s="270"/>
      <c r="R34" s="155"/>
      <c r="S34" s="155"/>
      <c r="T34" s="155"/>
    </row>
    <row r="35" spans="1:20" s="4" customFormat="1" ht="21" customHeight="1" x14ac:dyDescent="0.2">
      <c r="A35" s="84" t="s">
        <v>251</v>
      </c>
      <c r="B35" s="84" t="str">
        <f>'дод. 4'!A155</f>
        <v>5030</v>
      </c>
      <c r="C35" s="84">
        <f>'дод. 4'!B155</f>
        <v>0</v>
      </c>
      <c r="D35" s="105" t="str">
        <f>'дод. 4'!C155</f>
        <v>Розвиток дитячо-юнацького та резервного спорту</v>
      </c>
      <c r="E35" s="83">
        <f>E36+E37</f>
        <v>17791534</v>
      </c>
      <c r="F35" s="83">
        <f t="shared" ref="F35:O35" si="9">F36+F37</f>
        <v>17791534</v>
      </c>
      <c r="G35" s="83">
        <f t="shared" si="9"/>
        <v>6380000</v>
      </c>
      <c r="H35" s="83">
        <f t="shared" si="9"/>
        <v>589143</v>
      </c>
      <c r="I35" s="83">
        <f t="shared" si="9"/>
        <v>0</v>
      </c>
      <c r="J35" s="83">
        <f t="shared" si="9"/>
        <v>355650</v>
      </c>
      <c r="K35" s="83">
        <f t="shared" si="9"/>
        <v>0</v>
      </c>
      <c r="L35" s="83">
        <f t="shared" si="9"/>
        <v>0</v>
      </c>
      <c r="M35" s="83">
        <f t="shared" si="9"/>
        <v>0</v>
      </c>
      <c r="N35" s="83">
        <f t="shared" si="9"/>
        <v>355650</v>
      </c>
      <c r="O35" s="83">
        <f t="shared" si="9"/>
        <v>355650</v>
      </c>
      <c r="P35" s="83">
        <f>P36+P37</f>
        <v>18147184</v>
      </c>
      <c r="Q35" s="270"/>
      <c r="R35" s="154"/>
      <c r="S35" s="154"/>
      <c r="T35" s="154"/>
    </row>
    <row r="36" spans="1:20" s="110" customFormat="1" ht="30" customHeight="1" x14ac:dyDescent="0.2">
      <c r="A36" s="111" t="s">
        <v>252</v>
      </c>
      <c r="B36" s="111" t="str">
        <f>'дод. 4'!A156</f>
        <v>5031</v>
      </c>
      <c r="C36" s="111" t="str">
        <f>'дод. 4'!B156</f>
        <v>0810</v>
      </c>
      <c r="D36" s="112" t="str">
        <f>'дод. 4'!C156</f>
        <v>Утримання та навчально-тренувальна робота комунальних дитячо-юнацьких спортивних шкіл</v>
      </c>
      <c r="E36" s="80">
        <f>F36+I36</f>
        <v>9662205</v>
      </c>
      <c r="F36" s="80">
        <f>8719900+577000+98000+15000+100000+10000+5000+5000+10000+109972+2333+10000</f>
        <v>9662205</v>
      </c>
      <c r="G36" s="80">
        <f>6380000</f>
        <v>6380000</v>
      </c>
      <c r="H36" s="80">
        <f>586810+2333</f>
        <v>589143</v>
      </c>
      <c r="I36" s="80"/>
      <c r="J36" s="80">
        <f t="shared" si="3"/>
        <v>300000</v>
      </c>
      <c r="K36" s="80"/>
      <c r="L36" s="80"/>
      <c r="M36" s="80"/>
      <c r="N36" s="80">
        <f>200000+25000+75000</f>
        <v>300000</v>
      </c>
      <c r="O36" s="80">
        <f>200000+25000+75000</f>
        <v>300000</v>
      </c>
      <c r="P36" s="80">
        <f>E36+J36</f>
        <v>9962205</v>
      </c>
      <c r="Q36" s="270"/>
      <c r="R36" s="155"/>
      <c r="S36" s="155"/>
      <c r="T36" s="155"/>
    </row>
    <row r="37" spans="1:20" s="110" customFormat="1" ht="30" x14ac:dyDescent="0.2">
      <c r="A37" s="111" t="s">
        <v>253</v>
      </c>
      <c r="B37" s="111" t="str">
        <f>'дод. 4'!A157</f>
        <v>5032</v>
      </c>
      <c r="C37" s="111" t="str">
        <f>'дод. 4'!B157</f>
        <v>0810</v>
      </c>
      <c r="D37" s="112" t="str">
        <f>'дод. 4'!C157</f>
        <v>Фінансова підтримка дитячо-юнацьких спортивних шкіл фізкультурно-спортивних товариств</v>
      </c>
      <c r="E37" s="80">
        <f>F37+I37</f>
        <v>8129329</v>
      </c>
      <c r="F37" s="80">
        <f>7321800+300000+95000+301179+65000+10000+20000+20000+15000+7000+9000-34650</f>
        <v>8129329</v>
      </c>
      <c r="G37" s="80"/>
      <c r="H37" s="80"/>
      <c r="I37" s="80"/>
      <c r="J37" s="80">
        <f t="shared" si="3"/>
        <v>55650</v>
      </c>
      <c r="K37" s="80"/>
      <c r="L37" s="80"/>
      <c r="M37" s="80"/>
      <c r="N37" s="80">
        <f>10000+11000+34650</f>
        <v>55650</v>
      </c>
      <c r="O37" s="80">
        <f>10000+11000+34650</f>
        <v>55650</v>
      </c>
      <c r="P37" s="80">
        <f>E37+J37</f>
        <v>8184979</v>
      </c>
      <c r="Q37" s="270"/>
      <c r="R37" s="155"/>
      <c r="S37" s="155"/>
      <c r="T37" s="155"/>
    </row>
    <row r="38" spans="1:20" s="110" customFormat="1" ht="33.75" customHeight="1" x14ac:dyDescent="0.2">
      <c r="A38" s="84" t="s">
        <v>254</v>
      </c>
      <c r="B38" s="84" t="str">
        <f>'дод. 4'!A158</f>
        <v>5060</v>
      </c>
      <c r="C38" s="84">
        <f>'дод. 4'!B158</f>
        <v>0</v>
      </c>
      <c r="D38" s="105" t="str">
        <f>'дод. 4'!C158</f>
        <v>Інші заходи з розвитку фізичної культури та спорту</v>
      </c>
      <c r="E38" s="83">
        <f>E39+E40</f>
        <v>9550864</v>
      </c>
      <c r="F38" s="83">
        <f>F39+F40</f>
        <v>9550864</v>
      </c>
      <c r="G38" s="83">
        <f t="shared" ref="G38:P38" si="10">G39+G40</f>
        <v>1789783</v>
      </c>
      <c r="H38" s="83">
        <f>H39+H40</f>
        <v>475153</v>
      </c>
      <c r="I38" s="83">
        <f t="shared" si="10"/>
        <v>0</v>
      </c>
      <c r="J38" s="83">
        <f t="shared" si="10"/>
        <v>3166687</v>
      </c>
      <c r="K38" s="83">
        <f t="shared" si="10"/>
        <v>226687</v>
      </c>
      <c r="L38" s="83">
        <f t="shared" si="10"/>
        <v>141022</v>
      </c>
      <c r="M38" s="83">
        <f t="shared" si="10"/>
        <v>53404</v>
      </c>
      <c r="N38" s="83">
        <f t="shared" si="10"/>
        <v>2940000</v>
      </c>
      <c r="O38" s="83">
        <f t="shared" si="10"/>
        <v>2940000</v>
      </c>
      <c r="P38" s="83">
        <f t="shared" si="10"/>
        <v>12717551</v>
      </c>
      <c r="Q38" s="271"/>
      <c r="R38" s="154"/>
      <c r="S38" s="154"/>
      <c r="T38" s="154"/>
    </row>
    <row r="39" spans="1:20" s="110" customFormat="1" ht="60" x14ac:dyDescent="0.2">
      <c r="A39" s="111" t="s">
        <v>255</v>
      </c>
      <c r="B39" s="111" t="str">
        <f>'дод. 4'!A159</f>
        <v>5061</v>
      </c>
      <c r="C39" s="111" t="str">
        <f>'дод. 4'!B159</f>
        <v>0810</v>
      </c>
      <c r="D39" s="112" t="str">
        <f>'дод. 4'!C159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80">
        <f>F39+I39</f>
        <v>3846504</v>
      </c>
      <c r="F39" s="80">
        <f>3246540+127835+6186+7000+30000+11000+350000+67943</f>
        <v>3846504</v>
      </c>
      <c r="G39" s="80">
        <f>1685000+104783</f>
        <v>1789783</v>
      </c>
      <c r="H39" s="80">
        <f>407210+67943</f>
        <v>475153</v>
      </c>
      <c r="I39" s="80"/>
      <c r="J39" s="80">
        <f t="shared" si="3"/>
        <v>3146687</v>
      </c>
      <c r="K39" s="80">
        <f>226687</f>
        <v>226687</v>
      </c>
      <c r="L39" s="80">
        <v>141022</v>
      </c>
      <c r="M39" s="80">
        <v>53404</v>
      </c>
      <c r="N39" s="80">
        <f>20000+2900000</f>
        <v>2920000</v>
      </c>
      <c r="O39" s="80">
        <f>20000+2900000</f>
        <v>2920000</v>
      </c>
      <c r="P39" s="80">
        <f>E39+J39</f>
        <v>6993191</v>
      </c>
      <c r="Q39" s="271"/>
      <c r="R39" s="155"/>
      <c r="S39" s="155"/>
      <c r="T39" s="155"/>
    </row>
    <row r="40" spans="1:20" s="110" customFormat="1" ht="45" x14ac:dyDescent="0.2">
      <c r="A40" s="111" t="s">
        <v>256</v>
      </c>
      <c r="B40" s="111" t="str">
        <f>'дод. 4'!A160</f>
        <v>5062</v>
      </c>
      <c r="C40" s="111" t="str">
        <f>'дод. 4'!B160</f>
        <v>0810</v>
      </c>
      <c r="D40" s="112" t="str">
        <f>'дод. 4'!C160</f>
        <v>Підтримка спорту вищих досягнень та організацій, які здійснюють фізкультурно-спортивну діяльність в регіоні</v>
      </c>
      <c r="E40" s="80">
        <f>F40+I40</f>
        <v>5704360</v>
      </c>
      <c r="F40" s="80">
        <f>5143460+50000+50000+50000+300000+100000+10900</f>
        <v>5704360</v>
      </c>
      <c r="G40" s="80"/>
      <c r="H40" s="80"/>
      <c r="I40" s="80"/>
      <c r="J40" s="80">
        <f t="shared" si="3"/>
        <v>20000</v>
      </c>
      <c r="K40" s="80"/>
      <c r="L40" s="80"/>
      <c r="M40" s="80"/>
      <c r="N40" s="80">
        <v>20000</v>
      </c>
      <c r="O40" s="80">
        <v>20000</v>
      </c>
      <c r="P40" s="80">
        <f>E40+J40</f>
        <v>5724360</v>
      </c>
      <c r="Q40" s="271"/>
      <c r="R40" s="155"/>
      <c r="S40" s="155"/>
      <c r="T40" s="155"/>
    </row>
    <row r="41" spans="1:20" s="4" customFormat="1" ht="34.5" customHeight="1" x14ac:dyDescent="0.2">
      <c r="A41" s="84" t="s">
        <v>257</v>
      </c>
      <c r="B41" s="84" t="str">
        <f>'дод. 4'!A202</f>
        <v>7410</v>
      </c>
      <c r="C41" s="84">
        <f>'дод. 4'!B202</f>
        <v>0</v>
      </c>
      <c r="D41" s="105" t="str">
        <f>'дод. 4'!C202</f>
        <v>Забезпечення надання послуг з перевезення пасажирів автомобільним транспортом</v>
      </c>
      <c r="E41" s="83">
        <f>E42</f>
        <v>7497000</v>
      </c>
      <c r="F41" s="83">
        <f t="shared" ref="F41:P41" si="11">F42</f>
        <v>0</v>
      </c>
      <c r="G41" s="83">
        <f t="shared" si="11"/>
        <v>0</v>
      </c>
      <c r="H41" s="83">
        <f t="shared" si="11"/>
        <v>0</v>
      </c>
      <c r="I41" s="83">
        <f t="shared" si="11"/>
        <v>7497000</v>
      </c>
      <c r="J41" s="83">
        <f t="shared" si="11"/>
        <v>0</v>
      </c>
      <c r="K41" s="83">
        <f t="shared" si="11"/>
        <v>0</v>
      </c>
      <c r="L41" s="83">
        <f t="shared" si="11"/>
        <v>0</v>
      </c>
      <c r="M41" s="83">
        <f t="shared" si="11"/>
        <v>0</v>
      </c>
      <c r="N41" s="83">
        <f t="shared" si="11"/>
        <v>0</v>
      </c>
      <c r="O41" s="83">
        <f t="shared" si="11"/>
        <v>0</v>
      </c>
      <c r="P41" s="83">
        <f t="shared" si="11"/>
        <v>7497000</v>
      </c>
      <c r="Q41" s="271"/>
      <c r="R41" s="154"/>
      <c r="S41" s="154"/>
      <c r="T41" s="154"/>
    </row>
    <row r="42" spans="1:20" s="110" customFormat="1" ht="30" x14ac:dyDescent="0.2">
      <c r="A42" s="111" t="s">
        <v>258</v>
      </c>
      <c r="B42" s="111" t="str">
        <f>'дод. 4'!A203</f>
        <v>7412</v>
      </c>
      <c r="C42" s="111" t="str">
        <f>'дод. 4'!B203</f>
        <v>0451</v>
      </c>
      <c r="D42" s="112" t="str">
        <f>'дод. 4'!C203</f>
        <v>Регулювання цін на послуги місцевого автотранспорту</v>
      </c>
      <c r="E42" s="80">
        <f>F42+I42</f>
        <v>7497000</v>
      </c>
      <c r="F42" s="80"/>
      <c r="G42" s="80"/>
      <c r="H42" s="80"/>
      <c r="I42" s="80">
        <f>3000000+2000000+627000+1870000</f>
        <v>7497000</v>
      </c>
      <c r="J42" s="80">
        <f t="shared" si="3"/>
        <v>0</v>
      </c>
      <c r="K42" s="80"/>
      <c r="L42" s="80"/>
      <c r="M42" s="80"/>
      <c r="N42" s="80"/>
      <c r="O42" s="80"/>
      <c r="P42" s="80">
        <f>E42+J42</f>
        <v>7497000</v>
      </c>
      <c r="Q42" s="271"/>
      <c r="R42" s="155"/>
      <c r="S42" s="155"/>
      <c r="T42" s="155"/>
    </row>
    <row r="43" spans="1:20" s="4" customFormat="1" ht="30" x14ac:dyDescent="0.2">
      <c r="A43" s="84" t="s">
        <v>259</v>
      </c>
      <c r="B43" s="84" t="str">
        <f>'дод. 4'!A204</f>
        <v>7420</v>
      </c>
      <c r="C43" s="84">
        <f>'дод. 4'!B204</f>
        <v>0</v>
      </c>
      <c r="D43" s="105" t="str">
        <f>'дод. 4'!C204</f>
        <v>Забезпечення надання послуг з перевезення пасажирів електротранспортом</v>
      </c>
      <c r="E43" s="83">
        <f>E44+E45</f>
        <v>17202536</v>
      </c>
      <c r="F43" s="83">
        <f t="shared" ref="F43:P43" si="12">F44+F45</f>
        <v>0</v>
      </c>
      <c r="G43" s="83">
        <f t="shared" si="12"/>
        <v>0</v>
      </c>
      <c r="H43" s="83">
        <f t="shared" si="12"/>
        <v>0</v>
      </c>
      <c r="I43" s="83">
        <f t="shared" si="12"/>
        <v>17202536</v>
      </c>
      <c r="J43" s="83">
        <f t="shared" si="12"/>
        <v>0</v>
      </c>
      <c r="K43" s="83">
        <f t="shared" si="12"/>
        <v>0</v>
      </c>
      <c r="L43" s="83">
        <f t="shared" si="12"/>
        <v>0</v>
      </c>
      <c r="M43" s="83">
        <f t="shared" si="12"/>
        <v>0</v>
      </c>
      <c r="N43" s="83">
        <f t="shared" si="12"/>
        <v>0</v>
      </c>
      <c r="O43" s="83">
        <f t="shared" si="12"/>
        <v>0</v>
      </c>
      <c r="P43" s="83">
        <f t="shared" si="12"/>
        <v>17202536</v>
      </c>
      <c r="Q43" s="271"/>
      <c r="R43" s="154"/>
      <c r="S43" s="154"/>
      <c r="T43" s="154"/>
    </row>
    <row r="44" spans="1:20" s="110" customFormat="1" ht="30" x14ac:dyDescent="0.2">
      <c r="A44" s="111" t="s">
        <v>260</v>
      </c>
      <c r="B44" s="111" t="str">
        <f>'дод. 4'!A205</f>
        <v>7422</v>
      </c>
      <c r="C44" s="111" t="str">
        <f>'дод. 4'!B205</f>
        <v>0453</v>
      </c>
      <c r="D44" s="112" t="str">
        <f>'дод. 4'!C205</f>
        <v>Регулювання цін на послуги місцевого наземного електротранспорту</v>
      </c>
      <c r="E44" s="80">
        <f t="shared" ref="E44:E51" si="13">F44+I44</f>
        <v>10976000</v>
      </c>
      <c r="F44" s="80"/>
      <c r="G44" s="80"/>
      <c r="H44" s="80"/>
      <c r="I44" s="80">
        <f>6000000+4000000+976000</f>
        <v>10976000</v>
      </c>
      <c r="J44" s="80">
        <f t="shared" si="3"/>
        <v>0</v>
      </c>
      <c r="K44" s="80"/>
      <c r="L44" s="80"/>
      <c r="M44" s="80"/>
      <c r="N44" s="80"/>
      <c r="O44" s="80"/>
      <c r="P44" s="80">
        <f>E44+J44</f>
        <v>10976000</v>
      </c>
      <c r="Q44" s="271"/>
      <c r="R44" s="155"/>
      <c r="S44" s="155"/>
      <c r="T44" s="155"/>
    </row>
    <row r="45" spans="1:20" s="110" customFormat="1" ht="21.75" customHeight="1" x14ac:dyDescent="0.2">
      <c r="A45" s="111" t="s">
        <v>376</v>
      </c>
      <c r="B45" s="111" t="str">
        <f>'дод. 4'!A206</f>
        <v>7426</v>
      </c>
      <c r="C45" s="111" t="str">
        <f>'дод. 4'!B206</f>
        <v>0453</v>
      </c>
      <c r="D45" s="112" t="str">
        <f>'дод. 4'!C206</f>
        <v>Інші заходи у сфері електротранспорту</v>
      </c>
      <c r="E45" s="80">
        <f t="shared" si="13"/>
        <v>6226536</v>
      </c>
      <c r="F45" s="80"/>
      <c r="G45" s="80"/>
      <c r="H45" s="80"/>
      <c r="I45" s="80">
        <f>12858252-313616-128100-190000-4000000-2000000</f>
        <v>6226536</v>
      </c>
      <c r="J45" s="80">
        <f t="shared" si="3"/>
        <v>0</v>
      </c>
      <c r="K45" s="80"/>
      <c r="L45" s="80"/>
      <c r="M45" s="80"/>
      <c r="N45" s="80">
        <f>810000+680000-1490000</f>
        <v>0</v>
      </c>
      <c r="O45" s="80">
        <f>810000+680000-1490000</f>
        <v>0</v>
      </c>
      <c r="P45" s="80">
        <f>E45+J45</f>
        <v>6226536</v>
      </c>
      <c r="Q45" s="271"/>
      <c r="R45" s="155"/>
      <c r="S45" s="155"/>
      <c r="T45" s="155"/>
    </row>
    <row r="46" spans="1:20" s="4" customFormat="1" ht="21.75" customHeight="1" x14ac:dyDescent="0.2">
      <c r="A46" s="85" t="s">
        <v>491</v>
      </c>
      <c r="B46" s="85" t="str">
        <f>'дод. 4'!A209</f>
        <v>7450</v>
      </c>
      <c r="C46" s="85" t="str">
        <f>'дод. 4'!B209</f>
        <v>0456</v>
      </c>
      <c r="D46" s="105" t="str">
        <f>'дод. 4'!C209</f>
        <v xml:space="preserve">Інша діяльність у сфері транспорту </v>
      </c>
      <c r="E46" s="77">
        <f t="shared" si="13"/>
        <v>649800</v>
      </c>
      <c r="F46" s="77">
        <f>450000+199800</f>
        <v>649800</v>
      </c>
      <c r="G46" s="77"/>
      <c r="H46" s="77"/>
      <c r="I46" s="77"/>
      <c r="J46" s="77">
        <f>K46+N46</f>
        <v>0</v>
      </c>
      <c r="K46" s="77"/>
      <c r="L46" s="77"/>
      <c r="M46" s="77"/>
      <c r="N46" s="77"/>
      <c r="O46" s="77"/>
      <c r="P46" s="77">
        <f>J46+E46</f>
        <v>649800</v>
      </c>
      <c r="Q46" s="271"/>
      <c r="R46" s="153"/>
      <c r="S46" s="153"/>
      <c r="T46" s="153"/>
    </row>
    <row r="47" spans="1:20" s="113" customFormat="1" ht="30" x14ac:dyDescent="0.2">
      <c r="A47" s="85" t="s">
        <v>377</v>
      </c>
      <c r="B47" s="85" t="str">
        <f>'дод. 4'!A215</f>
        <v>7530</v>
      </c>
      <c r="C47" s="85" t="str">
        <f>'дод. 4'!B215</f>
        <v>0460</v>
      </c>
      <c r="D47" s="105" t="str">
        <f>'дод. 4'!C215</f>
        <v>Інші заходи у сфері зв'язку, телекомунікації та інформатики</v>
      </c>
      <c r="E47" s="77">
        <f t="shared" si="13"/>
        <v>9247290</v>
      </c>
      <c r="F47" s="77">
        <f>2629000+1696500+1371000+1579990+2962430-170430-92200-729000</f>
        <v>9247290</v>
      </c>
      <c r="G47" s="77"/>
      <c r="H47" s="77"/>
      <c r="I47" s="77"/>
      <c r="J47" s="77">
        <f>K47+N47</f>
        <v>8111000</v>
      </c>
      <c r="K47" s="77"/>
      <c r="L47" s="77"/>
      <c r="M47" s="77"/>
      <c r="N47" s="77">
        <f>3005500+1891500+3385000-900000+729000</f>
        <v>8111000</v>
      </c>
      <c r="O47" s="77">
        <f>3005500+1891500+3385000-900000+729000</f>
        <v>8111000</v>
      </c>
      <c r="P47" s="77">
        <f>E47+J47</f>
        <v>17358290</v>
      </c>
      <c r="Q47" s="271"/>
      <c r="R47" s="153"/>
      <c r="S47" s="153"/>
      <c r="T47" s="153"/>
    </row>
    <row r="48" spans="1:20" s="110" customFormat="1" x14ac:dyDescent="0.2">
      <c r="A48" s="84" t="s">
        <v>261</v>
      </c>
      <c r="B48" s="84" t="str">
        <f>'дод. 4'!A217</f>
        <v>7610</v>
      </c>
      <c r="C48" s="84" t="str">
        <f>'дод. 4'!B217</f>
        <v>0411</v>
      </c>
      <c r="D48" s="105" t="str">
        <f>'дод. 4'!C217</f>
        <v>Сприяння розвитку малого та середнього підприємництва</v>
      </c>
      <c r="E48" s="83">
        <f t="shared" si="13"/>
        <v>88000</v>
      </c>
      <c r="F48" s="83">
        <v>88000</v>
      </c>
      <c r="G48" s="83"/>
      <c r="H48" s="83"/>
      <c r="I48" s="83"/>
      <c r="J48" s="83">
        <f t="shared" si="3"/>
        <v>16800</v>
      </c>
      <c r="K48" s="83"/>
      <c r="L48" s="83"/>
      <c r="M48" s="83"/>
      <c r="N48" s="83">
        <v>16800</v>
      </c>
      <c r="O48" s="83">
        <v>16800</v>
      </c>
      <c r="P48" s="83">
        <f>E48+J48</f>
        <v>104800</v>
      </c>
      <c r="Q48" s="271"/>
      <c r="R48" s="153"/>
      <c r="S48" s="153"/>
      <c r="T48" s="153"/>
    </row>
    <row r="49" spans="1:20" s="110" customFormat="1" ht="18.75" customHeight="1" x14ac:dyDescent="0.2">
      <c r="A49" s="84" t="s">
        <v>402</v>
      </c>
      <c r="B49" s="84" t="str">
        <f>'дод. 4'!A218</f>
        <v>7640</v>
      </c>
      <c r="C49" s="84" t="str">
        <f>'дод. 4'!B218</f>
        <v>0470</v>
      </c>
      <c r="D49" s="105" t="str">
        <f>'дод. 4'!C218</f>
        <v>Заходи з енергозбереження</v>
      </c>
      <c r="E49" s="83">
        <f t="shared" si="13"/>
        <v>125175</v>
      </c>
      <c r="F49" s="83">
        <v>125175</v>
      </c>
      <c r="G49" s="83"/>
      <c r="H49" s="83"/>
      <c r="I49" s="83"/>
      <c r="J49" s="83">
        <f>K49+N49</f>
        <v>0</v>
      </c>
      <c r="K49" s="83"/>
      <c r="L49" s="83"/>
      <c r="M49" s="83"/>
      <c r="N49" s="83"/>
      <c r="O49" s="83"/>
      <c r="P49" s="83">
        <f>E49+J49</f>
        <v>125175</v>
      </c>
      <c r="Q49" s="271"/>
      <c r="R49" s="153"/>
      <c r="S49" s="153"/>
      <c r="T49" s="153"/>
    </row>
    <row r="50" spans="1:20" s="110" customFormat="1" ht="30" x14ac:dyDescent="0.2">
      <c r="A50" s="84" t="s">
        <v>262</v>
      </c>
      <c r="B50" s="84" t="str">
        <f>'дод. 4'!A221</f>
        <v>7670</v>
      </c>
      <c r="C50" s="84" t="str">
        <f>'дод. 4'!B221</f>
        <v>0490</v>
      </c>
      <c r="D50" s="105" t="str">
        <f>'дод. 4'!C221</f>
        <v>Внески до статутного капіталу суб’єктів господарювання</v>
      </c>
      <c r="E50" s="83">
        <f t="shared" si="13"/>
        <v>0</v>
      </c>
      <c r="F50" s="83"/>
      <c r="G50" s="83"/>
      <c r="H50" s="83"/>
      <c r="I50" s="83"/>
      <c r="J50" s="83">
        <f t="shared" si="3"/>
        <v>28860000</v>
      </c>
      <c r="K50" s="83"/>
      <c r="L50" s="83"/>
      <c r="M50" s="83"/>
      <c r="N50" s="83">
        <f>4220000+24220000+800000-380000</f>
        <v>28860000</v>
      </c>
      <c r="O50" s="83">
        <f>4220000+24220000+800000-380000</f>
        <v>28860000</v>
      </c>
      <c r="P50" s="83">
        <f>E50+J50</f>
        <v>28860000</v>
      </c>
      <c r="Q50" s="271"/>
      <c r="R50" s="153"/>
      <c r="S50" s="153"/>
      <c r="T50" s="153"/>
    </row>
    <row r="51" spans="1:20" s="110" customFormat="1" ht="30" x14ac:dyDescent="0.2">
      <c r="A51" s="84" t="s">
        <v>391</v>
      </c>
      <c r="B51" s="84" t="str">
        <f>'дод. 4'!A222</f>
        <v>7680</v>
      </c>
      <c r="C51" s="84" t="str">
        <f>'дод. 4'!B222</f>
        <v>0490</v>
      </c>
      <c r="D51" s="105" t="str">
        <f>'дод. 4'!C222</f>
        <v>Членські внески до асоціацій органів місцевого самоврядування</v>
      </c>
      <c r="E51" s="83">
        <f t="shared" si="13"/>
        <v>209333</v>
      </c>
      <c r="F51" s="83">
        <f>50000+159333</f>
        <v>209333</v>
      </c>
      <c r="G51" s="83"/>
      <c r="H51" s="83"/>
      <c r="I51" s="83"/>
      <c r="J51" s="83">
        <f t="shared" si="3"/>
        <v>0</v>
      </c>
      <c r="K51" s="83"/>
      <c r="L51" s="83"/>
      <c r="M51" s="83"/>
      <c r="N51" s="83"/>
      <c r="O51" s="83"/>
      <c r="P51" s="83">
        <f>E51+J51</f>
        <v>209333</v>
      </c>
      <c r="Q51" s="271"/>
      <c r="R51" s="153"/>
      <c r="S51" s="153"/>
      <c r="T51" s="153"/>
    </row>
    <row r="52" spans="1:20" s="110" customFormat="1" ht="19.5" customHeight="1" x14ac:dyDescent="0.2">
      <c r="A52" s="84" t="s">
        <v>263</v>
      </c>
      <c r="B52" s="84" t="str">
        <f>'дод. 4'!A223</f>
        <v>7690</v>
      </c>
      <c r="C52" s="84">
        <f>'дод. 4'!B223</f>
        <v>0</v>
      </c>
      <c r="D52" s="105" t="str">
        <f>'дод. 4'!C223</f>
        <v>Інша економічна діяльність</v>
      </c>
      <c r="E52" s="83">
        <f>E53+E54</f>
        <v>1985159</v>
      </c>
      <c r="F52" s="83">
        <f>F53+F54</f>
        <v>1787259</v>
      </c>
      <c r="G52" s="83">
        <f t="shared" ref="G52:P52" si="14">G53+G54</f>
        <v>0</v>
      </c>
      <c r="H52" s="83">
        <f t="shared" si="14"/>
        <v>0</v>
      </c>
      <c r="I52" s="83">
        <f t="shared" si="14"/>
        <v>197900</v>
      </c>
      <c r="J52" s="83">
        <f t="shared" si="14"/>
        <v>70037.48</v>
      </c>
      <c r="K52" s="83">
        <f t="shared" si="14"/>
        <v>70037.48</v>
      </c>
      <c r="L52" s="83">
        <f t="shared" si="14"/>
        <v>0</v>
      </c>
      <c r="M52" s="83">
        <f t="shared" si="14"/>
        <v>0</v>
      </c>
      <c r="N52" s="83">
        <f t="shared" si="14"/>
        <v>0</v>
      </c>
      <c r="O52" s="83">
        <f t="shared" si="14"/>
        <v>0</v>
      </c>
      <c r="P52" s="83">
        <f t="shared" si="14"/>
        <v>2055196.48</v>
      </c>
      <c r="Q52" s="271"/>
      <c r="R52" s="154"/>
      <c r="S52" s="154"/>
      <c r="T52" s="154"/>
    </row>
    <row r="53" spans="1:20" s="110" customFormat="1" ht="121.5" customHeight="1" x14ac:dyDescent="0.2">
      <c r="A53" s="111" t="s">
        <v>473</v>
      </c>
      <c r="B53" s="111" t="str">
        <f>'дод. 4'!A224</f>
        <v>7691</v>
      </c>
      <c r="C53" s="111" t="str">
        <f>'дод. 4'!B224</f>
        <v>0490</v>
      </c>
      <c r="D53" s="79" t="s">
        <v>499</v>
      </c>
      <c r="E53" s="80">
        <f t="shared" ref="E53:E60" si="15">F53+I53</f>
        <v>0</v>
      </c>
      <c r="F53" s="80"/>
      <c r="G53" s="80"/>
      <c r="H53" s="80"/>
      <c r="I53" s="80"/>
      <c r="J53" s="80">
        <f t="shared" si="3"/>
        <v>70037.48</v>
      </c>
      <c r="K53" s="80">
        <f>63407+6630.48</f>
        <v>70037.48</v>
      </c>
      <c r="L53" s="80"/>
      <c r="M53" s="80"/>
      <c r="N53" s="80"/>
      <c r="O53" s="80"/>
      <c r="P53" s="80">
        <f t="shared" ref="P53:P60" si="16">E53+J53</f>
        <v>70037.48</v>
      </c>
      <c r="Q53" s="271"/>
      <c r="R53" s="155"/>
      <c r="S53" s="155"/>
      <c r="T53" s="155"/>
    </row>
    <row r="54" spans="1:20" s="110" customFormat="1" ht="23.25" customHeight="1" x14ac:dyDescent="0.2">
      <c r="A54" s="111" t="s">
        <v>384</v>
      </c>
      <c r="B54" s="111" t="str">
        <f>'дод. 4'!A225</f>
        <v>7693</v>
      </c>
      <c r="C54" s="111" t="str">
        <f>'дод. 4'!B225</f>
        <v>0490</v>
      </c>
      <c r="D54" s="112" t="str">
        <f>'дод. 4'!C225</f>
        <v>Інші заходи, пов'язані з економічною діяльністю</v>
      </c>
      <c r="E54" s="80">
        <f t="shared" si="15"/>
        <v>1985159</v>
      </c>
      <c r="F54" s="80">
        <f>1449859+262200+90000-197900+30000+25000+128100</f>
        <v>1787259</v>
      </c>
      <c r="G54" s="80"/>
      <c r="H54" s="80"/>
      <c r="I54" s="80">
        <v>197900</v>
      </c>
      <c r="J54" s="80">
        <f t="shared" si="3"/>
        <v>0</v>
      </c>
      <c r="K54" s="80"/>
      <c r="L54" s="80"/>
      <c r="M54" s="80"/>
      <c r="N54" s="80"/>
      <c r="O54" s="80"/>
      <c r="P54" s="80">
        <f t="shared" si="16"/>
        <v>1985159</v>
      </c>
      <c r="Q54" s="271"/>
      <c r="R54" s="155"/>
      <c r="S54" s="155"/>
      <c r="T54" s="155"/>
    </row>
    <row r="55" spans="1:20" s="110" customFormat="1" ht="34.5" customHeight="1" x14ac:dyDescent="0.2">
      <c r="A55" s="84" t="s">
        <v>264</v>
      </c>
      <c r="B55" s="84" t="str">
        <f>'дод. 4'!A228</f>
        <v>8110</v>
      </c>
      <c r="C55" s="84" t="str">
        <f>'дод. 4'!B228</f>
        <v>0320</v>
      </c>
      <c r="D55" s="105" t="str">
        <f>'дод. 4'!C228</f>
        <v>Заходи із запобігання та ліквідації надзвичайних ситуацій та наслідків стихійного лиха</v>
      </c>
      <c r="E55" s="83">
        <f t="shared" si="15"/>
        <v>503883</v>
      </c>
      <c r="F55" s="83">
        <f>228570+180360+92500+2453</f>
        <v>503883</v>
      </c>
      <c r="G55" s="83"/>
      <c r="H55" s="83">
        <v>5070</v>
      </c>
      <c r="I55" s="83"/>
      <c r="J55" s="83">
        <f t="shared" si="3"/>
        <v>55900</v>
      </c>
      <c r="K55" s="83"/>
      <c r="L55" s="83"/>
      <c r="M55" s="83"/>
      <c r="N55" s="83">
        <v>55900</v>
      </c>
      <c r="O55" s="83">
        <v>55900</v>
      </c>
      <c r="P55" s="83">
        <f t="shared" si="16"/>
        <v>559783</v>
      </c>
      <c r="Q55" s="271"/>
      <c r="R55" s="153"/>
      <c r="S55" s="153"/>
      <c r="T55" s="153"/>
    </row>
    <row r="56" spans="1:20" s="110" customFormat="1" ht="19.5" customHeight="1" x14ac:dyDescent="0.2">
      <c r="A56" s="84" t="s">
        <v>360</v>
      </c>
      <c r="B56" s="84" t="str">
        <f>'дод. 4'!A229</f>
        <v>8120</v>
      </c>
      <c r="C56" s="84" t="str">
        <f>'дод. 4'!B229</f>
        <v>0320</v>
      </c>
      <c r="D56" s="105" t="str">
        <f>'дод. 4'!C229</f>
        <v>Заходи з організації рятування на водах</v>
      </c>
      <c r="E56" s="83">
        <f t="shared" si="15"/>
        <v>1517110</v>
      </c>
      <c r="F56" s="83">
        <f>1451100+43510+22500+17520-17520+3000-3000</f>
        <v>1517110</v>
      </c>
      <c r="G56" s="83">
        <v>1087750</v>
      </c>
      <c r="H56" s="83">
        <v>76315</v>
      </c>
      <c r="I56" s="83"/>
      <c r="J56" s="83">
        <f t="shared" si="3"/>
        <v>63000</v>
      </c>
      <c r="K56" s="83">
        <f>5100</f>
        <v>5100</v>
      </c>
      <c r="L56" s="83"/>
      <c r="M56" s="83">
        <f>1200</f>
        <v>1200</v>
      </c>
      <c r="N56" s="83">
        <v>57900</v>
      </c>
      <c r="O56" s="83">
        <v>57900</v>
      </c>
      <c r="P56" s="83">
        <f t="shared" si="16"/>
        <v>1580110</v>
      </c>
      <c r="Q56" s="271"/>
      <c r="R56" s="153"/>
      <c r="S56" s="153"/>
      <c r="T56" s="153"/>
    </row>
    <row r="57" spans="1:20" s="110" customFormat="1" ht="21.75" customHeight="1" x14ac:dyDescent="0.2">
      <c r="A57" s="84" t="s">
        <v>387</v>
      </c>
      <c r="B57" s="84" t="str">
        <f>'дод. 4'!A231</f>
        <v>8230</v>
      </c>
      <c r="C57" s="84" t="str">
        <f>'дод. 4'!B231</f>
        <v>0380</v>
      </c>
      <c r="D57" s="105" t="str">
        <f>'дод. 4'!C231</f>
        <v>Інші заходи громадського порядку та безпеки</v>
      </c>
      <c r="E57" s="83">
        <f t="shared" si="15"/>
        <v>681615</v>
      </c>
      <c r="F57" s="83">
        <f>391300+290315</f>
        <v>681615</v>
      </c>
      <c r="G57" s="83"/>
      <c r="H57" s="83">
        <f>222241+24515</f>
        <v>246756</v>
      </c>
      <c r="I57" s="83"/>
      <c r="J57" s="83">
        <f t="shared" si="3"/>
        <v>0</v>
      </c>
      <c r="K57" s="83"/>
      <c r="L57" s="83"/>
      <c r="M57" s="83"/>
      <c r="N57" s="83"/>
      <c r="O57" s="83"/>
      <c r="P57" s="83">
        <f t="shared" si="16"/>
        <v>681615</v>
      </c>
      <c r="Q57" s="271"/>
      <c r="R57" s="153"/>
      <c r="S57" s="153"/>
      <c r="T57" s="153"/>
    </row>
    <row r="58" spans="1:20" s="110" customFormat="1" ht="34.5" customHeight="1" x14ac:dyDescent="0.2">
      <c r="A58" s="81" t="s">
        <v>265</v>
      </c>
      <c r="B58" s="81" t="str">
        <f>'дод. 4'!A234</f>
        <v>8340</v>
      </c>
      <c r="C58" s="81" t="str">
        <f>'дод. 4'!B234</f>
        <v>0540</v>
      </c>
      <c r="D58" s="102" t="str">
        <f>'дод. 4'!C234</f>
        <v>Природоохоронні заходи за рахунок цільових фондів</v>
      </c>
      <c r="E58" s="83">
        <f t="shared" si="15"/>
        <v>0</v>
      </c>
      <c r="F58" s="83"/>
      <c r="G58" s="83"/>
      <c r="H58" s="83"/>
      <c r="I58" s="83"/>
      <c r="J58" s="83">
        <f t="shared" si="3"/>
        <v>181495</v>
      </c>
      <c r="K58" s="83">
        <f>123500+57995</f>
        <v>181495</v>
      </c>
      <c r="L58" s="83"/>
      <c r="M58" s="83"/>
      <c r="N58" s="83"/>
      <c r="O58" s="83"/>
      <c r="P58" s="83">
        <f t="shared" si="16"/>
        <v>181495</v>
      </c>
      <c r="Q58" s="271"/>
      <c r="R58" s="153"/>
      <c r="S58" s="153"/>
      <c r="T58" s="153"/>
    </row>
    <row r="59" spans="1:20" s="4" customFormat="1" ht="24" customHeight="1" x14ac:dyDescent="0.2">
      <c r="A59" s="84" t="s">
        <v>398</v>
      </c>
      <c r="B59" s="84" t="str">
        <f>'дод. 4'!A236</f>
        <v>8420</v>
      </c>
      <c r="C59" s="84" t="str">
        <f>'дод. 4'!B236</f>
        <v>0830</v>
      </c>
      <c r="D59" s="105" t="str">
        <f>'дод. 4'!C236</f>
        <v>Інші заходи у сфері засобів масової інформації</v>
      </c>
      <c r="E59" s="83">
        <f t="shared" si="15"/>
        <v>167500</v>
      </c>
      <c r="F59" s="83">
        <f>164000+3500</f>
        <v>167500</v>
      </c>
      <c r="G59" s="83"/>
      <c r="H59" s="83"/>
      <c r="I59" s="83"/>
      <c r="J59" s="83">
        <f t="shared" si="3"/>
        <v>0</v>
      </c>
      <c r="K59" s="83"/>
      <c r="L59" s="83"/>
      <c r="M59" s="83"/>
      <c r="N59" s="83"/>
      <c r="O59" s="83"/>
      <c r="P59" s="83">
        <f t="shared" si="16"/>
        <v>167500</v>
      </c>
      <c r="Q59" s="271"/>
      <c r="R59" s="153"/>
      <c r="S59" s="153"/>
      <c r="T59" s="153"/>
    </row>
    <row r="60" spans="1:20" s="4" customFormat="1" ht="24" customHeight="1" x14ac:dyDescent="0.2">
      <c r="A60" s="84" t="s">
        <v>631</v>
      </c>
      <c r="B60" s="84" t="str">
        <f>'дод. 4'!A248</f>
        <v>9770</v>
      </c>
      <c r="C60" s="84" t="str">
        <f>'дод. 4'!B248</f>
        <v>0180</v>
      </c>
      <c r="D60" s="215" t="str">
        <f>'дод. 4'!C248</f>
        <v xml:space="preserve">Інші субвенції з місцевого бюджету </v>
      </c>
      <c r="E60" s="83">
        <f t="shared" si="15"/>
        <v>366600</v>
      </c>
      <c r="F60" s="83">
        <f>116600+50000+200000</f>
        <v>366600</v>
      </c>
      <c r="G60" s="83"/>
      <c r="H60" s="83"/>
      <c r="I60" s="83"/>
      <c r="J60" s="83">
        <f t="shared" si="3"/>
        <v>344000</v>
      </c>
      <c r="K60" s="83"/>
      <c r="L60" s="83"/>
      <c r="M60" s="83"/>
      <c r="N60" s="83">
        <v>344000</v>
      </c>
      <c r="O60" s="83">
        <v>344000</v>
      </c>
      <c r="P60" s="83">
        <f t="shared" si="16"/>
        <v>710600</v>
      </c>
      <c r="Q60" s="271"/>
      <c r="R60" s="153"/>
      <c r="S60" s="153"/>
      <c r="T60" s="153"/>
    </row>
    <row r="61" spans="1:20" s="4" customFormat="1" ht="50.25" customHeight="1" x14ac:dyDescent="0.2">
      <c r="A61" s="84" t="s">
        <v>592</v>
      </c>
      <c r="B61" s="84" t="str">
        <f>'дод. 4'!A250</f>
        <v>9800</v>
      </c>
      <c r="C61" s="84" t="str">
        <f>'дод. 4'!B250</f>
        <v>0180</v>
      </c>
      <c r="D61" s="105" t="str">
        <f>'дод. 4'!C250</f>
        <v xml:space="preserve">Субвенція з місцевого бюджету державному бюджету на виконання програм соціально-економічного розвитку регіонів </v>
      </c>
      <c r="E61" s="83">
        <f>F61+I61</f>
        <v>1262797</v>
      </c>
      <c r="F61" s="83">
        <f>300000+70000+111400+479000+153027+149370</f>
        <v>1262797</v>
      </c>
      <c r="G61" s="83"/>
      <c r="H61" s="83"/>
      <c r="I61" s="83"/>
      <c r="J61" s="83">
        <f>K61+N61</f>
        <v>4704780</v>
      </c>
      <c r="K61" s="83"/>
      <c r="L61" s="83"/>
      <c r="M61" s="83"/>
      <c r="N61" s="83">
        <f>2000000+563780+1000000+51000+900000+190000</f>
        <v>4704780</v>
      </c>
      <c r="O61" s="83">
        <f>2000000+563780+1000000+51000+900000+190000</f>
        <v>4704780</v>
      </c>
      <c r="P61" s="83">
        <f>E61+J61</f>
        <v>5967577</v>
      </c>
      <c r="Q61" s="271"/>
      <c r="R61" s="153"/>
      <c r="S61" s="153"/>
      <c r="T61" s="153"/>
    </row>
    <row r="62" spans="1:20" s="107" customFormat="1" ht="23.25" customHeight="1" x14ac:dyDescent="0.2">
      <c r="A62" s="114" t="s">
        <v>266</v>
      </c>
      <c r="B62" s="115"/>
      <c r="C62" s="115"/>
      <c r="D62" s="35" t="s">
        <v>48</v>
      </c>
      <c r="E62" s="46">
        <f>E63</f>
        <v>760003533.25</v>
      </c>
      <c r="F62" s="46">
        <f t="shared" ref="F62:P62" si="17">F63</f>
        <v>760003533.25</v>
      </c>
      <c r="G62" s="46">
        <f t="shared" si="17"/>
        <v>481485658</v>
      </c>
      <c r="H62" s="46">
        <f t="shared" si="17"/>
        <v>73089630</v>
      </c>
      <c r="I62" s="46">
        <f t="shared" si="17"/>
        <v>0</v>
      </c>
      <c r="J62" s="46">
        <f t="shared" si="17"/>
        <v>107355234.47</v>
      </c>
      <c r="K62" s="46">
        <f t="shared" si="17"/>
        <v>48304148</v>
      </c>
      <c r="L62" s="46">
        <f t="shared" si="17"/>
        <v>2677494</v>
      </c>
      <c r="M62" s="46">
        <f t="shared" si="17"/>
        <v>2371330</v>
      </c>
      <c r="N62" s="46">
        <f t="shared" si="17"/>
        <v>59051086.469999999</v>
      </c>
      <c r="O62" s="46">
        <f t="shared" si="17"/>
        <v>56261078.420000002</v>
      </c>
      <c r="P62" s="46">
        <f t="shared" si="17"/>
        <v>867358767.72000003</v>
      </c>
      <c r="Q62" s="271"/>
      <c r="R62" s="150"/>
      <c r="S62" s="150"/>
      <c r="T62" s="150"/>
    </row>
    <row r="63" spans="1:20" s="109" customFormat="1" ht="29.25" customHeight="1" x14ac:dyDescent="0.2">
      <c r="A63" s="116" t="s">
        <v>267</v>
      </c>
      <c r="B63" s="117"/>
      <c r="C63" s="117"/>
      <c r="D63" s="118" t="s">
        <v>48</v>
      </c>
      <c r="E63" s="74">
        <f t="shared" ref="E63:P63" si="18">E65+E66+E67+E69+E71+E73+E74+E76+E77+E83+E86+E92+E93+E84+E94+E88</f>
        <v>760003533.25</v>
      </c>
      <c r="F63" s="74">
        <f>F65+F66+F67+F69+F71+F73+F74+F76+F77+F83+F86+F92+F93+F84+F94+F88</f>
        <v>760003533.25</v>
      </c>
      <c r="G63" s="74">
        <f>G65+G66+G67+G69+G71+G73+G74+G76+G77+G83+G86+G92+G93+G84+G94+G88</f>
        <v>481485658</v>
      </c>
      <c r="H63" s="74">
        <f t="shared" si="18"/>
        <v>73089630</v>
      </c>
      <c r="I63" s="74">
        <f t="shared" si="18"/>
        <v>0</v>
      </c>
      <c r="J63" s="74">
        <f t="shared" si="18"/>
        <v>107355234.47</v>
      </c>
      <c r="K63" s="74">
        <f t="shared" si="18"/>
        <v>48304148</v>
      </c>
      <c r="L63" s="74">
        <f t="shared" si="18"/>
        <v>2677494</v>
      </c>
      <c r="M63" s="74">
        <f t="shared" si="18"/>
        <v>2371330</v>
      </c>
      <c r="N63" s="74">
        <f t="shared" si="18"/>
        <v>59051086.469999999</v>
      </c>
      <c r="O63" s="74">
        <f t="shared" si="18"/>
        <v>56261078.420000002</v>
      </c>
      <c r="P63" s="74">
        <f t="shared" si="18"/>
        <v>867358767.72000003</v>
      </c>
      <c r="Q63" s="271"/>
      <c r="R63" s="157"/>
      <c r="S63" s="157"/>
      <c r="T63" s="157"/>
    </row>
    <row r="64" spans="1:20" s="109" customFormat="1" ht="18.75" customHeight="1" x14ac:dyDescent="0.2">
      <c r="A64" s="116"/>
      <c r="B64" s="117"/>
      <c r="C64" s="117"/>
      <c r="D64" s="118" t="s">
        <v>416</v>
      </c>
      <c r="E64" s="74">
        <f>E68+E70+E72+E75+E78+E89</f>
        <v>267908342.90000001</v>
      </c>
      <c r="F64" s="74">
        <f t="shared" ref="F64:P64" si="19">F68+F70+F72+F75+F78+F89</f>
        <v>267908342.90000001</v>
      </c>
      <c r="G64" s="74">
        <f t="shared" si="19"/>
        <v>213388985</v>
      </c>
      <c r="H64" s="74">
        <f t="shared" si="19"/>
        <v>0</v>
      </c>
      <c r="I64" s="74">
        <f t="shared" si="19"/>
        <v>0</v>
      </c>
      <c r="J64" s="74">
        <f t="shared" si="19"/>
        <v>20710603.829999998</v>
      </c>
      <c r="K64" s="74">
        <f t="shared" si="19"/>
        <v>0</v>
      </c>
      <c r="L64" s="74">
        <f t="shared" si="19"/>
        <v>0</v>
      </c>
      <c r="M64" s="74">
        <f t="shared" si="19"/>
        <v>0</v>
      </c>
      <c r="N64" s="74">
        <f t="shared" si="19"/>
        <v>20710603.829999998</v>
      </c>
      <c r="O64" s="74">
        <f t="shared" si="19"/>
        <v>18165095.780000001</v>
      </c>
      <c r="P64" s="74">
        <f t="shared" si="19"/>
        <v>288618946.72999996</v>
      </c>
      <c r="Q64" s="271"/>
      <c r="R64" s="152"/>
      <c r="S64" s="152"/>
      <c r="T64" s="152"/>
    </row>
    <row r="65" spans="1:20" s="4" customFormat="1" ht="45" x14ac:dyDescent="0.2">
      <c r="A65" s="75" t="s">
        <v>268</v>
      </c>
      <c r="B65" s="75" t="str">
        <f>'дод. 4'!A14</f>
        <v>0160</v>
      </c>
      <c r="C65" s="75" t="str">
        <f>'дод. 4'!B14</f>
        <v>0111</v>
      </c>
      <c r="D6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5" s="77">
        <f t="shared" ref="E65:E76" si="20">F65+I65</f>
        <v>2923203</v>
      </c>
      <c r="F65" s="77">
        <f>3102600-74400-104997</f>
        <v>2923203</v>
      </c>
      <c r="G65" s="77">
        <f>2367000-86063</f>
        <v>2280937</v>
      </c>
      <c r="H65" s="77">
        <v>38870</v>
      </c>
      <c r="I65" s="77"/>
      <c r="J65" s="77">
        <f t="shared" ref="J65:J76" si="21">K65+N65</f>
        <v>16000</v>
      </c>
      <c r="K65" s="77"/>
      <c r="L65" s="77"/>
      <c r="M65" s="77"/>
      <c r="N65" s="77">
        <v>16000</v>
      </c>
      <c r="O65" s="77">
        <v>16000</v>
      </c>
      <c r="P65" s="77">
        <f t="shared" ref="P65:P76" si="22">E65+J65</f>
        <v>2939203</v>
      </c>
      <c r="Q65" s="271"/>
      <c r="R65" s="153"/>
      <c r="S65" s="153"/>
      <c r="T65" s="153"/>
    </row>
    <row r="66" spans="1:20" s="4" customFormat="1" ht="21.75" customHeight="1" x14ac:dyDescent="0.2">
      <c r="A66" s="75" t="s">
        <v>269</v>
      </c>
      <c r="B66" s="75" t="str">
        <f>'дод. 4'!A18</f>
        <v>1010</v>
      </c>
      <c r="C66" s="75" t="str">
        <f>'дод. 4'!B18</f>
        <v>0910</v>
      </c>
      <c r="D66" s="104" t="str">
        <f>'дод. 4'!C18</f>
        <v>Надання дошкільної освіти</v>
      </c>
      <c r="E66" s="77">
        <f t="shared" si="20"/>
        <v>192237758.34999999</v>
      </c>
      <c r="F66" s="77">
        <f>190467470+5000+77300+3000+93600+100000+74105+68126+35000+135000+4883.35-700000+10715+156000+51067+5000+49000+33500+10000+1433847+85000+20000+20145</f>
        <v>192237758.34999999</v>
      </c>
      <c r="G66" s="77">
        <f>119291300</f>
        <v>119291300</v>
      </c>
      <c r="H66" s="77">
        <f>22031690+1339980</f>
        <v>23371670</v>
      </c>
      <c r="I66" s="77"/>
      <c r="J66" s="77">
        <f t="shared" si="21"/>
        <v>21113896.649999999</v>
      </c>
      <c r="K66" s="77">
        <f>16065511</f>
        <v>16065511</v>
      </c>
      <c r="L66" s="77"/>
      <c r="M66" s="77"/>
      <c r="N66" s="77">
        <f>3500000+20000+20000+200000+52395+47874+50000+40000+350000+15116.65+15000+8000+60000+670000</f>
        <v>5048385.6500000004</v>
      </c>
      <c r="O66" s="77">
        <f>3500000+20000+20000+200000+52395+47874+50000+40000+350000+15116.65+15000+8000+60000+670000</f>
        <v>5048385.6500000004</v>
      </c>
      <c r="P66" s="77">
        <f t="shared" si="22"/>
        <v>213351655</v>
      </c>
      <c r="Q66" s="271"/>
      <c r="R66" s="153"/>
      <c r="S66" s="153"/>
      <c r="T66" s="153"/>
    </row>
    <row r="67" spans="1:20" s="4" customFormat="1" ht="73.5" customHeight="1" x14ac:dyDescent="0.2">
      <c r="A67" s="75" t="s">
        <v>270</v>
      </c>
      <c r="B67" s="75" t="str">
        <f>'дод. 4'!A19</f>
        <v>1020</v>
      </c>
      <c r="C67" s="75" t="str">
        <f>'дод. 4'!B19</f>
        <v>0921</v>
      </c>
      <c r="D67" s="104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77">
        <f t="shared" si="20"/>
        <v>416926452.89999998</v>
      </c>
      <c r="F67" s="77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+19419</f>
        <v>416926452.89999998</v>
      </c>
      <c r="G67" s="77">
        <f>266266600+83700-15000+516085+1150000+1725000+2875000+373000-373000+2463054</f>
        <v>275064439</v>
      </c>
      <c r="H67" s="77">
        <f>34867640+1670030</f>
        <v>36537670</v>
      </c>
      <c r="I67" s="77"/>
      <c r="J67" s="77">
        <f t="shared" si="21"/>
        <v>43577036</v>
      </c>
      <c r="K67" s="77">
        <f>25377767</f>
        <v>25377767</v>
      </c>
      <c r="L67" s="77">
        <v>624000</v>
      </c>
      <c r="M67" s="77">
        <v>36920</v>
      </c>
      <c r="N67" s="77">
        <f>7400000+419705+50000+1905000+20000+30000+650000+3281280+766542+2500000+80000+77000+52000+4920+535000-120139+53000-4920+33000-61050+9900+30000+150000+41839-150000+50000+9975+26000+94690-7320+200000+48647+24200</f>
        <v>18199269</v>
      </c>
      <c r="O67" s="77">
        <f>7400000+419705+50000+1905000+20000+30000+650000+3281280+766542+2500000+80000+77000+52000+4920+535000-120139+53000-4920+33000-61050+9900+30000+150000+41839-150000+50000+9975+26000+94690-7320+200000+48647+24200</f>
        <v>18199269</v>
      </c>
      <c r="P67" s="77">
        <f t="shared" si="22"/>
        <v>460503488.89999998</v>
      </c>
      <c r="Q67" s="271"/>
      <c r="R67" s="153"/>
      <c r="S67" s="153"/>
      <c r="T67" s="153"/>
    </row>
    <row r="68" spans="1:20" s="4" customFormat="1" x14ac:dyDescent="0.2">
      <c r="A68" s="75"/>
      <c r="B68" s="87"/>
      <c r="C68" s="87"/>
      <c r="D68" s="76" t="s">
        <v>416</v>
      </c>
      <c r="E68" s="77">
        <f t="shared" si="20"/>
        <v>252059507.90000001</v>
      </c>
      <c r="F68" s="77">
        <f>244300500+83700+968652+1644142.9+5478703+38810-455000</f>
        <v>252059507.90000001</v>
      </c>
      <c r="G68" s="77">
        <f>200571200+83700-15000+516085-373000</f>
        <v>200782985</v>
      </c>
      <c r="H68" s="77"/>
      <c r="I68" s="77"/>
      <c r="J68" s="77">
        <f t="shared" si="21"/>
        <v>1416542</v>
      </c>
      <c r="K68" s="77"/>
      <c r="L68" s="77"/>
      <c r="M68" s="77"/>
      <c r="N68" s="77">
        <f>650000+766542</f>
        <v>1416542</v>
      </c>
      <c r="O68" s="77">
        <f>650000+766542</f>
        <v>1416542</v>
      </c>
      <c r="P68" s="77">
        <f t="shared" si="22"/>
        <v>253476049.90000001</v>
      </c>
      <c r="Q68" s="271"/>
      <c r="R68" s="153"/>
      <c r="S68" s="153"/>
      <c r="T68" s="153"/>
    </row>
    <row r="69" spans="1:20" s="4" customFormat="1" ht="31.5" customHeight="1" x14ac:dyDescent="0.2">
      <c r="A69" s="75" t="s">
        <v>423</v>
      </c>
      <c r="B69" s="75" t="str">
        <f>'дод. 4'!A21</f>
        <v>1030</v>
      </c>
      <c r="C69" s="75" t="str">
        <f>'дод. 4'!B21</f>
        <v>0921</v>
      </c>
      <c r="D69" s="104" t="str">
        <f>'дод. 4'!C21</f>
        <v>Надання загальної середньої освіти вечiрнiми (змінними) школами</v>
      </c>
      <c r="E69" s="77">
        <f t="shared" si="20"/>
        <v>829640</v>
      </c>
      <c r="F69" s="77">
        <f>778340+51300</f>
        <v>829640</v>
      </c>
      <c r="G69" s="77">
        <f>637000+42100</f>
        <v>679100</v>
      </c>
      <c r="H69" s="77"/>
      <c r="I69" s="77"/>
      <c r="J69" s="77">
        <f t="shared" si="21"/>
        <v>0</v>
      </c>
      <c r="K69" s="77"/>
      <c r="L69" s="77"/>
      <c r="M69" s="77"/>
      <c r="N69" s="77"/>
      <c r="O69" s="77"/>
      <c r="P69" s="77">
        <f t="shared" si="22"/>
        <v>829640</v>
      </c>
      <c r="Q69" s="271"/>
      <c r="R69" s="153"/>
      <c r="S69" s="153"/>
      <c r="T69" s="153"/>
    </row>
    <row r="70" spans="1:20" s="4" customFormat="1" ht="17.25" customHeight="1" x14ac:dyDescent="0.2">
      <c r="A70" s="75"/>
      <c r="B70" s="87"/>
      <c r="C70" s="87"/>
      <c r="D70" s="76" t="s">
        <v>416</v>
      </c>
      <c r="E70" s="77">
        <f t="shared" si="20"/>
        <v>777140</v>
      </c>
      <c r="F70" s="77">
        <v>777140</v>
      </c>
      <c r="G70" s="77">
        <v>637000</v>
      </c>
      <c r="H70" s="77"/>
      <c r="I70" s="77"/>
      <c r="J70" s="77">
        <f t="shared" si="21"/>
        <v>0</v>
      </c>
      <c r="K70" s="77"/>
      <c r="L70" s="77"/>
      <c r="M70" s="77"/>
      <c r="N70" s="77"/>
      <c r="O70" s="77"/>
      <c r="P70" s="77">
        <f t="shared" si="22"/>
        <v>777140</v>
      </c>
      <c r="Q70" s="271"/>
      <c r="R70" s="153"/>
      <c r="S70" s="153"/>
      <c r="T70" s="153"/>
    </row>
    <row r="71" spans="1:20" s="4" customFormat="1" ht="75" customHeight="1" x14ac:dyDescent="0.2">
      <c r="A71" s="75" t="s">
        <v>354</v>
      </c>
      <c r="B71" s="75" t="str">
        <f>'дод. 4'!A23</f>
        <v>1070</v>
      </c>
      <c r="C71" s="75" t="str">
        <f>'дод. 4'!B23</f>
        <v>0922</v>
      </c>
      <c r="D71" s="104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77">
        <f t="shared" si="20"/>
        <v>7751025</v>
      </c>
      <c r="F71" s="77">
        <f>7458330+7435+20000+159860+105400</f>
        <v>7751025</v>
      </c>
      <c r="G71" s="77">
        <f>5205700+127530</f>
        <v>5333230</v>
      </c>
      <c r="H71" s="77">
        <f>615230+105400</f>
        <v>720630</v>
      </c>
      <c r="I71" s="77"/>
      <c r="J71" s="77">
        <f t="shared" si="21"/>
        <v>103611</v>
      </c>
      <c r="K71" s="77"/>
      <c r="L71" s="77"/>
      <c r="M71" s="77"/>
      <c r="N71" s="77">
        <f>100000+3611</f>
        <v>103611</v>
      </c>
      <c r="O71" s="77">
        <f>100000+3611</f>
        <v>103611</v>
      </c>
      <c r="P71" s="77">
        <f t="shared" si="22"/>
        <v>7854636</v>
      </c>
      <c r="Q71" s="271"/>
      <c r="R71" s="153"/>
      <c r="S71" s="153"/>
      <c r="T71" s="153"/>
    </row>
    <row r="72" spans="1:20" s="4" customFormat="1" ht="24" customHeight="1" x14ac:dyDescent="0.2">
      <c r="A72" s="75"/>
      <c r="B72" s="87"/>
      <c r="C72" s="87"/>
      <c r="D72" s="76" t="s">
        <v>416</v>
      </c>
      <c r="E72" s="77">
        <f t="shared" si="20"/>
        <v>4964695</v>
      </c>
      <c r="F72" s="77">
        <f>4957260+7435</f>
        <v>4964695</v>
      </c>
      <c r="G72" s="77">
        <v>4070000</v>
      </c>
      <c r="H72" s="77"/>
      <c r="I72" s="77"/>
      <c r="J72" s="77">
        <f t="shared" si="21"/>
        <v>0</v>
      </c>
      <c r="K72" s="77"/>
      <c r="L72" s="77"/>
      <c r="M72" s="77"/>
      <c r="N72" s="77"/>
      <c r="O72" s="77"/>
      <c r="P72" s="77">
        <f t="shared" si="22"/>
        <v>4964695</v>
      </c>
      <c r="Q72" s="271"/>
      <c r="R72" s="153"/>
      <c r="S72" s="153"/>
      <c r="T72" s="153"/>
    </row>
    <row r="73" spans="1:20" s="4" customFormat="1" ht="45.75" customHeight="1" x14ac:dyDescent="0.2">
      <c r="A73" s="75" t="s">
        <v>355</v>
      </c>
      <c r="B73" s="75" t="str">
        <f>'дод. 4'!A25</f>
        <v>1090</v>
      </c>
      <c r="C73" s="75" t="str">
        <f>'дод. 4'!B25</f>
        <v>0960</v>
      </c>
      <c r="D73" s="104" t="str">
        <f>'дод. 4'!C25</f>
        <v xml:space="preserve">Надання позашкільної освіти позашкільними закладами освіти, заходи із позашкільної роботи з дітьми </v>
      </c>
      <c r="E73" s="77">
        <f t="shared" si="20"/>
        <v>21926359</v>
      </c>
      <c r="F73" s="77">
        <f>21531690+50000+20000+5000+10500+43489+206680+59000</f>
        <v>21926359</v>
      </c>
      <c r="G73" s="77">
        <v>15425500</v>
      </c>
      <c r="H73" s="77">
        <f>2331620+206680</f>
        <v>2538300</v>
      </c>
      <c r="I73" s="77"/>
      <c r="J73" s="77">
        <f t="shared" si="21"/>
        <v>383298</v>
      </c>
      <c r="K73" s="77"/>
      <c r="L73" s="77"/>
      <c r="M73" s="77"/>
      <c r="N73" s="77">
        <f>400000+30000+3709+20000-11411-59000</f>
        <v>383298</v>
      </c>
      <c r="O73" s="77">
        <f>400000+30000+3709+20000-11411-59000</f>
        <v>383298</v>
      </c>
      <c r="P73" s="77">
        <f t="shared" si="22"/>
        <v>22309657</v>
      </c>
      <c r="Q73" s="271"/>
      <c r="R73" s="153"/>
      <c r="S73" s="153"/>
      <c r="T73" s="153"/>
    </row>
    <row r="74" spans="1:20" s="4" customFormat="1" ht="33.75" customHeight="1" x14ac:dyDescent="0.2">
      <c r="A74" s="75" t="s">
        <v>353</v>
      </c>
      <c r="B74" s="75" t="str">
        <f>'дод. 4'!A27</f>
        <v>1110</v>
      </c>
      <c r="C74" s="75" t="str">
        <f>'дод. 4'!B27</f>
        <v>0930</v>
      </c>
      <c r="D74" s="104" t="str">
        <f>'дод. 4'!C27</f>
        <v>Підготовка кадрів професійно-технічними закладами та іншими закладами освіти</v>
      </c>
      <c r="E74" s="77">
        <f t="shared" si="20"/>
        <v>94960900</v>
      </c>
      <c r="F74" s="77">
        <f>91735900+2000000+55000+179570+170430+300000+15000+100000+370000-455000+455000+35000</f>
        <v>94960900</v>
      </c>
      <c r="G74" s="77">
        <f>52999200-373000+373000</f>
        <v>52999200</v>
      </c>
      <c r="H74" s="77">
        <v>9089100</v>
      </c>
      <c r="I74" s="77">
        <v>0</v>
      </c>
      <c r="J74" s="77">
        <f t="shared" si="21"/>
        <v>11338970</v>
      </c>
      <c r="K74" s="77">
        <v>6514270</v>
      </c>
      <c r="L74" s="77">
        <v>2053494</v>
      </c>
      <c r="M74" s="77">
        <v>2334410</v>
      </c>
      <c r="N74" s="77">
        <f>194700+2300000+2700000-370000</f>
        <v>4824700</v>
      </c>
      <c r="O74" s="77">
        <f>2300000+2700000-370000</f>
        <v>4630000</v>
      </c>
      <c r="P74" s="77">
        <f>E74+J74</f>
        <v>106299870</v>
      </c>
      <c r="Q74" s="271"/>
      <c r="R74" s="153"/>
      <c r="S74" s="153"/>
      <c r="T74" s="153"/>
    </row>
    <row r="75" spans="1:20" s="4" customFormat="1" ht="24.75" customHeight="1" x14ac:dyDescent="0.2">
      <c r="A75" s="75"/>
      <c r="B75" s="87"/>
      <c r="C75" s="87"/>
      <c r="D75" s="76" t="s">
        <v>416</v>
      </c>
      <c r="E75" s="77">
        <f t="shared" si="20"/>
        <v>10107000</v>
      </c>
      <c r="F75" s="77">
        <f>9182000+100000+370000+455000</f>
        <v>10107000</v>
      </c>
      <c r="G75" s="77">
        <f>7526000+373000</f>
        <v>7899000</v>
      </c>
      <c r="H75" s="77"/>
      <c r="I75" s="77"/>
      <c r="J75" s="77">
        <f t="shared" si="21"/>
        <v>4630000</v>
      </c>
      <c r="K75" s="77"/>
      <c r="L75" s="77"/>
      <c r="M75" s="77"/>
      <c r="N75" s="77">
        <f>2300000+2700000-370000</f>
        <v>4630000</v>
      </c>
      <c r="O75" s="77">
        <f>2300000+2700000-370000</f>
        <v>4630000</v>
      </c>
      <c r="P75" s="77">
        <f t="shared" si="22"/>
        <v>14737000</v>
      </c>
      <c r="Q75" s="271"/>
      <c r="R75" s="153"/>
      <c r="S75" s="153"/>
      <c r="T75" s="153"/>
    </row>
    <row r="76" spans="1:20" s="4" customFormat="1" ht="35.25" customHeight="1" x14ac:dyDescent="0.2">
      <c r="A76" s="75" t="s">
        <v>271</v>
      </c>
      <c r="B76" s="75" t="str">
        <f>'дод. 4'!A29</f>
        <v>1150</v>
      </c>
      <c r="C76" s="75" t="str">
        <f>'дод. 4'!B29</f>
        <v>0990</v>
      </c>
      <c r="D76" s="104" t="str">
        <f>'дод. 4'!C29</f>
        <v xml:space="preserve">Методичне забезпечення діяльності навчальних закладів  </v>
      </c>
      <c r="E76" s="77">
        <f t="shared" si="20"/>
        <v>2824007</v>
      </c>
      <c r="F76" s="77">
        <f>3118910-5000-175662-49736-84595+2000+18090</f>
        <v>2824007</v>
      </c>
      <c r="G76" s="77">
        <f>2440000-4098-144000-40800-69340</f>
        <v>2181762</v>
      </c>
      <c r="H76" s="77">
        <f>103210+18090</f>
        <v>121300</v>
      </c>
      <c r="I76" s="77"/>
      <c r="J76" s="77">
        <f t="shared" si="21"/>
        <v>13000</v>
      </c>
      <c r="K76" s="77"/>
      <c r="L76" s="77"/>
      <c r="M76" s="77"/>
      <c r="N76" s="77">
        <v>13000</v>
      </c>
      <c r="O76" s="77">
        <v>13000</v>
      </c>
      <c r="P76" s="77">
        <f t="shared" si="22"/>
        <v>2837007</v>
      </c>
      <c r="Q76" s="271"/>
      <c r="R76" s="153"/>
      <c r="S76" s="153"/>
      <c r="T76" s="153"/>
    </row>
    <row r="77" spans="1:20" s="4" customFormat="1" ht="31.5" customHeight="1" x14ac:dyDescent="0.2">
      <c r="A77" s="75" t="s">
        <v>357</v>
      </c>
      <c r="B77" s="75" t="str">
        <f>'дод. 4'!A30</f>
        <v>1160</v>
      </c>
      <c r="C77" s="75">
        <f>'дод. 4'!B30</f>
        <v>0</v>
      </c>
      <c r="D77" s="104" t="str">
        <f>'дод. 4'!C30</f>
        <v>Інші програми, заклади та заходи у сфері освіти</v>
      </c>
      <c r="E77" s="77">
        <f>E79+E81</f>
        <v>7636623</v>
      </c>
      <c r="F77" s="77">
        <f t="shared" ref="F77:P77" si="23">F79+F81</f>
        <v>7636623</v>
      </c>
      <c r="G77" s="77">
        <f t="shared" si="23"/>
        <v>5051740</v>
      </c>
      <c r="H77" s="77">
        <f t="shared" si="23"/>
        <v>460470</v>
      </c>
      <c r="I77" s="77">
        <f t="shared" si="23"/>
        <v>0</v>
      </c>
      <c r="J77" s="77">
        <f t="shared" si="23"/>
        <v>349361</v>
      </c>
      <c r="K77" s="77">
        <f t="shared" si="23"/>
        <v>0</v>
      </c>
      <c r="L77" s="77">
        <f t="shared" si="23"/>
        <v>0</v>
      </c>
      <c r="M77" s="77">
        <f t="shared" si="23"/>
        <v>0</v>
      </c>
      <c r="N77" s="77">
        <f t="shared" si="23"/>
        <v>349361</v>
      </c>
      <c r="O77" s="77">
        <f t="shared" si="23"/>
        <v>349361</v>
      </c>
      <c r="P77" s="77">
        <f t="shared" si="23"/>
        <v>7985984</v>
      </c>
      <c r="Q77" s="271"/>
      <c r="R77" s="154"/>
      <c r="S77" s="154"/>
      <c r="T77" s="154"/>
    </row>
    <row r="78" spans="1:20" s="4" customFormat="1" ht="15.75" customHeight="1" x14ac:dyDescent="0.2">
      <c r="A78" s="75"/>
      <c r="B78" s="75"/>
      <c r="C78" s="75"/>
      <c r="D78" s="76" t="s">
        <v>416</v>
      </c>
      <c r="E78" s="77">
        <f>E80</f>
        <v>0</v>
      </c>
      <c r="F78" s="77">
        <f t="shared" ref="F78:P78" si="24">F80</f>
        <v>0</v>
      </c>
      <c r="G78" s="77">
        <f t="shared" si="24"/>
        <v>0</v>
      </c>
      <c r="H78" s="77">
        <f t="shared" si="24"/>
        <v>0</v>
      </c>
      <c r="I78" s="77">
        <f t="shared" si="24"/>
        <v>0</v>
      </c>
      <c r="J78" s="77">
        <f t="shared" si="24"/>
        <v>107950</v>
      </c>
      <c r="K78" s="77">
        <f t="shared" si="24"/>
        <v>0</v>
      </c>
      <c r="L78" s="77">
        <f t="shared" si="24"/>
        <v>0</v>
      </c>
      <c r="M78" s="77">
        <f t="shared" si="24"/>
        <v>0</v>
      </c>
      <c r="N78" s="77">
        <f t="shared" si="24"/>
        <v>107950</v>
      </c>
      <c r="O78" s="77">
        <f>O80</f>
        <v>107950</v>
      </c>
      <c r="P78" s="77">
        <f t="shared" si="24"/>
        <v>107950</v>
      </c>
      <c r="Q78" s="271"/>
      <c r="R78" s="154"/>
      <c r="S78" s="154"/>
      <c r="T78" s="154"/>
    </row>
    <row r="79" spans="1:20" s="32" customFormat="1" ht="31.5" customHeight="1" x14ac:dyDescent="0.2">
      <c r="A79" s="78" t="s">
        <v>480</v>
      </c>
      <c r="B79" s="78" t="str">
        <f>'дод. 4'!A32</f>
        <v>1161</v>
      </c>
      <c r="C79" s="78" t="str">
        <f>'дод. 4'!B32</f>
        <v>0990</v>
      </c>
      <c r="D79" s="101" t="str">
        <f>'дод. 4'!C32</f>
        <v>Забезпечення діяльності інших закладів у сфері освіти</v>
      </c>
      <c r="E79" s="80">
        <f>F79+I79</f>
        <v>7560823</v>
      </c>
      <c r="F79" s="80">
        <f>6712200+5000+175662+49736+84595+68130+450000+15500</f>
        <v>7560823</v>
      </c>
      <c r="G79" s="80">
        <f>4797600+144000+40800+69340</f>
        <v>5051740</v>
      </c>
      <c r="H79" s="80">
        <v>460470</v>
      </c>
      <c r="I79" s="80"/>
      <c r="J79" s="80">
        <f>K79+N79</f>
        <v>349361</v>
      </c>
      <c r="K79" s="80"/>
      <c r="L79" s="80"/>
      <c r="M79" s="80"/>
      <c r="N79" s="80">
        <f>180000+107950+50000+11411</f>
        <v>349361</v>
      </c>
      <c r="O79" s="80">
        <f>180000+107950+50000+11411</f>
        <v>349361</v>
      </c>
      <c r="P79" s="80">
        <f>E79+J79</f>
        <v>7910184</v>
      </c>
      <c r="Q79" s="271"/>
      <c r="R79" s="155"/>
      <c r="S79" s="155"/>
      <c r="T79" s="155"/>
    </row>
    <row r="80" spans="1:20" s="32" customFormat="1" ht="18.75" customHeight="1" x14ac:dyDescent="0.2">
      <c r="A80" s="78"/>
      <c r="B80" s="78"/>
      <c r="C80" s="78"/>
      <c r="D80" s="79" t="s">
        <v>416</v>
      </c>
      <c r="E80" s="80">
        <f>F80+I80</f>
        <v>0</v>
      </c>
      <c r="F80" s="80"/>
      <c r="G80" s="80"/>
      <c r="H80" s="80"/>
      <c r="I80" s="80"/>
      <c r="J80" s="80">
        <f>K80+N80</f>
        <v>107950</v>
      </c>
      <c r="K80" s="80"/>
      <c r="L80" s="80"/>
      <c r="M80" s="80"/>
      <c r="N80" s="80">
        <v>107950</v>
      </c>
      <c r="O80" s="80">
        <v>107950</v>
      </c>
      <c r="P80" s="80">
        <f>E80+J80</f>
        <v>107950</v>
      </c>
      <c r="Q80" s="271"/>
      <c r="R80" s="155"/>
      <c r="S80" s="155"/>
      <c r="T80" s="155"/>
    </row>
    <row r="81" spans="1:20" s="32" customFormat="1" ht="20.25" customHeight="1" x14ac:dyDescent="0.2">
      <c r="A81" s="78" t="s">
        <v>481</v>
      </c>
      <c r="B81" s="78" t="str">
        <f>'дод. 4'!A34</f>
        <v>1162</v>
      </c>
      <c r="C81" s="78" t="str">
        <f>'дод. 4'!B34</f>
        <v>0990</v>
      </c>
      <c r="D81" s="101" t="str">
        <f>'дод. 4'!C34</f>
        <v>Інші програми та заходи у сфері освіти</v>
      </c>
      <c r="E81" s="80">
        <f>F81+I81</f>
        <v>75800</v>
      </c>
      <c r="F81" s="80">
        <v>75800</v>
      </c>
      <c r="G81" s="80"/>
      <c r="H81" s="80"/>
      <c r="I81" s="80"/>
      <c r="J81" s="80">
        <f>K81+N81</f>
        <v>0</v>
      </c>
      <c r="K81" s="80"/>
      <c r="L81" s="80"/>
      <c r="M81" s="80"/>
      <c r="N81" s="80"/>
      <c r="O81" s="80"/>
      <c r="P81" s="80">
        <f>E81+J81</f>
        <v>75800</v>
      </c>
      <c r="Q81" s="271"/>
      <c r="R81" s="155"/>
      <c r="S81" s="155"/>
      <c r="T81" s="155"/>
    </row>
    <row r="82" spans="1:20" s="32" customFormat="1" ht="20.25" customHeight="1" x14ac:dyDescent="0.2">
      <c r="A82" s="78"/>
      <c r="B82" s="78"/>
      <c r="C82" s="78"/>
      <c r="D82" s="82" t="s">
        <v>416</v>
      </c>
      <c r="E82" s="80">
        <f>F82+I82</f>
        <v>0</v>
      </c>
      <c r="F82" s="80"/>
      <c r="G82" s="80"/>
      <c r="H82" s="80"/>
      <c r="I82" s="80"/>
      <c r="J82" s="80">
        <f>K82+N82</f>
        <v>0</v>
      </c>
      <c r="K82" s="80"/>
      <c r="L82" s="80"/>
      <c r="M82" s="80"/>
      <c r="N82" s="80"/>
      <c r="O82" s="80"/>
      <c r="P82" s="80">
        <f>E82+J82</f>
        <v>0</v>
      </c>
      <c r="Q82" s="271"/>
      <c r="R82" s="155"/>
      <c r="S82" s="155"/>
      <c r="T82" s="155"/>
    </row>
    <row r="83" spans="1:20" s="4" customFormat="1" ht="68.25" customHeight="1" x14ac:dyDescent="0.2">
      <c r="A83" s="75" t="s">
        <v>272</v>
      </c>
      <c r="B83" s="75" t="str">
        <f>'дод. 4'!A121</f>
        <v>3140</v>
      </c>
      <c r="C83" s="75" t="str">
        <f>'дод. 4'!B121</f>
        <v>1040</v>
      </c>
      <c r="D83" s="201" t="str">
        <f>'дод. 4'!C121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77">
        <f>F83+I83</f>
        <v>6567355</v>
      </c>
      <c r="F83" s="77">
        <f>7000000-302310-110190-20145</f>
        <v>6567355</v>
      </c>
      <c r="G83" s="77"/>
      <c r="H83" s="77"/>
      <c r="I83" s="77"/>
      <c r="J83" s="77">
        <f>K83+N83</f>
        <v>0</v>
      </c>
      <c r="K83" s="77"/>
      <c r="L83" s="77"/>
      <c r="M83" s="77"/>
      <c r="N83" s="77"/>
      <c r="O83" s="77"/>
      <c r="P83" s="77">
        <f>E83+J83</f>
        <v>6567355</v>
      </c>
      <c r="Q83" s="271"/>
      <c r="R83" s="153"/>
      <c r="S83" s="153"/>
      <c r="T83" s="153"/>
    </row>
    <row r="84" spans="1:20" s="4" customFormat="1" ht="24" customHeight="1" x14ac:dyDescent="0.2">
      <c r="A84" s="75" t="s">
        <v>578</v>
      </c>
      <c r="B84" s="75" t="str">
        <f>'дод. 4'!A142</f>
        <v>3240</v>
      </c>
      <c r="C84" s="75">
        <f>'дод. 4'!B142</f>
        <v>0</v>
      </c>
      <c r="D84" s="102" t="str">
        <f>'дод. 4'!C142</f>
        <v>Інші заклади та заходи</v>
      </c>
      <c r="E84" s="77">
        <f t="shared" ref="E84:P84" si="25">E85</f>
        <v>43440</v>
      </c>
      <c r="F84" s="77">
        <f t="shared" si="25"/>
        <v>43440</v>
      </c>
      <c r="G84" s="77">
        <f t="shared" si="25"/>
        <v>0</v>
      </c>
      <c r="H84" s="77">
        <f t="shared" si="25"/>
        <v>0</v>
      </c>
      <c r="I84" s="77">
        <f t="shared" si="25"/>
        <v>0</v>
      </c>
      <c r="J84" s="77">
        <f t="shared" si="25"/>
        <v>0</v>
      </c>
      <c r="K84" s="77">
        <f t="shared" si="25"/>
        <v>0</v>
      </c>
      <c r="L84" s="77">
        <f t="shared" si="25"/>
        <v>0</v>
      </c>
      <c r="M84" s="77">
        <f t="shared" si="25"/>
        <v>0</v>
      </c>
      <c r="N84" s="77">
        <f t="shared" si="25"/>
        <v>0</v>
      </c>
      <c r="O84" s="77">
        <f t="shared" si="25"/>
        <v>0</v>
      </c>
      <c r="P84" s="77">
        <f t="shared" si="25"/>
        <v>43440</v>
      </c>
      <c r="Q84" s="271"/>
      <c r="R84" s="158"/>
      <c r="S84" s="158"/>
      <c r="T84" s="158"/>
    </row>
    <row r="85" spans="1:20" s="110" customFormat="1" ht="36.75" customHeight="1" x14ac:dyDescent="0.2">
      <c r="A85" s="78" t="s">
        <v>579</v>
      </c>
      <c r="B85" s="78" t="str">
        <f>'дод. 4'!A144</f>
        <v>3242</v>
      </c>
      <c r="C85" s="78" t="str">
        <f>'дод. 4'!B144</f>
        <v>1090</v>
      </c>
      <c r="D85" s="101" t="str">
        <f>'дод. 4'!C144</f>
        <v>Інші заходи у сфері соціального захисту і соціального забезпечення</v>
      </c>
      <c r="E85" s="80">
        <f>F85</f>
        <v>43440</v>
      </c>
      <c r="F85" s="80">
        <v>43440</v>
      </c>
      <c r="G85" s="80"/>
      <c r="H85" s="80"/>
      <c r="I85" s="80"/>
      <c r="J85" s="80">
        <f>K85+N85</f>
        <v>0</v>
      </c>
      <c r="K85" s="80"/>
      <c r="L85" s="80"/>
      <c r="M85" s="80"/>
      <c r="N85" s="80"/>
      <c r="O85" s="80"/>
      <c r="P85" s="80">
        <f>E85+J85</f>
        <v>43440</v>
      </c>
      <c r="Q85" s="271"/>
      <c r="R85" s="159"/>
      <c r="S85" s="159"/>
      <c r="T85" s="159"/>
    </row>
    <row r="86" spans="1:20" s="4" customFormat="1" ht="25.5" customHeight="1" x14ac:dyDescent="0.2">
      <c r="A86" s="75" t="s">
        <v>273</v>
      </c>
      <c r="B86" s="75" t="str">
        <f>'дод. 4'!A155</f>
        <v>5030</v>
      </c>
      <c r="C86" s="75">
        <f>'дод. 4'!B155</f>
        <v>0</v>
      </c>
      <c r="D86" s="102" t="str">
        <f>'дод. 4'!C155</f>
        <v>Розвиток дитячо-юнацького та резервного спорту</v>
      </c>
      <c r="E86" s="77">
        <f>E87</f>
        <v>4500770</v>
      </c>
      <c r="F86" s="77">
        <f t="shared" ref="F86:P86" si="26">F87</f>
        <v>4500770</v>
      </c>
      <c r="G86" s="77">
        <f t="shared" si="26"/>
        <v>3178450</v>
      </c>
      <c r="H86" s="77">
        <f t="shared" si="26"/>
        <v>211620</v>
      </c>
      <c r="I86" s="77">
        <f t="shared" si="26"/>
        <v>0</v>
      </c>
      <c r="J86" s="77">
        <f t="shared" si="26"/>
        <v>100000</v>
      </c>
      <c r="K86" s="77">
        <f t="shared" si="26"/>
        <v>0</v>
      </c>
      <c r="L86" s="77">
        <f t="shared" si="26"/>
        <v>0</v>
      </c>
      <c r="M86" s="77">
        <f t="shared" si="26"/>
        <v>0</v>
      </c>
      <c r="N86" s="77">
        <f t="shared" si="26"/>
        <v>100000</v>
      </c>
      <c r="O86" s="77">
        <f t="shared" si="26"/>
        <v>100000</v>
      </c>
      <c r="P86" s="77">
        <f t="shared" si="26"/>
        <v>4600770</v>
      </c>
      <c r="Q86" s="271"/>
      <c r="R86" s="154"/>
      <c r="S86" s="154"/>
      <c r="T86" s="154"/>
    </row>
    <row r="87" spans="1:20" s="110" customFormat="1" ht="33" customHeight="1" x14ac:dyDescent="0.2">
      <c r="A87" s="78" t="s">
        <v>274</v>
      </c>
      <c r="B87" s="78" t="str">
        <f>'дод. 4'!A156</f>
        <v>5031</v>
      </c>
      <c r="C87" s="78" t="str">
        <f>'дод. 4'!B156</f>
        <v>0810</v>
      </c>
      <c r="D87" s="101" t="str">
        <f>'дод. 4'!C156</f>
        <v>Утримання та навчально-тренувальна робота комунальних дитячо-юнацьких спортивних шкіл</v>
      </c>
      <c r="E87" s="80">
        <f>F87+I87</f>
        <v>4500770</v>
      </c>
      <c r="F87" s="80">
        <f>4481090+123000+11740+5000-120060</f>
        <v>4500770</v>
      </c>
      <c r="G87" s="80">
        <f>3297400-118950</f>
        <v>3178450</v>
      </c>
      <c r="H87" s="80">
        <f>198080+13540</f>
        <v>211620</v>
      </c>
      <c r="I87" s="80"/>
      <c r="J87" s="80">
        <f>K87+N87</f>
        <v>100000</v>
      </c>
      <c r="K87" s="80"/>
      <c r="L87" s="80"/>
      <c r="M87" s="80"/>
      <c r="N87" s="80">
        <v>100000</v>
      </c>
      <c r="O87" s="80">
        <v>100000</v>
      </c>
      <c r="P87" s="80">
        <f>E87+J87</f>
        <v>4600770</v>
      </c>
      <c r="Q87" s="271"/>
      <c r="R87" s="155"/>
      <c r="S87" s="155"/>
      <c r="T87" s="155"/>
    </row>
    <row r="88" spans="1:20" s="4" customFormat="1" ht="33" customHeight="1" x14ac:dyDescent="0.2">
      <c r="A88" s="75" t="s">
        <v>602</v>
      </c>
      <c r="B88" s="75" t="str">
        <f>'дод. 4'!A195</f>
        <v>7360</v>
      </c>
      <c r="C88" s="75">
        <f>'дод. 4'!B195</f>
        <v>0</v>
      </c>
      <c r="D88" s="102" t="str">
        <f>'дод. 4'!C195</f>
        <v>Виконання інвестиційних проектів</v>
      </c>
      <c r="E88" s="77">
        <f>E90</f>
        <v>0</v>
      </c>
      <c r="F88" s="77">
        <f t="shared" ref="F88:O89" si="27">F90</f>
        <v>0</v>
      </c>
      <c r="G88" s="77">
        <f t="shared" si="27"/>
        <v>0</v>
      </c>
      <c r="H88" s="77">
        <f t="shared" si="27"/>
        <v>0</v>
      </c>
      <c r="I88" s="77">
        <f t="shared" si="27"/>
        <v>0</v>
      </c>
      <c r="J88" s="77">
        <f t="shared" si="27"/>
        <v>15012242.82</v>
      </c>
      <c r="K88" s="77">
        <f t="shared" si="27"/>
        <v>0</v>
      </c>
      <c r="L88" s="77">
        <f t="shared" si="27"/>
        <v>0</v>
      </c>
      <c r="M88" s="77">
        <f t="shared" si="27"/>
        <v>0</v>
      </c>
      <c r="N88" s="77">
        <f t="shared" si="27"/>
        <v>15012242.82</v>
      </c>
      <c r="O88" s="77">
        <f t="shared" si="27"/>
        <v>12466734.77</v>
      </c>
      <c r="P88" s="77">
        <f>P90</f>
        <v>15012242.82</v>
      </c>
      <c r="Q88" s="271"/>
      <c r="R88" s="153"/>
      <c r="S88" s="153"/>
      <c r="T88" s="153"/>
    </row>
    <row r="89" spans="1:20" s="4" customFormat="1" ht="24" customHeight="1" x14ac:dyDescent="0.2">
      <c r="A89" s="75"/>
      <c r="B89" s="75"/>
      <c r="C89" s="75"/>
      <c r="D89" s="82" t="s">
        <v>416</v>
      </c>
      <c r="E89" s="77">
        <f>E91</f>
        <v>0</v>
      </c>
      <c r="F89" s="77">
        <f t="shared" si="27"/>
        <v>0</v>
      </c>
      <c r="G89" s="77">
        <f t="shared" si="27"/>
        <v>0</v>
      </c>
      <c r="H89" s="77">
        <f t="shared" si="27"/>
        <v>0</v>
      </c>
      <c r="I89" s="77">
        <f t="shared" si="27"/>
        <v>0</v>
      </c>
      <c r="J89" s="77">
        <f t="shared" si="27"/>
        <v>14556111.83</v>
      </c>
      <c r="K89" s="77">
        <f t="shared" si="27"/>
        <v>0</v>
      </c>
      <c r="L89" s="77">
        <f t="shared" si="27"/>
        <v>0</v>
      </c>
      <c r="M89" s="77">
        <f t="shared" si="27"/>
        <v>0</v>
      </c>
      <c r="N89" s="77">
        <f t="shared" si="27"/>
        <v>14556111.83</v>
      </c>
      <c r="O89" s="77">
        <f t="shared" si="27"/>
        <v>12010603.779999999</v>
      </c>
      <c r="P89" s="77">
        <f>P91</f>
        <v>14556111.83</v>
      </c>
      <c r="Q89" s="271"/>
      <c r="R89" s="153"/>
      <c r="S89" s="153"/>
      <c r="T89" s="153"/>
    </row>
    <row r="90" spans="1:20" s="110" customFormat="1" ht="53.25" customHeight="1" x14ac:dyDescent="0.2">
      <c r="A90" s="78" t="s">
        <v>603</v>
      </c>
      <c r="B90" s="78" t="str">
        <f>'дод. 4'!A198</f>
        <v>7363</v>
      </c>
      <c r="C90" s="78" t="str">
        <f>'дод. 4'!B198</f>
        <v>0490</v>
      </c>
      <c r="D90" s="101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90" s="80">
        <f>F90+I90</f>
        <v>0</v>
      </c>
      <c r="F90" s="80"/>
      <c r="G90" s="80"/>
      <c r="H90" s="80"/>
      <c r="I90" s="80"/>
      <c r="J90" s="80">
        <f>K90+N90</f>
        <v>15012242.82</v>
      </c>
      <c r="K90" s="80"/>
      <c r="L90" s="80"/>
      <c r="M90" s="80"/>
      <c r="N90" s="80">
        <f>150059.99+4265007.03+211702.2+3761+2402.6+302310+10077000</f>
        <v>15012242.82</v>
      </c>
      <c r="O90" s="80">
        <f>150059.99+1721901.58+211702.2+3761+302310+10077000</f>
        <v>12466734.77</v>
      </c>
      <c r="P90" s="80">
        <f>E90+J90</f>
        <v>15012242.82</v>
      </c>
      <c r="Q90" s="271"/>
      <c r="R90" s="155"/>
      <c r="S90" s="155"/>
      <c r="T90" s="155"/>
    </row>
    <row r="91" spans="1:20" s="110" customFormat="1" ht="25.5" customHeight="1" x14ac:dyDescent="0.2">
      <c r="A91" s="78"/>
      <c r="B91" s="78"/>
      <c r="C91" s="78"/>
      <c r="D91" s="82" t="s">
        <v>416</v>
      </c>
      <c r="E91" s="80">
        <f>F91+I91</f>
        <v>0</v>
      </c>
      <c r="F91" s="80"/>
      <c r="G91" s="80"/>
      <c r="H91" s="80"/>
      <c r="I91" s="80"/>
      <c r="J91" s="80">
        <f>K91+N91</f>
        <v>14556111.83</v>
      </c>
      <c r="K91" s="80"/>
      <c r="L91" s="80"/>
      <c r="M91" s="80"/>
      <c r="N91" s="80">
        <f>4265007.03+211702.2+2402.6+10077000</f>
        <v>14556111.83</v>
      </c>
      <c r="O91" s="80">
        <f>1721901.58+211702.2+10077000</f>
        <v>12010603.779999999</v>
      </c>
      <c r="P91" s="80">
        <f>E91+J91</f>
        <v>14556111.83</v>
      </c>
      <c r="Q91" s="271"/>
      <c r="R91" s="155"/>
      <c r="S91" s="155"/>
      <c r="T91" s="155"/>
    </row>
    <row r="92" spans="1:20" s="110" customFormat="1" ht="25.5" customHeight="1" x14ac:dyDescent="0.2">
      <c r="A92" s="81" t="s">
        <v>275</v>
      </c>
      <c r="B92" s="81" t="str">
        <f>'дод. 4'!A218</f>
        <v>7640</v>
      </c>
      <c r="C92" s="81" t="str">
        <f>'дод. 4'!B218</f>
        <v>0470</v>
      </c>
      <c r="D92" s="102" t="str">
        <f>'дод. 4'!C218</f>
        <v>Заходи з енергозбереження</v>
      </c>
      <c r="E92" s="83">
        <f>F92+I92</f>
        <v>790500</v>
      </c>
      <c r="F92" s="83">
        <v>790500</v>
      </c>
      <c r="G92" s="83"/>
      <c r="H92" s="83"/>
      <c r="I92" s="83"/>
      <c r="J92" s="83">
        <f>K92+N92</f>
        <v>12951419</v>
      </c>
      <c r="K92" s="83"/>
      <c r="L92" s="83"/>
      <c r="M92" s="83"/>
      <c r="N92" s="83">
        <f>11768000+900000+283419</f>
        <v>12951419</v>
      </c>
      <c r="O92" s="83">
        <f>11768000+900000+283419</f>
        <v>12951419</v>
      </c>
      <c r="P92" s="83">
        <f>E92+J92</f>
        <v>13741919</v>
      </c>
      <c r="Q92" s="271"/>
      <c r="R92" s="153"/>
      <c r="S92" s="153"/>
      <c r="T92" s="153"/>
    </row>
    <row r="93" spans="1:20" s="110" customFormat="1" ht="27" customHeight="1" x14ac:dyDescent="0.2">
      <c r="A93" s="81" t="s">
        <v>276</v>
      </c>
      <c r="B93" s="81" t="str">
        <f>'дод. 4'!A234</f>
        <v>8340</v>
      </c>
      <c r="C93" s="81" t="str">
        <f>'дод. 4'!B234</f>
        <v>0540</v>
      </c>
      <c r="D93" s="102" t="str">
        <f>'дод. 4'!C234</f>
        <v>Природоохоронні заходи за рахунок цільових фондів</v>
      </c>
      <c r="E93" s="83">
        <f>F93+I93</f>
        <v>0</v>
      </c>
      <c r="F93" s="83"/>
      <c r="G93" s="83"/>
      <c r="H93" s="83"/>
      <c r="I93" s="83"/>
      <c r="J93" s="83">
        <f>K93+N93</f>
        <v>396400</v>
      </c>
      <c r="K93" s="83">
        <f>338000+11400-2800</f>
        <v>346600</v>
      </c>
      <c r="L93" s="83"/>
      <c r="M93" s="83"/>
      <c r="N93" s="83">
        <f>47000+2800</f>
        <v>49800</v>
      </c>
      <c r="O93" s="83"/>
      <c r="P93" s="83">
        <f>E93+J93</f>
        <v>396400</v>
      </c>
      <c r="Q93" s="271"/>
      <c r="R93" s="153"/>
      <c r="S93" s="153"/>
      <c r="T93" s="153"/>
    </row>
    <row r="94" spans="1:20" s="110" customFormat="1" ht="52.5" customHeight="1" x14ac:dyDescent="0.2">
      <c r="A94" s="81" t="s">
        <v>593</v>
      </c>
      <c r="B94" s="81" t="str">
        <f>'дод. 4'!A250</f>
        <v>9800</v>
      </c>
      <c r="C94" s="81" t="str">
        <f>'дод. 4'!B250</f>
        <v>0180</v>
      </c>
      <c r="D94" s="201" t="str">
        <f>'дод. 4'!C250</f>
        <v xml:space="preserve">Субвенція з місцевого бюджету державному бюджету на виконання програм соціально-економічного розвитку регіонів </v>
      </c>
      <c r="E94" s="83">
        <f>F94+I94</f>
        <v>85500</v>
      </c>
      <c r="F94" s="83">
        <v>85500</v>
      </c>
      <c r="G94" s="83"/>
      <c r="H94" s="83"/>
      <c r="I94" s="83"/>
      <c r="J94" s="83">
        <f>K94+N94</f>
        <v>2000000</v>
      </c>
      <c r="K94" s="83"/>
      <c r="L94" s="83"/>
      <c r="M94" s="83"/>
      <c r="N94" s="83">
        <v>2000000</v>
      </c>
      <c r="O94" s="83">
        <v>2000000</v>
      </c>
      <c r="P94" s="83">
        <f>E94+J94</f>
        <v>2085500</v>
      </c>
      <c r="Q94" s="271"/>
      <c r="R94" s="153"/>
      <c r="S94" s="153"/>
      <c r="T94" s="153"/>
    </row>
    <row r="95" spans="1:20" s="107" customFormat="1" ht="21" customHeight="1" x14ac:dyDescent="0.2">
      <c r="A95" s="106" t="s">
        <v>277</v>
      </c>
      <c r="B95" s="36"/>
      <c r="C95" s="36"/>
      <c r="D95" s="35" t="s">
        <v>51</v>
      </c>
      <c r="E95" s="46">
        <f>E96</f>
        <v>352582729</v>
      </c>
      <c r="F95" s="46">
        <f t="shared" ref="F95:P95" si="28">F96</f>
        <v>352582729</v>
      </c>
      <c r="G95" s="46">
        <f t="shared" si="28"/>
        <v>1219700</v>
      </c>
      <c r="H95" s="46">
        <f t="shared" si="28"/>
        <v>32845</v>
      </c>
      <c r="I95" s="46">
        <f t="shared" si="28"/>
        <v>0</v>
      </c>
      <c r="J95" s="46">
        <f t="shared" si="28"/>
        <v>67580432.599999994</v>
      </c>
      <c r="K95" s="46">
        <f t="shared" si="28"/>
        <v>17005749</v>
      </c>
      <c r="L95" s="46">
        <f t="shared" si="28"/>
        <v>0</v>
      </c>
      <c r="M95" s="46">
        <f t="shared" si="28"/>
        <v>0</v>
      </c>
      <c r="N95" s="46">
        <f t="shared" si="28"/>
        <v>50574683.600000001</v>
      </c>
      <c r="O95" s="46">
        <f t="shared" si="28"/>
        <v>50574683.600000001</v>
      </c>
      <c r="P95" s="46">
        <f t="shared" si="28"/>
        <v>420163161.60000002</v>
      </c>
      <c r="Q95" s="271"/>
      <c r="R95" s="151"/>
      <c r="S95" s="151"/>
      <c r="T95" s="151"/>
    </row>
    <row r="96" spans="1:20" s="109" customFormat="1" ht="18.75" customHeight="1" x14ac:dyDescent="0.2">
      <c r="A96" s="108" t="s">
        <v>278</v>
      </c>
      <c r="B96" s="119"/>
      <c r="C96" s="119"/>
      <c r="D96" s="118" t="s">
        <v>51</v>
      </c>
      <c r="E96" s="74">
        <f>E98+E99+E101+E103+E105+E107+E113+E119+E129+E125+E131+E130</f>
        <v>352582729</v>
      </c>
      <c r="F96" s="74">
        <f t="shared" ref="F96:P96" si="29">F98+F99+F101+F103+F105+F107+F113+F119+F129+F125+F131+F130</f>
        <v>352582729</v>
      </c>
      <c r="G96" s="74">
        <f t="shared" si="29"/>
        <v>1219700</v>
      </c>
      <c r="H96" s="74">
        <f>H98+H99+H101+H103+H105+H107+H113+H119+H129+H125+H131+H130</f>
        <v>32845</v>
      </c>
      <c r="I96" s="74">
        <f t="shared" si="29"/>
        <v>0</v>
      </c>
      <c r="J96" s="74">
        <f t="shared" si="29"/>
        <v>67580432.599999994</v>
      </c>
      <c r="K96" s="74">
        <f t="shared" si="29"/>
        <v>17005749</v>
      </c>
      <c r="L96" s="74">
        <f t="shared" si="29"/>
        <v>0</v>
      </c>
      <c r="M96" s="74">
        <f t="shared" si="29"/>
        <v>0</v>
      </c>
      <c r="N96" s="74">
        <f t="shared" si="29"/>
        <v>50574683.600000001</v>
      </c>
      <c r="O96" s="74">
        <f t="shared" si="29"/>
        <v>50574683.600000001</v>
      </c>
      <c r="P96" s="74">
        <f t="shared" si="29"/>
        <v>420163161.60000002</v>
      </c>
      <c r="Q96" s="271"/>
      <c r="R96" s="160"/>
      <c r="S96" s="160"/>
      <c r="T96" s="160"/>
    </row>
    <row r="97" spans="1:20" s="109" customFormat="1" ht="18.75" customHeight="1" x14ac:dyDescent="0.2">
      <c r="A97" s="108"/>
      <c r="B97" s="119"/>
      <c r="C97" s="119"/>
      <c r="D97" s="118" t="s">
        <v>416</v>
      </c>
      <c r="E97" s="74">
        <f>E100+E102+E104+E106+E108+E114+E120+E126</f>
        <v>257802270</v>
      </c>
      <c r="F97" s="74">
        <f t="shared" ref="F97:P97" si="30">F100+F102+F104+F106+F108+F114+F120+F126</f>
        <v>257802270</v>
      </c>
      <c r="G97" s="74">
        <f t="shared" si="30"/>
        <v>0</v>
      </c>
      <c r="H97" s="74">
        <f t="shared" si="30"/>
        <v>0</v>
      </c>
      <c r="I97" s="74">
        <f t="shared" si="30"/>
        <v>0</v>
      </c>
      <c r="J97" s="74">
        <f t="shared" si="30"/>
        <v>4529964.66</v>
      </c>
      <c r="K97" s="74">
        <f t="shared" si="30"/>
        <v>0</v>
      </c>
      <c r="L97" s="74">
        <f t="shared" si="30"/>
        <v>0</v>
      </c>
      <c r="M97" s="74">
        <f t="shared" si="30"/>
        <v>0</v>
      </c>
      <c r="N97" s="74">
        <f t="shared" si="30"/>
        <v>4529964.66</v>
      </c>
      <c r="O97" s="74">
        <f t="shared" si="30"/>
        <v>4529964.66</v>
      </c>
      <c r="P97" s="74">
        <f t="shared" si="30"/>
        <v>262332234.66</v>
      </c>
      <c r="Q97" s="271"/>
      <c r="R97" s="152"/>
      <c r="S97" s="152"/>
      <c r="T97" s="152"/>
    </row>
    <row r="98" spans="1:20" s="4" customFormat="1" ht="45" x14ac:dyDescent="0.2">
      <c r="A98" s="75" t="s">
        <v>279</v>
      </c>
      <c r="B98" s="75" t="str">
        <f>'дод. 4'!A14</f>
        <v>0160</v>
      </c>
      <c r="C98" s="75" t="str">
        <f>'дод. 4'!B14</f>
        <v>0111</v>
      </c>
      <c r="D98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98" s="77">
        <f t="shared" ref="E98:E106" si="31">F98+I98</f>
        <v>1591445</v>
      </c>
      <c r="F98" s="77">
        <f>1600900-28800+10000+9345</f>
        <v>1591445</v>
      </c>
      <c r="G98" s="77">
        <v>1219700</v>
      </c>
      <c r="H98" s="77">
        <f>23500+9345</f>
        <v>32845</v>
      </c>
      <c r="I98" s="77"/>
      <c r="J98" s="77">
        <f t="shared" ref="J98:J106" si="32">K98+N98</f>
        <v>0</v>
      </c>
      <c r="K98" s="77"/>
      <c r="L98" s="77"/>
      <c r="M98" s="77"/>
      <c r="N98" s="77">
        <f>20500-20500</f>
        <v>0</v>
      </c>
      <c r="O98" s="77">
        <f>20500-20500</f>
        <v>0</v>
      </c>
      <c r="P98" s="77">
        <f t="shared" ref="P98:P106" si="33">E98+J98</f>
        <v>1591445</v>
      </c>
      <c r="Q98" s="271"/>
      <c r="R98" s="153"/>
      <c r="S98" s="153"/>
      <c r="T98" s="153"/>
    </row>
    <row r="99" spans="1:20" s="4" customFormat="1" ht="31.5" customHeight="1" x14ac:dyDescent="0.2">
      <c r="A99" s="75" t="s">
        <v>280</v>
      </c>
      <c r="B99" s="75" t="str">
        <f>'дод. 4'!A37</f>
        <v>2010</v>
      </c>
      <c r="C99" s="75" t="str">
        <f>'дод. 4'!B37</f>
        <v>0731</v>
      </c>
      <c r="D99" s="104" t="str">
        <f>'дод. 4'!C37</f>
        <v>Багатопрофільна стаціонарна медична допомога населенню</v>
      </c>
      <c r="E99" s="77">
        <f t="shared" si="31"/>
        <v>231478771.13</v>
      </c>
      <c r="F99" s="77">
        <f>227372854+900000+130790+60000+5000-1161400+1161400+19000-400000+35000+70000+10000+108000+1098309+200000-915000+366000+15000+15000+76000-609280+2592198+300000+79900.13-50000</f>
        <v>231478771.13</v>
      </c>
      <c r="G99" s="77"/>
      <c r="H99" s="77"/>
      <c r="I99" s="77"/>
      <c r="J99" s="77">
        <f t="shared" si="32"/>
        <v>43274084</v>
      </c>
      <c r="K99" s="77">
        <f>11318360</f>
        <v>11318360</v>
      </c>
      <c r="L99" s="77"/>
      <c r="M99" s="77"/>
      <c r="N99" s="77">
        <f>20000000+350000+5500000+15000+7000+160000+1302000+214800+12000+181429+15000+950000+144000-264000+15000-95820-15000+3231250+233065</f>
        <v>31955724</v>
      </c>
      <c r="O99" s="77">
        <f>20000000+350000+5500000+15000+7000+160000+1302000+214800+12000+181429+15000+950000+144000-264000+15000-95820-15000+3231250+233065</f>
        <v>31955724</v>
      </c>
      <c r="P99" s="77">
        <f t="shared" si="33"/>
        <v>274752855.13</v>
      </c>
      <c r="Q99" s="271"/>
      <c r="R99" s="153"/>
      <c r="S99" s="153"/>
      <c r="T99" s="153"/>
    </row>
    <row r="100" spans="1:20" s="4" customFormat="1" ht="22.5" customHeight="1" x14ac:dyDescent="0.2">
      <c r="A100" s="75"/>
      <c r="B100" s="87"/>
      <c r="C100" s="87"/>
      <c r="D100" s="76" t="s">
        <v>416</v>
      </c>
      <c r="E100" s="77">
        <f t="shared" si="31"/>
        <v>155959026.13</v>
      </c>
      <c r="F100" s="77">
        <f>156832009-1161400+102963+1020554-915000+79900.13</f>
        <v>155959026.13</v>
      </c>
      <c r="G100" s="74"/>
      <c r="H100" s="77"/>
      <c r="I100" s="77"/>
      <c r="J100" s="77">
        <f t="shared" si="32"/>
        <v>0</v>
      </c>
      <c r="K100" s="77"/>
      <c r="L100" s="77"/>
      <c r="M100" s="77"/>
      <c r="N100" s="77"/>
      <c r="O100" s="77"/>
      <c r="P100" s="77">
        <f t="shared" si="33"/>
        <v>155959026.13</v>
      </c>
      <c r="Q100" s="271"/>
      <c r="R100" s="153"/>
      <c r="S100" s="153"/>
      <c r="T100" s="153"/>
    </row>
    <row r="101" spans="1:20" s="4" customFormat="1" ht="36.75" customHeight="1" x14ac:dyDescent="0.2">
      <c r="A101" s="75" t="s">
        <v>289</v>
      </c>
      <c r="B101" s="75" t="str">
        <f>'дод. 4'!A39</f>
        <v>2030</v>
      </c>
      <c r="C101" s="75" t="str">
        <f>'дод. 4'!B39</f>
        <v>0733</v>
      </c>
      <c r="D101" s="104" t="str">
        <f>'дод. 4'!C39</f>
        <v>Лікарсько-акушерська допомога вагітним, породіллям та новонародженим</v>
      </c>
      <c r="E101" s="77">
        <f t="shared" si="31"/>
        <v>33901542</v>
      </c>
      <c r="F101" s="77">
        <f>34553891+25935+50000+30000+115000+148191-361100-115000-122000-268400-300000+145025</f>
        <v>33901542</v>
      </c>
      <c r="G101" s="77"/>
      <c r="H101" s="77"/>
      <c r="I101" s="77"/>
      <c r="J101" s="77">
        <f t="shared" si="32"/>
        <v>157300</v>
      </c>
      <c r="K101" s="77">
        <v>27300</v>
      </c>
      <c r="L101" s="77"/>
      <c r="M101" s="77"/>
      <c r="N101" s="77">
        <f>15000+115000</f>
        <v>130000</v>
      </c>
      <c r="O101" s="77">
        <f>15000+115000</f>
        <v>130000</v>
      </c>
      <c r="P101" s="77">
        <f t="shared" si="33"/>
        <v>34058842</v>
      </c>
      <c r="Q101" s="271"/>
      <c r="R101" s="153"/>
      <c r="S101" s="153"/>
      <c r="T101" s="153"/>
    </row>
    <row r="102" spans="1:20" s="4" customFormat="1" ht="19.5" customHeight="1" x14ac:dyDescent="0.2">
      <c r="A102" s="75"/>
      <c r="B102" s="87"/>
      <c r="C102" s="87"/>
      <c r="D102" s="76" t="s">
        <v>416</v>
      </c>
      <c r="E102" s="77">
        <f t="shared" si="31"/>
        <v>24253709</v>
      </c>
      <c r="F102" s="77">
        <f>24119993+133716</f>
        <v>24253709</v>
      </c>
      <c r="G102" s="77"/>
      <c r="H102" s="77"/>
      <c r="I102" s="77"/>
      <c r="J102" s="77">
        <f t="shared" si="32"/>
        <v>0</v>
      </c>
      <c r="K102" s="77"/>
      <c r="L102" s="77"/>
      <c r="M102" s="77"/>
      <c r="N102" s="77"/>
      <c r="O102" s="77"/>
      <c r="P102" s="77">
        <f t="shared" si="33"/>
        <v>24253709</v>
      </c>
      <c r="Q102" s="271"/>
      <c r="R102" s="153"/>
      <c r="S102" s="153"/>
      <c r="T102" s="153"/>
    </row>
    <row r="103" spans="1:20" s="4" customFormat="1" ht="33.75" customHeight="1" x14ac:dyDescent="0.2">
      <c r="A103" s="85" t="s">
        <v>288</v>
      </c>
      <c r="B103" s="85" t="str">
        <f>'дод. 4'!A41</f>
        <v>2080</v>
      </c>
      <c r="C103" s="85" t="str">
        <f>'дод. 4'!B41</f>
        <v>0721</v>
      </c>
      <c r="D103" s="103" t="str">
        <f>'дод. 4'!C41</f>
        <v>Амбулаторно-поліклінічна допомога населенню, крім первинної медичної допомоги</v>
      </c>
      <c r="E103" s="77">
        <f t="shared" si="31"/>
        <v>935838</v>
      </c>
      <c r="F103" s="77">
        <f>1039928+19000-37539-85551</f>
        <v>935838</v>
      </c>
      <c r="G103" s="77"/>
      <c r="H103" s="77"/>
      <c r="I103" s="77"/>
      <c r="J103" s="77">
        <f t="shared" si="32"/>
        <v>412100</v>
      </c>
      <c r="K103" s="77">
        <v>412100</v>
      </c>
      <c r="L103" s="77"/>
      <c r="M103" s="77"/>
      <c r="N103" s="77"/>
      <c r="O103" s="77"/>
      <c r="P103" s="77">
        <f>E103+J103</f>
        <v>1347938</v>
      </c>
      <c r="Q103" s="271"/>
      <c r="R103" s="153"/>
      <c r="S103" s="153"/>
      <c r="T103" s="153"/>
    </row>
    <row r="104" spans="1:20" s="4" customFormat="1" ht="22.5" customHeight="1" x14ac:dyDescent="0.2">
      <c r="A104" s="85"/>
      <c r="B104" s="100"/>
      <c r="C104" s="100"/>
      <c r="D104" s="76" t="s">
        <v>416</v>
      </c>
      <c r="E104" s="77">
        <f t="shared" si="31"/>
        <v>846006.87</v>
      </c>
      <c r="F104" s="77">
        <f>925907-79900.13</f>
        <v>846006.87</v>
      </c>
      <c r="G104" s="77"/>
      <c r="H104" s="77"/>
      <c r="I104" s="77"/>
      <c r="J104" s="77">
        <f t="shared" si="32"/>
        <v>0</v>
      </c>
      <c r="K104" s="77"/>
      <c r="L104" s="77"/>
      <c r="M104" s="77"/>
      <c r="N104" s="77"/>
      <c r="O104" s="77"/>
      <c r="P104" s="77">
        <f t="shared" si="33"/>
        <v>846006.87</v>
      </c>
      <c r="Q104" s="271"/>
      <c r="R104" s="153"/>
      <c r="S104" s="153"/>
      <c r="T104" s="153"/>
    </row>
    <row r="105" spans="1:20" s="4" customFormat="1" ht="24" customHeight="1" x14ac:dyDescent="0.2">
      <c r="A105" s="75" t="s">
        <v>287</v>
      </c>
      <c r="B105" s="75" t="str">
        <f>'дод. 4'!A43</f>
        <v>2100</v>
      </c>
      <c r="C105" s="75" t="str">
        <f>'дод. 4'!B43</f>
        <v>0722</v>
      </c>
      <c r="D105" s="104" t="str">
        <f>'дод. 4'!C43</f>
        <v>Стоматологічна допомога населенню</v>
      </c>
      <c r="E105" s="77">
        <f t="shared" si="31"/>
        <v>6400304</v>
      </c>
      <c r="F105" s="77">
        <f>5454842+915000+30462</f>
        <v>6400304</v>
      </c>
      <c r="G105" s="77"/>
      <c r="H105" s="77"/>
      <c r="I105" s="77"/>
      <c r="J105" s="77">
        <f t="shared" si="32"/>
        <v>5058989</v>
      </c>
      <c r="K105" s="77">
        <v>5058989</v>
      </c>
      <c r="L105" s="77"/>
      <c r="M105" s="77"/>
      <c r="N105" s="77"/>
      <c r="O105" s="77"/>
      <c r="P105" s="77">
        <f t="shared" si="33"/>
        <v>11459293</v>
      </c>
      <c r="Q105" s="271"/>
      <c r="R105" s="153"/>
      <c r="S105" s="153"/>
      <c r="T105" s="153"/>
    </row>
    <row r="106" spans="1:20" s="4" customFormat="1" ht="24.75" customHeight="1" x14ac:dyDescent="0.2">
      <c r="A106" s="75"/>
      <c r="B106" s="87"/>
      <c r="C106" s="87"/>
      <c r="D106" s="76" t="s">
        <v>416</v>
      </c>
      <c r="E106" s="77">
        <f t="shared" si="31"/>
        <v>5240025</v>
      </c>
      <c r="F106" s="77">
        <f>4325025+915000</f>
        <v>5240025</v>
      </c>
      <c r="G106" s="77"/>
      <c r="H106" s="77"/>
      <c r="I106" s="77"/>
      <c r="J106" s="77">
        <f t="shared" si="32"/>
        <v>0</v>
      </c>
      <c r="K106" s="77"/>
      <c r="L106" s="77"/>
      <c r="M106" s="77"/>
      <c r="N106" s="77"/>
      <c r="O106" s="77"/>
      <c r="P106" s="77">
        <f t="shared" si="33"/>
        <v>5240025</v>
      </c>
      <c r="Q106" s="271"/>
      <c r="R106" s="153"/>
      <c r="S106" s="153"/>
      <c r="T106" s="153"/>
    </row>
    <row r="107" spans="1:20" s="4" customFormat="1" ht="24.75" customHeight="1" x14ac:dyDescent="0.2">
      <c r="A107" s="75" t="s">
        <v>286</v>
      </c>
      <c r="B107" s="75" t="str">
        <f>'дод. 4'!A45</f>
        <v>2110</v>
      </c>
      <c r="C107" s="75">
        <f>'дод. 4'!B45</f>
        <v>0</v>
      </c>
      <c r="D107" s="104" t="str">
        <f>'дод. 4'!C45</f>
        <v>Первинна медична допомога населенню</v>
      </c>
      <c r="E107" s="77">
        <f>E109+E111</f>
        <v>56447380.870000005</v>
      </c>
      <c r="F107" s="77">
        <f t="shared" ref="F107:P107" si="34">F109+F111</f>
        <v>56447380.870000005</v>
      </c>
      <c r="G107" s="77">
        <f t="shared" si="34"/>
        <v>0</v>
      </c>
      <c r="H107" s="77">
        <f t="shared" si="34"/>
        <v>0</v>
      </c>
      <c r="I107" s="77">
        <f t="shared" si="34"/>
        <v>0</v>
      </c>
      <c r="J107" s="77">
        <f t="shared" si="34"/>
        <v>236600</v>
      </c>
      <c r="K107" s="77">
        <f t="shared" si="34"/>
        <v>167000</v>
      </c>
      <c r="L107" s="77">
        <f t="shared" si="34"/>
        <v>0</v>
      </c>
      <c r="M107" s="77">
        <f t="shared" si="34"/>
        <v>0</v>
      </c>
      <c r="N107" s="77">
        <f t="shared" si="34"/>
        <v>69600</v>
      </c>
      <c r="O107" s="77">
        <f t="shared" si="34"/>
        <v>69600</v>
      </c>
      <c r="P107" s="77">
        <f t="shared" si="34"/>
        <v>56683980.870000005</v>
      </c>
      <c r="Q107" s="271"/>
      <c r="R107" s="154"/>
      <c r="S107" s="154"/>
      <c r="T107" s="154"/>
    </row>
    <row r="108" spans="1:20" s="4" customFormat="1" ht="24.75" customHeight="1" x14ac:dyDescent="0.2">
      <c r="A108" s="75"/>
      <c r="B108" s="87"/>
      <c r="C108" s="87"/>
      <c r="D108" s="76" t="s">
        <v>416</v>
      </c>
      <c r="E108" s="77">
        <f>E110+E112</f>
        <v>53666300</v>
      </c>
      <c r="F108" s="77">
        <f t="shared" ref="F108:P108" si="35">F110+F112</f>
        <v>53666300</v>
      </c>
      <c r="G108" s="77"/>
      <c r="H108" s="77">
        <f t="shared" si="35"/>
        <v>0</v>
      </c>
      <c r="I108" s="77">
        <f t="shared" si="35"/>
        <v>0</v>
      </c>
      <c r="J108" s="77">
        <f t="shared" si="35"/>
        <v>0</v>
      </c>
      <c r="K108" s="77">
        <f t="shared" si="35"/>
        <v>0</v>
      </c>
      <c r="L108" s="77">
        <f t="shared" si="35"/>
        <v>0</v>
      </c>
      <c r="M108" s="77">
        <f t="shared" si="35"/>
        <v>0</v>
      </c>
      <c r="N108" s="77">
        <f t="shared" si="35"/>
        <v>0</v>
      </c>
      <c r="O108" s="77">
        <f t="shared" si="35"/>
        <v>0</v>
      </c>
      <c r="P108" s="77">
        <f t="shared" si="35"/>
        <v>53666300</v>
      </c>
      <c r="Q108" s="271"/>
      <c r="R108" s="154"/>
      <c r="S108" s="154"/>
      <c r="T108" s="154"/>
    </row>
    <row r="109" spans="1:20" s="110" customFormat="1" ht="45" customHeight="1" x14ac:dyDescent="0.2">
      <c r="A109" s="78" t="s">
        <v>285</v>
      </c>
      <c r="B109" s="78" t="str">
        <f>'дод. 4'!A47</f>
        <v>2111</v>
      </c>
      <c r="C109" s="78" t="str">
        <f>'дод. 4'!B47</f>
        <v>0726</v>
      </c>
      <c r="D109" s="101" t="str">
        <f>'дод. 4'!C47</f>
        <v>Первинна медична допомога населенню, що надається центрами первинної медичної (медико-санітарної) допомоги</v>
      </c>
      <c r="E109" s="80">
        <f>F109+I109</f>
        <v>25226642.84</v>
      </c>
      <c r="F109" s="80">
        <f>8672485+65000+361100+13920-97600+55000+5000+15090731+646819+168733+245454.84</f>
        <v>25226642.84</v>
      </c>
      <c r="G109" s="80"/>
      <c r="H109" s="80"/>
      <c r="I109" s="80"/>
      <c r="J109" s="80">
        <f>K109+N109</f>
        <v>236600</v>
      </c>
      <c r="K109" s="80">
        <v>167000</v>
      </c>
      <c r="L109" s="80"/>
      <c r="M109" s="80"/>
      <c r="N109" s="80">
        <f>35000+34600</f>
        <v>69600</v>
      </c>
      <c r="O109" s="80">
        <f>35000+34600</f>
        <v>69600</v>
      </c>
      <c r="P109" s="80">
        <f>E109+J109</f>
        <v>25463242.84</v>
      </c>
      <c r="Q109" s="271"/>
      <c r="R109" s="155"/>
      <c r="S109" s="155"/>
      <c r="T109" s="155"/>
    </row>
    <row r="110" spans="1:20" s="110" customFormat="1" ht="24" customHeight="1" x14ac:dyDescent="0.2">
      <c r="A110" s="78"/>
      <c r="B110" s="88"/>
      <c r="C110" s="88"/>
      <c r="D110" s="79" t="s">
        <v>416</v>
      </c>
      <c r="E110" s="80">
        <f>F110+I110</f>
        <v>23412499.449999999</v>
      </c>
      <c r="F110" s="80">
        <f>7871679+257920+15090731+192169.45</f>
        <v>23412499.449999999</v>
      </c>
      <c r="G110" s="80"/>
      <c r="H110" s="80"/>
      <c r="I110" s="80"/>
      <c r="J110" s="80">
        <f t="shared" ref="J110:J124" si="36">K110+N110</f>
        <v>0</v>
      </c>
      <c r="K110" s="80"/>
      <c r="L110" s="80"/>
      <c r="M110" s="80"/>
      <c r="N110" s="80"/>
      <c r="O110" s="80"/>
      <c r="P110" s="80">
        <f>E110+J110</f>
        <v>23412499.449999999</v>
      </c>
      <c r="Q110" s="271"/>
      <c r="R110" s="155"/>
      <c r="S110" s="155"/>
      <c r="T110" s="155"/>
    </row>
    <row r="111" spans="1:20" s="110" customFormat="1" ht="45" x14ac:dyDescent="0.2">
      <c r="A111" s="78" t="s">
        <v>583</v>
      </c>
      <c r="B111" s="78" t="str">
        <f>'дод. 4'!A49</f>
        <v>2113</v>
      </c>
      <c r="C111" s="78" t="str">
        <f>'дод. 4'!B49</f>
        <v>0721</v>
      </c>
      <c r="D111" s="101" t="str">
        <f>'дод. 4'!C49</f>
        <v>Первинна медична допомога населенню, що надається амбулаторно-поліклінічними закладами (відділеннями)</v>
      </c>
      <c r="E111" s="80">
        <f>F111+I111</f>
        <v>31220738.030000001</v>
      </c>
      <c r="F111" s="80">
        <f>27905821+20000+335000+5772+3800+372080+20000+2798069-239803.97</f>
        <v>31220738.030000001</v>
      </c>
      <c r="G111" s="80"/>
      <c r="H111" s="80"/>
      <c r="I111" s="80"/>
      <c r="J111" s="80">
        <f>K111+N111</f>
        <v>0</v>
      </c>
      <c r="K111" s="80"/>
      <c r="L111" s="80"/>
      <c r="M111" s="80"/>
      <c r="N111" s="80">
        <f>22600+12000+20000-20000-34600</f>
        <v>0</v>
      </c>
      <c r="O111" s="80">
        <f>22600+12000+20000-20000-34600</f>
        <v>0</v>
      </c>
      <c r="P111" s="80">
        <f>E111+J111</f>
        <v>31220738.030000001</v>
      </c>
      <c r="Q111" s="271"/>
      <c r="R111" s="155"/>
      <c r="S111" s="155"/>
      <c r="T111" s="155"/>
    </row>
    <row r="112" spans="1:20" s="110" customFormat="1" x14ac:dyDescent="0.2">
      <c r="A112" s="78"/>
      <c r="B112" s="88"/>
      <c r="C112" s="88"/>
      <c r="D112" s="79" t="s">
        <v>416</v>
      </c>
      <c r="E112" s="80">
        <f>F112+I112</f>
        <v>30253800.550000001</v>
      </c>
      <c r="F112" s="80">
        <f>27905821-257920+2798069-192169.45</f>
        <v>30253800.550000001</v>
      </c>
      <c r="G112" s="80"/>
      <c r="H112" s="80"/>
      <c r="I112" s="80"/>
      <c r="J112" s="80">
        <f>K112+N112</f>
        <v>0</v>
      </c>
      <c r="K112" s="80"/>
      <c r="L112" s="80"/>
      <c r="M112" s="80"/>
      <c r="N112" s="80"/>
      <c r="O112" s="80"/>
      <c r="P112" s="80">
        <f>E112+J112</f>
        <v>30253800.550000001</v>
      </c>
      <c r="Q112" s="271"/>
      <c r="R112" s="155"/>
      <c r="S112" s="155"/>
      <c r="T112" s="155"/>
    </row>
    <row r="113" spans="1:20" s="4" customFormat="1" ht="30" customHeight="1" x14ac:dyDescent="0.2">
      <c r="A113" s="81" t="s">
        <v>284</v>
      </c>
      <c r="B113" s="86">
        <f>'дод. 4'!A51</f>
        <v>2140</v>
      </c>
      <c r="C113" s="86">
        <f>'дод. 4'!B51</f>
        <v>0</v>
      </c>
      <c r="D113" s="135" t="str">
        <f>'дод. 4'!C51</f>
        <v>Програми і централізовані заходи у галузі охорони здоров’я</v>
      </c>
      <c r="E113" s="83">
        <f t="shared" ref="E113:P113" si="37">E115+E117</f>
        <v>14043000</v>
      </c>
      <c r="F113" s="83">
        <f t="shared" si="37"/>
        <v>14043000</v>
      </c>
      <c r="G113" s="83">
        <f t="shared" si="37"/>
        <v>0</v>
      </c>
      <c r="H113" s="83">
        <f t="shared" si="37"/>
        <v>0</v>
      </c>
      <c r="I113" s="83">
        <f t="shared" si="37"/>
        <v>0</v>
      </c>
      <c r="J113" s="83">
        <f t="shared" si="37"/>
        <v>0</v>
      </c>
      <c r="K113" s="83">
        <f t="shared" si="37"/>
        <v>0</v>
      </c>
      <c r="L113" s="83">
        <f t="shared" si="37"/>
        <v>0</v>
      </c>
      <c r="M113" s="83">
        <f t="shared" si="37"/>
        <v>0</v>
      </c>
      <c r="N113" s="83">
        <f t="shared" si="37"/>
        <v>0</v>
      </c>
      <c r="O113" s="83">
        <f t="shared" si="37"/>
        <v>0</v>
      </c>
      <c r="P113" s="83">
        <f t="shared" si="37"/>
        <v>14043000</v>
      </c>
      <c r="Q113" s="271"/>
      <c r="R113" s="161"/>
      <c r="S113" s="161"/>
      <c r="T113" s="161"/>
    </row>
    <row r="114" spans="1:20" s="113" customFormat="1" ht="24" customHeight="1" x14ac:dyDescent="0.2">
      <c r="A114" s="75"/>
      <c r="B114" s="86">
        <f>'дод. 4'!A52</f>
        <v>0</v>
      </c>
      <c r="C114" s="86">
        <f>'дод. 4'!B52</f>
        <v>0</v>
      </c>
      <c r="D114" s="135" t="str">
        <f>'дод. 4'!C52</f>
        <v>у т.ч. за рахунок субвенцій з держбюджету</v>
      </c>
      <c r="E114" s="83">
        <f t="shared" ref="E114:P114" si="38">E116+E118</f>
        <v>14043000</v>
      </c>
      <c r="F114" s="83">
        <f t="shared" si="38"/>
        <v>14043000</v>
      </c>
      <c r="G114" s="83">
        <f t="shared" si="38"/>
        <v>0</v>
      </c>
      <c r="H114" s="83">
        <f t="shared" si="38"/>
        <v>0</v>
      </c>
      <c r="I114" s="83">
        <f t="shared" si="38"/>
        <v>0</v>
      </c>
      <c r="J114" s="83">
        <f t="shared" si="38"/>
        <v>0</v>
      </c>
      <c r="K114" s="83">
        <f t="shared" si="38"/>
        <v>0</v>
      </c>
      <c r="L114" s="83">
        <f t="shared" si="38"/>
        <v>0</v>
      </c>
      <c r="M114" s="83">
        <f t="shared" si="38"/>
        <v>0</v>
      </c>
      <c r="N114" s="83">
        <f t="shared" si="38"/>
        <v>0</v>
      </c>
      <c r="O114" s="83">
        <f t="shared" si="38"/>
        <v>0</v>
      </c>
      <c r="P114" s="83">
        <f t="shared" si="38"/>
        <v>14043000</v>
      </c>
      <c r="Q114" s="271"/>
      <c r="R114" s="161"/>
      <c r="S114" s="161"/>
      <c r="T114" s="161"/>
    </row>
    <row r="115" spans="1:20" s="110" customFormat="1" ht="32.25" customHeight="1" x14ac:dyDescent="0.2">
      <c r="A115" s="78" t="s">
        <v>283</v>
      </c>
      <c r="B115" s="88">
        <f>'дод. 4'!A53</f>
        <v>2144</v>
      </c>
      <c r="C115" s="88" t="str">
        <f>'дод. 4'!B53</f>
        <v>0763</v>
      </c>
      <c r="D115" s="136" t="str">
        <f>'дод. 4'!C53</f>
        <v>Централізовані заходи з лікування хворих на цукровий та нецукровий діабет</v>
      </c>
      <c r="E115" s="80">
        <f>F115+I115</f>
        <v>7131500</v>
      </c>
      <c r="F115" s="80">
        <v>7131500</v>
      </c>
      <c r="G115" s="80"/>
      <c r="H115" s="80"/>
      <c r="I115" s="80"/>
      <c r="J115" s="80">
        <f t="shared" si="36"/>
        <v>0</v>
      </c>
      <c r="K115" s="80"/>
      <c r="L115" s="80"/>
      <c r="M115" s="80"/>
      <c r="N115" s="80"/>
      <c r="O115" s="80"/>
      <c r="P115" s="80">
        <f t="shared" ref="P115:P131" si="39">E115+J115</f>
        <v>7131500</v>
      </c>
      <c r="Q115" s="271"/>
      <c r="R115" s="155"/>
      <c r="S115" s="155"/>
      <c r="T115" s="155"/>
    </row>
    <row r="116" spans="1:20" s="110" customFormat="1" ht="20.25" customHeight="1" x14ac:dyDescent="0.2">
      <c r="A116" s="78"/>
      <c r="B116" s="88">
        <f>'дод. 4'!A54</f>
        <v>0</v>
      </c>
      <c r="C116" s="88">
        <f>'дод. 4'!B54</f>
        <v>0</v>
      </c>
      <c r="D116" s="136" t="str">
        <f>'дод. 4'!C54</f>
        <v>у т.ч. за рахунок субвенцій з держбюджету</v>
      </c>
      <c r="E116" s="80">
        <f>F116+I116</f>
        <v>7131500</v>
      </c>
      <c r="F116" s="80">
        <v>7131500</v>
      </c>
      <c r="G116" s="80"/>
      <c r="H116" s="80"/>
      <c r="I116" s="80"/>
      <c r="J116" s="80">
        <f t="shared" si="36"/>
        <v>0</v>
      </c>
      <c r="K116" s="80"/>
      <c r="L116" s="80"/>
      <c r="M116" s="80"/>
      <c r="N116" s="80"/>
      <c r="O116" s="80"/>
      <c r="P116" s="80">
        <f t="shared" si="39"/>
        <v>7131500</v>
      </c>
      <c r="Q116" s="271"/>
      <c r="R116" s="155"/>
      <c r="S116" s="155"/>
      <c r="T116" s="155"/>
    </row>
    <row r="117" spans="1:20" s="110" customFormat="1" ht="31.5" customHeight="1" x14ac:dyDescent="0.2">
      <c r="A117" s="78" t="s">
        <v>514</v>
      </c>
      <c r="B117" s="88">
        <f>'дод. 4'!A55</f>
        <v>2146</v>
      </c>
      <c r="C117" s="88" t="str">
        <f>'дод. 4'!B55</f>
        <v>0763</v>
      </c>
      <c r="D117" s="136" t="str">
        <f>'дод. 4'!C55</f>
        <v>Відшкодування вартості лікарських засобів для лікування окремих захворювань</v>
      </c>
      <c r="E117" s="80">
        <f>F117+I117</f>
        <v>6911500</v>
      </c>
      <c r="F117" s="80">
        <v>6911500</v>
      </c>
      <c r="G117" s="80"/>
      <c r="H117" s="80"/>
      <c r="I117" s="80"/>
      <c r="J117" s="80">
        <f t="shared" si="36"/>
        <v>0</v>
      </c>
      <c r="K117" s="80"/>
      <c r="L117" s="80"/>
      <c r="M117" s="80"/>
      <c r="N117" s="80"/>
      <c r="O117" s="80"/>
      <c r="P117" s="80">
        <f t="shared" si="39"/>
        <v>6911500</v>
      </c>
      <c r="Q117" s="271"/>
      <c r="R117" s="155"/>
      <c r="S117" s="155"/>
      <c r="T117" s="155"/>
    </row>
    <row r="118" spans="1:20" s="110" customFormat="1" ht="24.75" customHeight="1" x14ac:dyDescent="0.2">
      <c r="A118" s="78"/>
      <c r="B118" s="88">
        <f>'дод. 4'!A56</f>
        <v>0</v>
      </c>
      <c r="C118" s="88">
        <f>'дод. 4'!B56</f>
        <v>0</v>
      </c>
      <c r="D118" s="136" t="str">
        <f>'дод. 4'!C56</f>
        <v>у т.ч. за рахунок субвенцій з держбюджету</v>
      </c>
      <c r="E118" s="80">
        <f>F118+I118</f>
        <v>6911500</v>
      </c>
      <c r="F118" s="80">
        <v>6911500</v>
      </c>
      <c r="G118" s="80"/>
      <c r="H118" s="80"/>
      <c r="I118" s="80"/>
      <c r="J118" s="80">
        <f t="shared" si="36"/>
        <v>0</v>
      </c>
      <c r="K118" s="80"/>
      <c r="L118" s="80"/>
      <c r="M118" s="80"/>
      <c r="N118" s="80"/>
      <c r="O118" s="80"/>
      <c r="P118" s="80">
        <f t="shared" si="39"/>
        <v>6911500</v>
      </c>
      <c r="Q118" s="271"/>
      <c r="R118" s="155"/>
      <c r="S118" s="155"/>
      <c r="T118" s="155"/>
    </row>
    <row r="119" spans="1:20" s="4" customFormat="1" ht="35.25" customHeight="1" x14ac:dyDescent="0.2">
      <c r="A119" s="81" t="s">
        <v>282</v>
      </c>
      <c r="B119" s="81" t="str">
        <f>'дод. 4'!A57</f>
        <v>2150</v>
      </c>
      <c r="C119" s="81">
        <f>'дод. 4'!B57</f>
        <v>0</v>
      </c>
      <c r="D119" s="102" t="str">
        <f>'дод. 4'!C57</f>
        <v>Інші програми, заклади та заходи у сфері охорони здоров’я</v>
      </c>
      <c r="E119" s="83">
        <f>E121+E123</f>
        <v>6972448</v>
      </c>
      <c r="F119" s="83">
        <f t="shared" ref="F119:O119" si="40">F121+F123</f>
        <v>6972448</v>
      </c>
      <c r="G119" s="83">
        <f t="shared" si="40"/>
        <v>0</v>
      </c>
      <c r="H119" s="83">
        <f t="shared" si="40"/>
        <v>0</v>
      </c>
      <c r="I119" s="83">
        <f t="shared" si="40"/>
        <v>0</v>
      </c>
      <c r="J119" s="77">
        <f t="shared" si="36"/>
        <v>3406496</v>
      </c>
      <c r="K119" s="83">
        <f t="shared" si="40"/>
        <v>0</v>
      </c>
      <c r="L119" s="83">
        <f t="shared" si="40"/>
        <v>0</v>
      </c>
      <c r="M119" s="83">
        <f t="shared" si="40"/>
        <v>0</v>
      </c>
      <c r="N119" s="83">
        <f t="shared" si="40"/>
        <v>3406496</v>
      </c>
      <c r="O119" s="83">
        <f t="shared" si="40"/>
        <v>3406496</v>
      </c>
      <c r="P119" s="77">
        <f t="shared" si="39"/>
        <v>10378944</v>
      </c>
      <c r="Q119" s="271"/>
      <c r="R119" s="154"/>
      <c r="S119" s="154"/>
      <c r="T119" s="154"/>
    </row>
    <row r="120" spans="1:20" s="4" customFormat="1" ht="21.75" customHeight="1" x14ac:dyDescent="0.2">
      <c r="A120" s="81"/>
      <c r="B120" s="86"/>
      <c r="C120" s="86"/>
      <c r="D120" s="82" t="s">
        <v>416</v>
      </c>
      <c r="E120" s="83">
        <f>E122+E124</f>
        <v>3794203</v>
      </c>
      <c r="F120" s="83">
        <f t="shared" ref="F120:O120" si="41">F122+F124</f>
        <v>3794203</v>
      </c>
      <c r="G120" s="83">
        <f t="shared" si="41"/>
        <v>0</v>
      </c>
      <c r="H120" s="83">
        <f t="shared" si="41"/>
        <v>0</v>
      </c>
      <c r="I120" s="83">
        <f t="shared" si="41"/>
        <v>0</v>
      </c>
      <c r="J120" s="80">
        <f t="shared" si="36"/>
        <v>0</v>
      </c>
      <c r="K120" s="83">
        <f t="shared" si="41"/>
        <v>0</v>
      </c>
      <c r="L120" s="83">
        <f t="shared" si="41"/>
        <v>0</v>
      </c>
      <c r="M120" s="83">
        <f t="shared" si="41"/>
        <v>0</v>
      </c>
      <c r="N120" s="83">
        <f t="shared" si="41"/>
        <v>0</v>
      </c>
      <c r="O120" s="83">
        <f t="shared" si="41"/>
        <v>0</v>
      </c>
      <c r="P120" s="77">
        <f t="shared" si="39"/>
        <v>3794203</v>
      </c>
      <c r="Q120" s="271"/>
      <c r="R120" s="154"/>
      <c r="S120" s="154"/>
      <c r="T120" s="154"/>
    </row>
    <row r="121" spans="1:20" s="110" customFormat="1" ht="30" customHeight="1" x14ac:dyDescent="0.2">
      <c r="A121" s="78" t="s">
        <v>604</v>
      </c>
      <c r="B121" s="111" t="str">
        <f>'дод. 4'!A59</f>
        <v>2151</v>
      </c>
      <c r="C121" s="111" t="str">
        <f>'дод. 4'!B59</f>
        <v>0763</v>
      </c>
      <c r="D121" s="101" t="str">
        <f>'дод. 4'!C59</f>
        <v>Забезпечення діяльності інших закладів у сфері охорони здоров’я</v>
      </c>
      <c r="E121" s="80">
        <f>F121+I121</f>
        <v>1975455</v>
      </c>
      <c r="F121" s="80">
        <f>1974877+578</f>
        <v>1975455</v>
      </c>
      <c r="G121" s="80"/>
      <c r="H121" s="80"/>
      <c r="I121" s="80"/>
      <c r="J121" s="80">
        <f t="shared" si="36"/>
        <v>0</v>
      </c>
      <c r="K121" s="80"/>
      <c r="L121" s="80"/>
      <c r="M121" s="80"/>
      <c r="N121" s="80"/>
      <c r="O121" s="80"/>
      <c r="P121" s="80">
        <f t="shared" si="39"/>
        <v>1975455</v>
      </c>
      <c r="Q121" s="271"/>
      <c r="R121" s="155"/>
      <c r="S121" s="155"/>
      <c r="T121" s="155"/>
    </row>
    <row r="122" spans="1:20" s="110" customFormat="1" ht="21.75" customHeight="1" x14ac:dyDescent="0.2">
      <c r="A122" s="78"/>
      <c r="B122" s="111"/>
      <c r="C122" s="111"/>
      <c r="D122" s="79" t="s">
        <v>416</v>
      </c>
      <c r="E122" s="80">
        <f>F122+I122</f>
        <v>1938677</v>
      </c>
      <c r="F122" s="80">
        <v>1938677</v>
      </c>
      <c r="G122" s="80"/>
      <c r="H122" s="80"/>
      <c r="I122" s="80"/>
      <c r="J122" s="80">
        <f t="shared" si="36"/>
        <v>0</v>
      </c>
      <c r="K122" s="80"/>
      <c r="L122" s="80"/>
      <c r="M122" s="80"/>
      <c r="N122" s="80"/>
      <c r="O122" s="80"/>
      <c r="P122" s="80">
        <f t="shared" si="39"/>
        <v>1938677</v>
      </c>
      <c r="Q122" s="271"/>
      <c r="R122" s="155"/>
      <c r="S122" s="155"/>
      <c r="T122" s="155"/>
    </row>
    <row r="123" spans="1:20" s="110" customFormat="1" ht="33" customHeight="1" x14ac:dyDescent="0.2">
      <c r="A123" s="78" t="s">
        <v>605</v>
      </c>
      <c r="B123" s="111" t="str">
        <f>'дод. 4'!A61</f>
        <v>2152</v>
      </c>
      <c r="C123" s="111" t="str">
        <f>'дод. 4'!B61</f>
        <v>0763</v>
      </c>
      <c r="D123" s="112" t="str">
        <f>'дод. 4'!C61</f>
        <v>Інші програми та заходи у сфері охорони здоров’я</v>
      </c>
      <c r="E123" s="80">
        <f>F123+I123</f>
        <v>4996993</v>
      </c>
      <c r="F123" s="80">
        <f>1958489+108000-108000+3093504-55000</f>
        <v>4996993</v>
      </c>
      <c r="G123" s="80"/>
      <c r="H123" s="80"/>
      <c r="I123" s="80"/>
      <c r="J123" s="80">
        <f t="shared" si="36"/>
        <v>3406496</v>
      </c>
      <c r="K123" s="80"/>
      <c r="L123" s="80"/>
      <c r="M123" s="80"/>
      <c r="N123" s="80">
        <v>3406496</v>
      </c>
      <c r="O123" s="80">
        <v>3406496</v>
      </c>
      <c r="P123" s="80">
        <f t="shared" si="39"/>
        <v>8403489</v>
      </c>
      <c r="Q123" s="271"/>
      <c r="R123" s="155"/>
      <c r="S123" s="155"/>
      <c r="T123" s="155"/>
    </row>
    <row r="124" spans="1:20" s="110" customFormat="1" ht="21.75" customHeight="1" x14ac:dyDescent="0.2">
      <c r="A124" s="78"/>
      <c r="B124" s="111"/>
      <c r="C124" s="111"/>
      <c r="D124" s="79" t="s">
        <v>416</v>
      </c>
      <c r="E124" s="80">
        <f>F124+I124</f>
        <v>1855526</v>
      </c>
      <c r="F124" s="80">
        <f>1958489-102963</f>
        <v>1855526</v>
      </c>
      <c r="G124" s="80"/>
      <c r="H124" s="80"/>
      <c r="I124" s="80"/>
      <c r="J124" s="80">
        <f t="shared" si="36"/>
        <v>0</v>
      </c>
      <c r="K124" s="80"/>
      <c r="L124" s="80"/>
      <c r="M124" s="80"/>
      <c r="N124" s="80"/>
      <c r="O124" s="80"/>
      <c r="P124" s="80">
        <f t="shared" si="39"/>
        <v>1855526</v>
      </c>
      <c r="Q124" s="271"/>
      <c r="R124" s="155"/>
      <c r="S124" s="155"/>
      <c r="T124" s="155"/>
    </row>
    <row r="125" spans="1:20" s="4" customFormat="1" ht="30.75" customHeight="1" x14ac:dyDescent="0.2">
      <c r="A125" s="75" t="s">
        <v>606</v>
      </c>
      <c r="B125" s="85" t="str">
        <f>'дод. 4'!A195</f>
        <v>7360</v>
      </c>
      <c r="C125" s="85">
        <f>'дод. 4'!B195</f>
        <v>0</v>
      </c>
      <c r="D125" s="243" t="str">
        <f>'дод. 4'!C195</f>
        <v>Виконання інвестиційних проектів</v>
      </c>
      <c r="E125" s="77">
        <f>E127</f>
        <v>0</v>
      </c>
      <c r="F125" s="77">
        <f t="shared" ref="F125:P126" si="42">F127</f>
        <v>0</v>
      </c>
      <c r="G125" s="77">
        <f t="shared" si="42"/>
        <v>0</v>
      </c>
      <c r="H125" s="77">
        <f t="shared" si="42"/>
        <v>0</v>
      </c>
      <c r="I125" s="77">
        <f t="shared" si="42"/>
        <v>0</v>
      </c>
      <c r="J125" s="77">
        <f t="shared" si="42"/>
        <v>4665863.5999999996</v>
      </c>
      <c r="K125" s="77">
        <f t="shared" si="42"/>
        <v>0</v>
      </c>
      <c r="L125" s="77">
        <f t="shared" si="42"/>
        <v>0</v>
      </c>
      <c r="M125" s="77">
        <f t="shared" si="42"/>
        <v>0</v>
      </c>
      <c r="N125" s="77">
        <f t="shared" si="42"/>
        <v>4665863.5999999996</v>
      </c>
      <c r="O125" s="77">
        <f t="shared" si="42"/>
        <v>4665863.5999999996</v>
      </c>
      <c r="P125" s="77">
        <f t="shared" si="42"/>
        <v>4665863.5999999996</v>
      </c>
      <c r="Q125" s="271"/>
      <c r="R125" s="153"/>
      <c r="S125" s="153"/>
      <c r="T125" s="153"/>
    </row>
    <row r="126" spans="1:20" s="110" customFormat="1" ht="21.75" customHeight="1" x14ac:dyDescent="0.2">
      <c r="A126" s="78"/>
      <c r="B126" s="111"/>
      <c r="C126" s="111"/>
      <c r="D126" s="136" t="str">
        <f>'дод. 4'!C64</f>
        <v>у т.ч. за рахунок субвенцій з держбюджету</v>
      </c>
      <c r="E126" s="80">
        <f>E128</f>
        <v>0</v>
      </c>
      <c r="F126" s="80">
        <f t="shared" si="42"/>
        <v>0</v>
      </c>
      <c r="G126" s="80">
        <f t="shared" si="42"/>
        <v>0</v>
      </c>
      <c r="H126" s="80">
        <f t="shared" si="42"/>
        <v>0</v>
      </c>
      <c r="I126" s="80">
        <f t="shared" si="42"/>
        <v>0</v>
      </c>
      <c r="J126" s="80">
        <f t="shared" si="42"/>
        <v>4529964.66</v>
      </c>
      <c r="K126" s="80">
        <f t="shared" si="42"/>
        <v>0</v>
      </c>
      <c r="L126" s="80">
        <f t="shared" si="42"/>
        <v>0</v>
      </c>
      <c r="M126" s="80">
        <f t="shared" si="42"/>
        <v>0</v>
      </c>
      <c r="N126" s="80">
        <f t="shared" si="42"/>
        <v>4529964.66</v>
      </c>
      <c r="O126" s="80">
        <f t="shared" si="42"/>
        <v>4529964.66</v>
      </c>
      <c r="P126" s="80">
        <f t="shared" si="42"/>
        <v>4529964.66</v>
      </c>
      <c r="Q126" s="271"/>
      <c r="R126" s="155"/>
      <c r="S126" s="155"/>
      <c r="T126" s="155"/>
    </row>
    <row r="127" spans="1:20" s="110" customFormat="1" ht="55.5" customHeight="1" x14ac:dyDescent="0.2">
      <c r="A127" s="78" t="s">
        <v>607</v>
      </c>
      <c r="B127" s="111" t="str">
        <f>'дод. 4'!A198</f>
        <v>7363</v>
      </c>
      <c r="C127" s="111" t="str">
        <f>'дод. 4'!B198</f>
        <v>0490</v>
      </c>
      <c r="D127" s="209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127" s="80">
        <f>F127+I127</f>
        <v>0</v>
      </c>
      <c r="F127" s="80"/>
      <c r="G127" s="80"/>
      <c r="H127" s="80"/>
      <c r="I127" s="80"/>
      <c r="J127" s="80">
        <f>K127+N127</f>
        <v>4665863.5999999996</v>
      </c>
      <c r="K127" s="80"/>
      <c r="L127" s="80"/>
      <c r="M127" s="80"/>
      <c r="N127" s="80">
        <f>40078.94+1335964.66+95820+3194000</f>
        <v>4665863.5999999996</v>
      </c>
      <c r="O127" s="80">
        <f>40078.94+1335964.66+95820+3194000</f>
        <v>4665863.5999999996</v>
      </c>
      <c r="P127" s="80">
        <f>E127+J127</f>
        <v>4665863.5999999996</v>
      </c>
      <c r="Q127" s="271"/>
      <c r="R127" s="155"/>
      <c r="S127" s="155"/>
      <c r="T127" s="155"/>
    </row>
    <row r="128" spans="1:20" s="110" customFormat="1" ht="26.25" customHeight="1" x14ac:dyDescent="0.2">
      <c r="A128" s="78"/>
      <c r="B128" s="111"/>
      <c r="C128" s="111"/>
      <c r="D128" s="136" t="str">
        <f>'дод. 4'!C66</f>
        <v>у т.ч. за рахунок субвенцій з держбюджету</v>
      </c>
      <c r="E128" s="80">
        <f>F128+I128</f>
        <v>0</v>
      </c>
      <c r="F128" s="80"/>
      <c r="G128" s="80"/>
      <c r="H128" s="80"/>
      <c r="I128" s="80"/>
      <c r="J128" s="80">
        <f>K128+N128</f>
        <v>4529964.66</v>
      </c>
      <c r="K128" s="80"/>
      <c r="L128" s="80"/>
      <c r="M128" s="80"/>
      <c r="N128" s="80">
        <f>1335964.66+3194000</f>
        <v>4529964.66</v>
      </c>
      <c r="O128" s="80">
        <f>1335964.66+3194000</f>
        <v>4529964.66</v>
      </c>
      <c r="P128" s="80">
        <f>E128+J128</f>
        <v>4529964.66</v>
      </c>
      <c r="Q128" s="271"/>
      <c r="R128" s="155"/>
      <c r="S128" s="155"/>
      <c r="T128" s="155"/>
    </row>
    <row r="129" spans="1:20" s="4" customFormat="1" ht="33" customHeight="1" x14ac:dyDescent="0.2">
      <c r="A129" s="81" t="s">
        <v>281</v>
      </c>
      <c r="B129" s="81" t="str">
        <f>'дод. 4'!A218</f>
        <v>7640</v>
      </c>
      <c r="C129" s="81" t="str">
        <f>'дод. 4'!B218</f>
        <v>0470</v>
      </c>
      <c r="D129" s="102" t="str">
        <f>'дод. 4'!C218</f>
        <v>Заходи з енергозбереження</v>
      </c>
      <c r="E129" s="83">
        <f>F129+I129</f>
        <v>792000</v>
      </c>
      <c r="F129" s="83">
        <f>420000+48000+300000+12000+12000</f>
        <v>792000</v>
      </c>
      <c r="G129" s="83"/>
      <c r="H129" s="83"/>
      <c r="I129" s="83"/>
      <c r="J129" s="77">
        <f>K129+N129</f>
        <v>9847000</v>
      </c>
      <c r="K129" s="83"/>
      <c r="L129" s="83"/>
      <c r="M129" s="83"/>
      <c r="N129" s="83">
        <f>6847000+3000000</f>
        <v>9847000</v>
      </c>
      <c r="O129" s="83">
        <f>6847000+3000000</f>
        <v>9847000</v>
      </c>
      <c r="P129" s="83">
        <f>E129+J129</f>
        <v>10639000</v>
      </c>
      <c r="Q129" s="271"/>
      <c r="R129" s="153"/>
      <c r="S129" s="153"/>
      <c r="T129" s="153"/>
    </row>
    <row r="130" spans="1:20" s="4" customFormat="1" ht="33" customHeight="1" x14ac:dyDescent="0.2">
      <c r="A130" s="75" t="s">
        <v>672</v>
      </c>
      <c r="B130" s="75" t="s">
        <v>21</v>
      </c>
      <c r="C130" s="75" t="s">
        <v>139</v>
      </c>
      <c r="D130" s="102" t="s">
        <v>22</v>
      </c>
      <c r="E130" s="83">
        <f>F130+I130</f>
        <v>0</v>
      </c>
      <c r="F130" s="83"/>
      <c r="G130" s="83"/>
      <c r="H130" s="83"/>
      <c r="I130" s="83"/>
      <c r="J130" s="77">
        <f>K130+N130</f>
        <v>22000</v>
      </c>
      <c r="K130" s="83">
        <v>22000</v>
      </c>
      <c r="L130" s="83"/>
      <c r="M130" s="83"/>
      <c r="N130" s="83"/>
      <c r="O130" s="83"/>
      <c r="P130" s="83">
        <f>E130+J130</f>
        <v>22000</v>
      </c>
      <c r="Q130" s="271"/>
      <c r="R130" s="153"/>
      <c r="S130" s="153"/>
      <c r="T130" s="153"/>
    </row>
    <row r="131" spans="1:20" s="4" customFormat="1" ht="33" customHeight="1" x14ac:dyDescent="0.2">
      <c r="A131" s="81" t="s">
        <v>647</v>
      </c>
      <c r="B131" s="81" t="s">
        <v>28</v>
      </c>
      <c r="C131" s="81" t="s">
        <v>648</v>
      </c>
      <c r="D131" s="244" t="s">
        <v>415</v>
      </c>
      <c r="E131" s="83">
        <f>F131+I131</f>
        <v>20000</v>
      </c>
      <c r="F131" s="83">
        <v>20000</v>
      </c>
      <c r="G131" s="83"/>
      <c r="H131" s="83"/>
      <c r="I131" s="83"/>
      <c r="J131" s="77">
        <f>K131+N131</f>
        <v>500000</v>
      </c>
      <c r="K131" s="83"/>
      <c r="L131" s="83"/>
      <c r="M131" s="83"/>
      <c r="N131" s="83">
        <v>500000</v>
      </c>
      <c r="O131" s="83">
        <v>500000</v>
      </c>
      <c r="P131" s="83">
        <f t="shared" si="39"/>
        <v>520000</v>
      </c>
      <c r="Q131" s="271"/>
      <c r="R131" s="153"/>
      <c r="S131" s="153"/>
      <c r="T131" s="153"/>
    </row>
    <row r="132" spans="1:20" s="107" customFormat="1" ht="28.5" x14ac:dyDescent="0.2">
      <c r="A132" s="106" t="s">
        <v>290</v>
      </c>
      <c r="B132" s="36"/>
      <c r="C132" s="36"/>
      <c r="D132" s="35" t="s">
        <v>70</v>
      </c>
      <c r="E132" s="46">
        <f>E133</f>
        <v>1281186646.5900002</v>
      </c>
      <c r="F132" s="46">
        <f t="shared" ref="F132:P132" si="43">F133</f>
        <v>1281186646.5900002</v>
      </c>
      <c r="G132" s="46">
        <f t="shared" si="43"/>
        <v>41420650</v>
      </c>
      <c r="H132" s="46">
        <f t="shared" si="43"/>
        <v>1542626</v>
      </c>
      <c r="I132" s="46">
        <f t="shared" si="43"/>
        <v>0</v>
      </c>
      <c r="J132" s="46">
        <f t="shared" si="43"/>
        <v>13866331.68</v>
      </c>
      <c r="K132" s="46">
        <f t="shared" si="43"/>
        <v>57900</v>
      </c>
      <c r="L132" s="46">
        <f t="shared" si="43"/>
        <v>44700</v>
      </c>
      <c r="M132" s="46">
        <f t="shared" si="43"/>
        <v>0</v>
      </c>
      <c r="N132" s="46">
        <f t="shared" si="43"/>
        <v>13808431.68</v>
      </c>
      <c r="O132" s="46">
        <f t="shared" si="43"/>
        <v>13808431.68</v>
      </c>
      <c r="P132" s="46">
        <f t="shared" si="43"/>
        <v>1295052978.2700002</v>
      </c>
      <c r="Q132" s="271"/>
      <c r="R132" s="151"/>
      <c r="S132" s="151"/>
      <c r="T132" s="151"/>
    </row>
    <row r="133" spans="1:20" s="109" customFormat="1" ht="36" customHeight="1" x14ac:dyDescent="0.2">
      <c r="A133" s="108" t="s">
        <v>291</v>
      </c>
      <c r="B133" s="119"/>
      <c r="C133" s="119"/>
      <c r="D133" s="118" t="s">
        <v>70</v>
      </c>
      <c r="E133" s="74">
        <f>E135+E148+E170+E184+E186+E190+E191+E194+E195+E206+E209+E211+E183+E187+E136+E142+E154+E171+E204+E210+E196</f>
        <v>1281186646.5900002</v>
      </c>
      <c r="F133" s="74">
        <f t="shared" ref="F133:P133" si="44">F135+F148+F170+F184+F186+F190+F191+F194+F195+F206+F209+F211+F183+F187+F136+F142+F154+F171+F204+F210+F196</f>
        <v>1281186646.5900002</v>
      </c>
      <c r="G133" s="74">
        <f t="shared" si="44"/>
        <v>41420650</v>
      </c>
      <c r="H133" s="74">
        <f t="shared" si="44"/>
        <v>1542626</v>
      </c>
      <c r="I133" s="74">
        <f t="shared" si="44"/>
        <v>0</v>
      </c>
      <c r="J133" s="74">
        <f t="shared" si="44"/>
        <v>13866331.68</v>
      </c>
      <c r="K133" s="74">
        <f t="shared" si="44"/>
        <v>57900</v>
      </c>
      <c r="L133" s="74">
        <f t="shared" si="44"/>
        <v>44700</v>
      </c>
      <c r="M133" s="74">
        <f t="shared" si="44"/>
        <v>0</v>
      </c>
      <c r="N133" s="74">
        <f t="shared" si="44"/>
        <v>13808431.68</v>
      </c>
      <c r="O133" s="74">
        <f t="shared" si="44"/>
        <v>13808431.68</v>
      </c>
      <c r="P133" s="74">
        <f t="shared" si="44"/>
        <v>1295052978.2700002</v>
      </c>
      <c r="Q133" s="271"/>
      <c r="R133" s="157"/>
      <c r="S133" s="157"/>
      <c r="T133" s="157"/>
    </row>
    <row r="134" spans="1:20" s="109" customFormat="1" ht="23.25" customHeight="1" x14ac:dyDescent="0.2">
      <c r="A134" s="108"/>
      <c r="B134" s="119"/>
      <c r="C134" s="119"/>
      <c r="D134" s="118" t="s">
        <v>416</v>
      </c>
      <c r="E134" s="74">
        <f>E137+E143+E155+E172+E205+E197</f>
        <v>1124056900</v>
      </c>
      <c r="F134" s="74">
        <f t="shared" ref="F134:P134" si="45">F137+F143+F155+F172+F205+F197</f>
        <v>1124056900</v>
      </c>
      <c r="G134" s="74">
        <f t="shared" si="45"/>
        <v>0</v>
      </c>
      <c r="H134" s="74">
        <f t="shared" si="45"/>
        <v>0</v>
      </c>
      <c r="I134" s="74">
        <f t="shared" si="45"/>
        <v>0</v>
      </c>
      <c r="J134" s="74">
        <f t="shared" si="45"/>
        <v>12613549.68</v>
      </c>
      <c r="K134" s="74">
        <f t="shared" si="45"/>
        <v>0</v>
      </c>
      <c r="L134" s="74">
        <f t="shared" si="45"/>
        <v>0</v>
      </c>
      <c r="M134" s="74">
        <f t="shared" si="45"/>
        <v>0</v>
      </c>
      <c r="N134" s="74">
        <f t="shared" si="45"/>
        <v>12613549.68</v>
      </c>
      <c r="O134" s="74">
        <f t="shared" si="45"/>
        <v>12613549.68</v>
      </c>
      <c r="P134" s="74">
        <f t="shared" si="45"/>
        <v>1136670449.6800001</v>
      </c>
      <c r="Q134" s="271"/>
      <c r="R134" s="157"/>
      <c r="S134" s="157"/>
      <c r="T134" s="157"/>
    </row>
    <row r="135" spans="1:20" s="4" customFormat="1" ht="52.5" customHeight="1" x14ac:dyDescent="0.2">
      <c r="A135" s="75" t="s">
        <v>292</v>
      </c>
      <c r="B135" s="75" t="str">
        <f>'дод. 4'!A14</f>
        <v>0160</v>
      </c>
      <c r="C135" s="75" t="str">
        <f>'дод. 4'!B14</f>
        <v>0111</v>
      </c>
      <c r="D135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35" s="77">
        <f>F135+I135</f>
        <v>40067818</v>
      </c>
      <c r="F135" s="77">
        <f>40471900-288000+100000-287082+50000+21000</f>
        <v>40067818</v>
      </c>
      <c r="G135" s="77">
        <f>31781350-235313</f>
        <v>31546037</v>
      </c>
      <c r="H135" s="77">
        <v>676100</v>
      </c>
      <c r="I135" s="77"/>
      <c r="J135" s="77">
        <f>K135+N135</f>
        <v>550090</v>
      </c>
      <c r="K135" s="77"/>
      <c r="L135" s="77"/>
      <c r="M135" s="77"/>
      <c r="N135" s="77">
        <f>700000-128000+10000-31910</f>
        <v>550090</v>
      </c>
      <c r="O135" s="77">
        <f>700000-128000+10000-31910</f>
        <v>550090</v>
      </c>
      <c r="P135" s="77">
        <f>E135+J135</f>
        <v>40617908</v>
      </c>
      <c r="Q135" s="271"/>
      <c r="R135" s="153"/>
      <c r="S135" s="153"/>
      <c r="T135" s="153"/>
    </row>
    <row r="136" spans="1:20" s="4" customFormat="1" ht="78" customHeight="1" x14ac:dyDescent="0.2">
      <c r="A136" s="75" t="s">
        <v>527</v>
      </c>
      <c r="B136" s="132" t="str">
        <f>'дод. 4'!A65</f>
        <v>3010</v>
      </c>
      <c r="C136" s="132">
        <f>'дод. 4'!B65</f>
        <v>0</v>
      </c>
      <c r="D136" s="104" t="str">
        <f>'дод. 4'!C65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6" s="77">
        <f t="shared" ref="E136:P136" si="46">E138+E140</f>
        <v>772232100</v>
      </c>
      <c r="F136" s="77">
        <f>F138+F140</f>
        <v>772232100</v>
      </c>
      <c r="G136" s="77">
        <f t="shared" si="46"/>
        <v>0</v>
      </c>
      <c r="H136" s="77">
        <f t="shared" si="46"/>
        <v>0</v>
      </c>
      <c r="I136" s="77">
        <f t="shared" si="46"/>
        <v>0</v>
      </c>
      <c r="J136" s="77">
        <f t="shared" si="46"/>
        <v>0</v>
      </c>
      <c r="K136" s="77">
        <f t="shared" si="46"/>
        <v>0</v>
      </c>
      <c r="L136" s="77">
        <f t="shared" si="46"/>
        <v>0</v>
      </c>
      <c r="M136" s="77">
        <f t="shared" si="46"/>
        <v>0</v>
      </c>
      <c r="N136" s="77">
        <f t="shared" si="46"/>
        <v>0</v>
      </c>
      <c r="O136" s="77">
        <f t="shared" si="46"/>
        <v>0</v>
      </c>
      <c r="P136" s="77">
        <f t="shared" si="46"/>
        <v>772232100</v>
      </c>
      <c r="Q136" s="271"/>
      <c r="R136" s="158"/>
      <c r="S136" s="158"/>
      <c r="T136" s="158"/>
    </row>
    <row r="137" spans="1:20" s="4" customFormat="1" x14ac:dyDescent="0.2">
      <c r="A137" s="75"/>
      <c r="B137" s="132">
        <f>'дод. 4'!A66</f>
        <v>0</v>
      </c>
      <c r="C137" s="132">
        <f>'дод. 4'!B66</f>
        <v>0</v>
      </c>
      <c r="D137" s="104" t="str">
        <f>'дод. 4'!C66</f>
        <v>у т.ч. за рахунок субвенцій з держбюджету</v>
      </c>
      <c r="E137" s="77">
        <f t="shared" ref="E137:P137" si="47">E139+E141</f>
        <v>772232100</v>
      </c>
      <c r="F137" s="77">
        <f t="shared" si="47"/>
        <v>772232100</v>
      </c>
      <c r="G137" s="77">
        <f t="shared" si="47"/>
        <v>0</v>
      </c>
      <c r="H137" s="77">
        <f t="shared" si="47"/>
        <v>0</v>
      </c>
      <c r="I137" s="77">
        <f t="shared" si="47"/>
        <v>0</v>
      </c>
      <c r="J137" s="77">
        <f t="shared" si="47"/>
        <v>0</v>
      </c>
      <c r="K137" s="77">
        <f t="shared" si="47"/>
        <v>0</v>
      </c>
      <c r="L137" s="77">
        <f t="shared" si="47"/>
        <v>0</v>
      </c>
      <c r="M137" s="77">
        <f t="shared" si="47"/>
        <v>0</v>
      </c>
      <c r="N137" s="77">
        <f t="shared" si="47"/>
        <v>0</v>
      </c>
      <c r="O137" s="77">
        <f t="shared" si="47"/>
        <v>0</v>
      </c>
      <c r="P137" s="77">
        <f t="shared" si="47"/>
        <v>772232100</v>
      </c>
      <c r="Q137" s="271"/>
      <c r="R137" s="158"/>
      <c r="S137" s="158"/>
      <c r="T137" s="158"/>
    </row>
    <row r="138" spans="1:20" s="110" customFormat="1" ht="45" customHeight="1" x14ac:dyDescent="0.2">
      <c r="A138" s="78" t="s">
        <v>528</v>
      </c>
      <c r="B138" s="137" t="str">
        <f>'дод. 4'!A67</f>
        <v>3011</v>
      </c>
      <c r="C138" s="137">
        <f>'дод. 4'!B67</f>
        <v>1030</v>
      </c>
      <c r="D138" s="101" t="str">
        <f>'дод. 4'!C67</f>
        <v xml:space="preserve">Надання пільг на оплату житлово-комунальних послуг окремим категоріям громадян відповідно до законодавства </v>
      </c>
      <c r="E138" s="80">
        <f>F138+I138</f>
        <v>66261200</v>
      </c>
      <c r="F138" s="80">
        <v>66261200</v>
      </c>
      <c r="G138" s="80"/>
      <c r="H138" s="80"/>
      <c r="I138" s="80"/>
      <c r="J138" s="80">
        <f>K138+N138</f>
        <v>0</v>
      </c>
      <c r="K138" s="80"/>
      <c r="L138" s="80"/>
      <c r="M138" s="80"/>
      <c r="N138" s="80"/>
      <c r="O138" s="80"/>
      <c r="P138" s="80">
        <f>E138+J138</f>
        <v>66261200</v>
      </c>
      <c r="Q138" s="271"/>
      <c r="R138" s="155"/>
      <c r="S138" s="155"/>
      <c r="T138" s="155"/>
    </row>
    <row r="139" spans="1:20" s="110" customFormat="1" x14ac:dyDescent="0.2">
      <c r="A139" s="78"/>
      <c r="B139" s="137">
        <f>'дод. 4'!A68</f>
        <v>0</v>
      </c>
      <c r="C139" s="137">
        <f>'дод. 4'!B68</f>
        <v>0</v>
      </c>
      <c r="D139" s="101" t="str">
        <f>'дод. 4'!C68</f>
        <v>у т.ч. за рахунок субвенцій з держбюджету</v>
      </c>
      <c r="E139" s="80">
        <f>F139+I139</f>
        <v>66261200</v>
      </c>
      <c r="F139" s="80">
        <v>66261200</v>
      </c>
      <c r="G139" s="80"/>
      <c r="H139" s="80"/>
      <c r="I139" s="80"/>
      <c r="J139" s="80">
        <f>K139+N139</f>
        <v>0</v>
      </c>
      <c r="K139" s="80"/>
      <c r="L139" s="80"/>
      <c r="M139" s="80"/>
      <c r="N139" s="80"/>
      <c r="O139" s="80"/>
      <c r="P139" s="80">
        <f>E139+J139</f>
        <v>66261200</v>
      </c>
      <c r="Q139" s="271"/>
      <c r="R139" s="155"/>
      <c r="S139" s="155"/>
      <c r="T139" s="155"/>
    </row>
    <row r="140" spans="1:20" s="110" customFormat="1" ht="37.5" customHeight="1" x14ac:dyDescent="0.2">
      <c r="A140" s="78" t="s">
        <v>529</v>
      </c>
      <c r="B140" s="137" t="str">
        <f>'дод. 4'!A69</f>
        <v>3012</v>
      </c>
      <c r="C140" s="137">
        <f>'дод. 4'!B69</f>
        <v>1060</v>
      </c>
      <c r="D140" s="101" t="str">
        <f>'дод. 4'!C69</f>
        <v>Надання субсидій населенню для відшкодування витрат на оплату житлово-комунальних послуг</v>
      </c>
      <c r="E140" s="80">
        <f>F140+I140</f>
        <v>705970900</v>
      </c>
      <c r="F140" s="80">
        <v>705970900</v>
      </c>
      <c r="G140" s="80"/>
      <c r="H140" s="80"/>
      <c r="I140" s="80"/>
      <c r="J140" s="80">
        <f>K140+N140</f>
        <v>0</v>
      </c>
      <c r="K140" s="80"/>
      <c r="L140" s="80"/>
      <c r="M140" s="80"/>
      <c r="N140" s="80"/>
      <c r="O140" s="80"/>
      <c r="P140" s="80">
        <f>E140+J140</f>
        <v>705970900</v>
      </c>
      <c r="Q140" s="271"/>
      <c r="R140" s="155"/>
      <c r="S140" s="155"/>
      <c r="T140" s="155"/>
    </row>
    <row r="141" spans="1:20" s="110" customFormat="1" ht="18" customHeight="1" x14ac:dyDescent="0.2">
      <c r="A141" s="78"/>
      <c r="B141" s="137">
        <f>'дод. 4'!A70</f>
        <v>0</v>
      </c>
      <c r="C141" s="137">
        <f>'дод. 4'!B70</f>
        <v>0</v>
      </c>
      <c r="D141" s="101" t="str">
        <f>'дод. 4'!C70</f>
        <v>у т.ч. за рахунок субвенцій з держбюджету</v>
      </c>
      <c r="E141" s="80">
        <f>F141+I141</f>
        <v>705970900</v>
      </c>
      <c r="F141" s="80">
        <v>705970900</v>
      </c>
      <c r="G141" s="80"/>
      <c r="H141" s="80"/>
      <c r="I141" s="80"/>
      <c r="J141" s="80">
        <f>K141+N141</f>
        <v>0</v>
      </c>
      <c r="K141" s="80"/>
      <c r="L141" s="80"/>
      <c r="M141" s="80"/>
      <c r="N141" s="80"/>
      <c r="O141" s="80"/>
      <c r="P141" s="80">
        <f>E141+J141</f>
        <v>705970900</v>
      </c>
      <c r="Q141" s="271"/>
      <c r="R141" s="155"/>
      <c r="S141" s="155"/>
      <c r="T141" s="155"/>
    </row>
    <row r="142" spans="1:20" s="4" customFormat="1" ht="45" customHeight="1" x14ac:dyDescent="0.2">
      <c r="A142" s="75" t="s">
        <v>530</v>
      </c>
      <c r="B142" s="132" t="str">
        <f>'дод. 4'!A71</f>
        <v>3020</v>
      </c>
      <c r="C142" s="132">
        <f>'дод. 4'!B71</f>
        <v>0</v>
      </c>
      <c r="D142" s="102" t="str">
        <f>'дод. 4'!C71</f>
        <v>Надання пільг та субсидій населенню на придбання твердого та рідкого пічного побутового палива і скрапленого газу</v>
      </c>
      <c r="E142" s="77">
        <f t="shared" ref="E142:P142" si="48">E144+E146</f>
        <v>375400</v>
      </c>
      <c r="F142" s="77">
        <f t="shared" si="48"/>
        <v>375400</v>
      </c>
      <c r="G142" s="77">
        <f t="shared" si="48"/>
        <v>0</v>
      </c>
      <c r="H142" s="77">
        <f t="shared" si="48"/>
        <v>0</v>
      </c>
      <c r="I142" s="77">
        <f t="shared" si="48"/>
        <v>0</v>
      </c>
      <c r="J142" s="77">
        <f t="shared" si="48"/>
        <v>0</v>
      </c>
      <c r="K142" s="77">
        <f t="shared" si="48"/>
        <v>0</v>
      </c>
      <c r="L142" s="77">
        <f t="shared" si="48"/>
        <v>0</v>
      </c>
      <c r="M142" s="77">
        <f t="shared" si="48"/>
        <v>0</v>
      </c>
      <c r="N142" s="77">
        <f t="shared" si="48"/>
        <v>0</v>
      </c>
      <c r="O142" s="77">
        <f t="shared" si="48"/>
        <v>0</v>
      </c>
      <c r="P142" s="77">
        <f t="shared" si="48"/>
        <v>375400</v>
      </c>
      <c r="Q142" s="271"/>
      <c r="R142" s="158"/>
      <c r="S142" s="158"/>
      <c r="T142" s="158"/>
    </row>
    <row r="143" spans="1:20" s="4" customFormat="1" x14ac:dyDescent="0.2">
      <c r="A143" s="75"/>
      <c r="B143" s="132">
        <f>'дод. 4'!A72</f>
        <v>0</v>
      </c>
      <c r="C143" s="132">
        <f>'дод. 4'!B72</f>
        <v>0</v>
      </c>
      <c r="D143" s="102" t="str">
        <f>'дод. 4'!C72</f>
        <v>у т.ч. за рахунок субвенцій з держбюджету</v>
      </c>
      <c r="E143" s="77">
        <f t="shared" ref="E143:P143" si="49">E145+E147</f>
        <v>375400</v>
      </c>
      <c r="F143" s="77">
        <f t="shared" si="49"/>
        <v>375400</v>
      </c>
      <c r="G143" s="77">
        <f t="shared" si="49"/>
        <v>0</v>
      </c>
      <c r="H143" s="77">
        <f t="shared" si="49"/>
        <v>0</v>
      </c>
      <c r="I143" s="77">
        <f t="shared" si="49"/>
        <v>0</v>
      </c>
      <c r="J143" s="77">
        <f t="shared" si="49"/>
        <v>0</v>
      </c>
      <c r="K143" s="77">
        <f t="shared" si="49"/>
        <v>0</v>
      </c>
      <c r="L143" s="77">
        <f t="shared" si="49"/>
        <v>0</v>
      </c>
      <c r="M143" s="77">
        <f t="shared" si="49"/>
        <v>0</v>
      </c>
      <c r="N143" s="77">
        <f t="shared" si="49"/>
        <v>0</v>
      </c>
      <c r="O143" s="77">
        <f t="shared" si="49"/>
        <v>0</v>
      </c>
      <c r="P143" s="77">
        <f t="shared" si="49"/>
        <v>375400</v>
      </c>
      <c r="Q143" s="271"/>
      <c r="R143" s="158"/>
      <c r="S143" s="158"/>
      <c r="T143" s="158"/>
    </row>
    <row r="144" spans="1:20" s="110" customFormat="1" ht="59.25" customHeight="1" x14ac:dyDescent="0.2">
      <c r="A144" s="78" t="s">
        <v>531</v>
      </c>
      <c r="B144" s="137" t="str">
        <f>'дод. 4'!A73</f>
        <v>3021</v>
      </c>
      <c r="C144" s="137">
        <f>'дод. 4'!B73</f>
        <v>1030</v>
      </c>
      <c r="D144" s="101" t="str">
        <f>'дод. 4'!C73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4" s="80">
        <f>F144+I144</f>
        <v>57630</v>
      </c>
      <c r="F144" s="80">
        <v>57630</v>
      </c>
      <c r="G144" s="80"/>
      <c r="H144" s="80"/>
      <c r="I144" s="80"/>
      <c r="J144" s="80">
        <f>K144+N144</f>
        <v>0</v>
      </c>
      <c r="K144" s="80"/>
      <c r="L144" s="80"/>
      <c r="M144" s="80"/>
      <c r="N144" s="80"/>
      <c r="O144" s="80"/>
      <c r="P144" s="80">
        <f>E144+J144</f>
        <v>57630</v>
      </c>
      <c r="Q144" s="271"/>
      <c r="R144" s="155"/>
      <c r="S144" s="155"/>
      <c r="T144" s="155"/>
    </row>
    <row r="145" spans="1:21" s="110" customFormat="1" x14ac:dyDescent="0.2">
      <c r="A145" s="78"/>
      <c r="B145" s="137">
        <f>'дод. 4'!A74</f>
        <v>0</v>
      </c>
      <c r="C145" s="137">
        <f>'дод. 4'!B74</f>
        <v>0</v>
      </c>
      <c r="D145" s="101" t="str">
        <f>'дод. 4'!C74</f>
        <v>у т.ч. за рахунок субвенцій з держбюджету</v>
      </c>
      <c r="E145" s="80">
        <f>F145+I145</f>
        <v>57630</v>
      </c>
      <c r="F145" s="80">
        <v>57630</v>
      </c>
      <c r="G145" s="80"/>
      <c r="H145" s="80"/>
      <c r="I145" s="80"/>
      <c r="J145" s="80">
        <f>K145+N145</f>
        <v>0</v>
      </c>
      <c r="K145" s="80"/>
      <c r="L145" s="80"/>
      <c r="M145" s="80"/>
      <c r="N145" s="80"/>
      <c r="O145" s="80"/>
      <c r="P145" s="80">
        <f>E145+J145</f>
        <v>57630</v>
      </c>
      <c r="Q145" s="271"/>
      <c r="R145" s="155"/>
      <c r="S145" s="155"/>
      <c r="T145" s="155"/>
    </row>
    <row r="146" spans="1:21" s="110" customFormat="1" ht="49.5" customHeight="1" x14ac:dyDescent="0.2">
      <c r="A146" s="78" t="s">
        <v>532</v>
      </c>
      <c r="B146" s="137" t="str">
        <f>'дод. 4'!A75</f>
        <v>3022</v>
      </c>
      <c r="C146" s="137">
        <f>'дод. 4'!B75</f>
        <v>1060</v>
      </c>
      <c r="D146" s="101" t="str">
        <f>'дод. 4'!C75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6" s="80">
        <f>F146+I146</f>
        <v>317770</v>
      </c>
      <c r="F146" s="80">
        <v>317770</v>
      </c>
      <c r="G146" s="80"/>
      <c r="H146" s="80"/>
      <c r="I146" s="80"/>
      <c r="J146" s="80">
        <f>K146+N146</f>
        <v>0</v>
      </c>
      <c r="K146" s="80"/>
      <c r="L146" s="80"/>
      <c r="M146" s="80"/>
      <c r="N146" s="80"/>
      <c r="O146" s="80"/>
      <c r="P146" s="80">
        <f>E146+J146</f>
        <v>317770</v>
      </c>
      <c r="Q146" s="271"/>
      <c r="R146" s="155"/>
      <c r="S146" s="155"/>
      <c r="T146" s="155"/>
    </row>
    <row r="147" spans="1:21" s="110" customFormat="1" x14ac:dyDescent="0.2">
      <c r="A147" s="78"/>
      <c r="B147" s="137">
        <f>'дод. 4'!A76</f>
        <v>0</v>
      </c>
      <c r="C147" s="137">
        <f>'дод. 4'!B76</f>
        <v>0</v>
      </c>
      <c r="D147" s="101" t="str">
        <f>'дод. 4'!C76</f>
        <v>у т.ч. за рахунок субвенцій з держбюджету</v>
      </c>
      <c r="E147" s="80">
        <f>F147+I147</f>
        <v>317770</v>
      </c>
      <c r="F147" s="80">
        <v>317770</v>
      </c>
      <c r="G147" s="80"/>
      <c r="H147" s="80"/>
      <c r="I147" s="80"/>
      <c r="J147" s="80">
        <f>K147+N147</f>
        <v>0</v>
      </c>
      <c r="K147" s="80"/>
      <c r="L147" s="80"/>
      <c r="M147" s="80"/>
      <c r="N147" s="80"/>
      <c r="O147" s="80"/>
      <c r="P147" s="80">
        <f>E147+J147</f>
        <v>317770</v>
      </c>
      <c r="Q147" s="271"/>
      <c r="R147" s="155"/>
      <c r="S147" s="155"/>
      <c r="T147" s="155"/>
    </row>
    <row r="148" spans="1:21" s="120" customFormat="1" ht="60" x14ac:dyDescent="0.2">
      <c r="A148" s="81" t="s">
        <v>293</v>
      </c>
      <c r="B148" s="81" t="str">
        <f>'дод. 4'!A77</f>
        <v>3030</v>
      </c>
      <c r="C148" s="81">
        <f>'дод. 4'!B77</f>
        <v>0</v>
      </c>
      <c r="D148" s="102" t="str">
        <f>'дод. 4'!C77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8" s="83">
        <f>E149+E150+E151+E153+E152</f>
        <v>57559724.890000001</v>
      </c>
      <c r="F148" s="83">
        <f t="shared" ref="F148:P148" si="50">F149+F150+F151+F153+F152</f>
        <v>57559724.890000001</v>
      </c>
      <c r="G148" s="83">
        <f t="shared" si="50"/>
        <v>0</v>
      </c>
      <c r="H148" s="83">
        <f t="shared" si="50"/>
        <v>0</v>
      </c>
      <c r="I148" s="83">
        <f t="shared" si="50"/>
        <v>0</v>
      </c>
      <c r="J148" s="83">
        <f t="shared" si="50"/>
        <v>245910</v>
      </c>
      <c r="K148" s="83">
        <f t="shared" si="50"/>
        <v>0</v>
      </c>
      <c r="L148" s="83">
        <f t="shared" si="50"/>
        <v>0</v>
      </c>
      <c r="M148" s="83">
        <f t="shared" si="50"/>
        <v>0</v>
      </c>
      <c r="N148" s="83">
        <f t="shared" si="50"/>
        <v>245910</v>
      </c>
      <c r="O148" s="83">
        <f t="shared" si="50"/>
        <v>245910</v>
      </c>
      <c r="P148" s="83">
        <f t="shared" si="50"/>
        <v>57805634.890000001</v>
      </c>
      <c r="Q148" s="271"/>
      <c r="R148" s="154"/>
      <c r="S148" s="154"/>
      <c r="T148" s="154"/>
      <c r="U148" s="125"/>
    </row>
    <row r="149" spans="1:21" s="121" customFormat="1" ht="36" customHeight="1" x14ac:dyDescent="0.2">
      <c r="A149" s="78" t="s">
        <v>294</v>
      </c>
      <c r="B149" s="78" t="str">
        <f>'дод. 4'!A78</f>
        <v>3031</v>
      </c>
      <c r="C149" s="78" t="str">
        <f>'дод. 4'!B78</f>
        <v>1030</v>
      </c>
      <c r="D149" s="101" t="str">
        <f>'дод. 4'!C78</f>
        <v>Надання інших пільг окремим категоріям громадян відповідно до законодавства</v>
      </c>
      <c r="E149" s="80">
        <f>F149+I149</f>
        <v>471502</v>
      </c>
      <c r="F149" s="80">
        <f>371502+100000</f>
        <v>471502</v>
      </c>
      <c r="G149" s="80"/>
      <c r="H149" s="80"/>
      <c r="I149" s="80"/>
      <c r="J149" s="80">
        <f>K149+N149</f>
        <v>245910</v>
      </c>
      <c r="K149" s="80"/>
      <c r="L149" s="80"/>
      <c r="M149" s="80"/>
      <c r="N149" s="80">
        <f>214000+31910</f>
        <v>245910</v>
      </c>
      <c r="O149" s="80">
        <f>214000+31910</f>
        <v>245910</v>
      </c>
      <c r="P149" s="80">
        <f>E149+J149</f>
        <v>717412</v>
      </c>
      <c r="Q149" s="271"/>
      <c r="R149" s="155"/>
      <c r="S149" s="155"/>
      <c r="T149" s="155"/>
    </row>
    <row r="150" spans="1:21" s="121" customFormat="1" ht="30" x14ac:dyDescent="0.2">
      <c r="A150" s="78" t="s">
        <v>295</v>
      </c>
      <c r="B150" s="78" t="str">
        <f>'дод. 4'!A79</f>
        <v>3032</v>
      </c>
      <c r="C150" s="78" t="str">
        <f>'дод. 4'!B79</f>
        <v>1070</v>
      </c>
      <c r="D150" s="101" t="str">
        <f>'дод. 4'!C79</f>
        <v>Надання пільг окремим категоріям громадян з оплати послуг зв'язку</v>
      </c>
      <c r="E150" s="80">
        <f>F150+I150</f>
        <v>1541402</v>
      </c>
      <c r="F150" s="80">
        <v>1541402</v>
      </c>
      <c r="G150" s="80"/>
      <c r="H150" s="80"/>
      <c r="I150" s="80"/>
      <c r="J150" s="80">
        <f>K150+N150</f>
        <v>0</v>
      </c>
      <c r="K150" s="80"/>
      <c r="L150" s="80"/>
      <c r="M150" s="80"/>
      <c r="N150" s="80"/>
      <c r="O150" s="80"/>
      <c r="P150" s="80">
        <f>E150+J150</f>
        <v>1541402</v>
      </c>
      <c r="Q150" s="271"/>
      <c r="R150" s="155"/>
      <c r="S150" s="155"/>
      <c r="T150" s="155"/>
    </row>
    <row r="151" spans="1:21" s="121" customFormat="1" ht="45" x14ac:dyDescent="0.2">
      <c r="A151" s="78" t="s">
        <v>296</v>
      </c>
      <c r="B151" s="78" t="str">
        <f>'дод. 4'!A80</f>
        <v>3033</v>
      </c>
      <c r="C151" s="78" t="str">
        <f>'дод. 4'!B80</f>
        <v>1070</v>
      </c>
      <c r="D151" s="101" t="str">
        <f>'дод. 4'!C80</f>
        <v>Компенсаційні виплати на пільговий проїзд автомобільним транспортом окремим категоріям громадян</v>
      </c>
      <c r="E151" s="80">
        <f>F151+I151</f>
        <v>17865394.890000001</v>
      </c>
      <c r="F151" s="80">
        <f>9466596+101200+4000000+491337.34+250976.55+126285+3429000</f>
        <v>17865394.890000001</v>
      </c>
      <c r="G151" s="80"/>
      <c r="H151" s="80"/>
      <c r="I151" s="80"/>
      <c r="J151" s="80">
        <f>K151+N151</f>
        <v>0</v>
      </c>
      <c r="K151" s="80"/>
      <c r="L151" s="80"/>
      <c r="M151" s="80"/>
      <c r="N151" s="80"/>
      <c r="O151" s="80"/>
      <c r="P151" s="80">
        <f>E151+J151</f>
        <v>17865394.890000001</v>
      </c>
      <c r="Q151" s="271"/>
      <c r="R151" s="155"/>
      <c r="S151" s="155"/>
      <c r="T151" s="155"/>
    </row>
    <row r="152" spans="1:21" s="121" customFormat="1" ht="30" x14ac:dyDescent="0.2">
      <c r="A152" s="78" t="s">
        <v>596</v>
      </c>
      <c r="B152" s="78" t="str">
        <f>'дод. 4'!A81</f>
        <v>3035</v>
      </c>
      <c r="C152" s="78" t="str">
        <f>'дод. 4'!B81</f>
        <v>1070</v>
      </c>
      <c r="D152" s="101" t="str">
        <f>'дод. 4'!C81</f>
        <v>Компенсаційні виплати за пільговий проїзд окремих категорій громадян на залізничному транспорті</v>
      </c>
      <c r="E152" s="80">
        <f>F152+I152</f>
        <v>3000000</v>
      </c>
      <c r="F152" s="80">
        <f>1000000+1000000+1000000</f>
        <v>3000000</v>
      </c>
      <c r="G152" s="80"/>
      <c r="H152" s="80"/>
      <c r="I152" s="80"/>
      <c r="J152" s="80">
        <f>K152+N152</f>
        <v>0</v>
      </c>
      <c r="K152" s="80"/>
      <c r="L152" s="80"/>
      <c r="M152" s="80"/>
      <c r="N152" s="80"/>
      <c r="O152" s="80"/>
      <c r="P152" s="80">
        <f>E152+J152</f>
        <v>3000000</v>
      </c>
      <c r="Q152" s="271"/>
      <c r="R152" s="155"/>
      <c r="S152" s="155"/>
      <c r="T152" s="155"/>
    </row>
    <row r="153" spans="1:21" s="121" customFormat="1" ht="49.5" customHeight="1" x14ac:dyDescent="0.2">
      <c r="A153" s="78" t="s">
        <v>297</v>
      </c>
      <c r="B153" s="78" t="str">
        <f>'дод. 4'!A82</f>
        <v>3036</v>
      </c>
      <c r="C153" s="78" t="str">
        <f>'дод. 4'!B82</f>
        <v>1070</v>
      </c>
      <c r="D153" s="101" t="str">
        <f>'дод. 4'!C82</f>
        <v>Компенсаційні виплати на пільговий проїзд електротранспортом окремим категоріям громадян</v>
      </c>
      <c r="E153" s="80">
        <f>F153+I153</f>
        <v>34681426</v>
      </c>
      <c r="F153" s="80">
        <f>27193426+6000000+1488000</f>
        <v>34681426</v>
      </c>
      <c r="G153" s="80"/>
      <c r="H153" s="80"/>
      <c r="I153" s="80"/>
      <c r="J153" s="80">
        <f>K153+N153</f>
        <v>0</v>
      </c>
      <c r="K153" s="80"/>
      <c r="L153" s="80"/>
      <c r="M153" s="80"/>
      <c r="N153" s="80"/>
      <c r="O153" s="80"/>
      <c r="P153" s="80">
        <f>E153+J153</f>
        <v>34681426</v>
      </c>
      <c r="Q153" s="271"/>
      <c r="R153" s="155"/>
      <c r="S153" s="155"/>
      <c r="T153" s="155"/>
    </row>
    <row r="154" spans="1:21" s="130" customFormat="1" ht="51.75" customHeight="1" x14ac:dyDescent="0.2">
      <c r="A154" s="132" t="s">
        <v>549</v>
      </c>
      <c r="B154" s="132" t="str">
        <f>'дод. 4'!A83</f>
        <v>3040</v>
      </c>
      <c r="C154" s="132">
        <f>'дод. 4'!B83</f>
        <v>0</v>
      </c>
      <c r="D154" s="102" t="str">
        <f>'дод. 4'!C83</f>
        <v>Надання допомоги сім'ям з дітьми, малозабезпеченим сім’ям, тимчасової допомоги дітям</v>
      </c>
      <c r="E154" s="77">
        <f t="shared" ref="E154:P154" si="51">E156+E158+E160+E162+E164+E166+E168</f>
        <v>257256180</v>
      </c>
      <c r="F154" s="77">
        <f t="shared" si="51"/>
        <v>257256180</v>
      </c>
      <c r="G154" s="77">
        <f t="shared" si="51"/>
        <v>0</v>
      </c>
      <c r="H154" s="77">
        <f t="shared" si="51"/>
        <v>0</v>
      </c>
      <c r="I154" s="77">
        <f t="shared" si="51"/>
        <v>0</v>
      </c>
      <c r="J154" s="77">
        <f t="shared" si="51"/>
        <v>0</v>
      </c>
      <c r="K154" s="77">
        <f t="shared" si="51"/>
        <v>0</v>
      </c>
      <c r="L154" s="77">
        <f t="shared" si="51"/>
        <v>0</v>
      </c>
      <c r="M154" s="77">
        <f t="shared" si="51"/>
        <v>0</v>
      </c>
      <c r="N154" s="77">
        <f t="shared" si="51"/>
        <v>0</v>
      </c>
      <c r="O154" s="77">
        <f t="shared" si="51"/>
        <v>0</v>
      </c>
      <c r="P154" s="77">
        <f t="shared" si="51"/>
        <v>257256180</v>
      </c>
      <c r="Q154" s="271"/>
      <c r="R154" s="158"/>
      <c r="S154" s="158"/>
      <c r="T154" s="158"/>
    </row>
    <row r="155" spans="1:21" s="130" customFormat="1" ht="19.5" customHeight="1" x14ac:dyDescent="0.2">
      <c r="A155" s="132"/>
      <c r="B155" s="132">
        <f>'дод. 4'!A84</f>
        <v>0</v>
      </c>
      <c r="C155" s="132">
        <f>'дод. 4'!B84</f>
        <v>0</v>
      </c>
      <c r="D155" s="102" t="str">
        <f>'дод. 4'!C84</f>
        <v>у т.ч. за рахунок субвенцій з держбюджету</v>
      </c>
      <c r="E155" s="77">
        <f t="shared" ref="E155:P155" si="52">E157+E159+E161+E163+E165+E167+E169</f>
        <v>257256180</v>
      </c>
      <c r="F155" s="77">
        <f t="shared" si="52"/>
        <v>257256180</v>
      </c>
      <c r="G155" s="77">
        <f t="shared" si="52"/>
        <v>0</v>
      </c>
      <c r="H155" s="77">
        <f t="shared" si="52"/>
        <v>0</v>
      </c>
      <c r="I155" s="77">
        <f t="shared" si="52"/>
        <v>0</v>
      </c>
      <c r="J155" s="77">
        <f t="shared" si="52"/>
        <v>0</v>
      </c>
      <c r="K155" s="77">
        <f t="shared" si="52"/>
        <v>0</v>
      </c>
      <c r="L155" s="77">
        <f t="shared" si="52"/>
        <v>0</v>
      </c>
      <c r="M155" s="77">
        <f t="shared" si="52"/>
        <v>0</v>
      </c>
      <c r="N155" s="77">
        <f t="shared" si="52"/>
        <v>0</v>
      </c>
      <c r="O155" s="77">
        <f t="shared" si="52"/>
        <v>0</v>
      </c>
      <c r="P155" s="77">
        <f t="shared" si="52"/>
        <v>257256180</v>
      </c>
      <c r="Q155" s="271"/>
      <c r="R155" s="158"/>
      <c r="S155" s="158"/>
      <c r="T155" s="158"/>
    </row>
    <row r="156" spans="1:21" s="121" customFormat="1" ht="27" customHeight="1" x14ac:dyDescent="0.2">
      <c r="A156" s="137" t="s">
        <v>550</v>
      </c>
      <c r="B156" s="137" t="str">
        <f>'дод. 4'!A85</f>
        <v>3041</v>
      </c>
      <c r="C156" s="137" t="str">
        <f>'дод. 4'!B85</f>
        <v>1040</v>
      </c>
      <c r="D156" s="101" t="str">
        <f>'дод. 4'!C85</f>
        <v>Надання допомоги у зв'язку з вагітністю і пологами</v>
      </c>
      <c r="E156" s="80">
        <f t="shared" ref="E156:E170" si="53">F156+I156</f>
        <v>3598320</v>
      </c>
      <c r="F156" s="80">
        <v>3598320</v>
      </c>
      <c r="G156" s="80"/>
      <c r="H156" s="80"/>
      <c r="I156" s="80"/>
      <c r="J156" s="80">
        <f>K156+N156</f>
        <v>0</v>
      </c>
      <c r="K156" s="80"/>
      <c r="L156" s="80"/>
      <c r="M156" s="80"/>
      <c r="N156" s="80"/>
      <c r="O156" s="80"/>
      <c r="P156" s="80">
        <f t="shared" ref="P156:P170" si="54">E156+J156</f>
        <v>3598320</v>
      </c>
      <c r="Q156" s="271"/>
      <c r="R156" s="155"/>
      <c r="S156" s="155"/>
      <c r="T156" s="155"/>
    </row>
    <row r="157" spans="1:21" s="121" customFormat="1" ht="19.5" customHeight="1" x14ac:dyDescent="0.2">
      <c r="A157" s="137"/>
      <c r="B157" s="137">
        <f>'дод. 4'!A86</f>
        <v>0</v>
      </c>
      <c r="C157" s="137">
        <f>'дод. 4'!B86</f>
        <v>0</v>
      </c>
      <c r="D157" s="101" t="str">
        <f>'дод. 4'!C86</f>
        <v>у т.ч. за рахунок субвенцій з держбюджету</v>
      </c>
      <c r="E157" s="80">
        <f t="shared" si="53"/>
        <v>3598320</v>
      </c>
      <c r="F157" s="80">
        <v>3598320</v>
      </c>
      <c r="G157" s="80"/>
      <c r="H157" s="80"/>
      <c r="I157" s="80"/>
      <c r="J157" s="80">
        <f t="shared" ref="J157:J169" si="55">K157+N157</f>
        <v>0</v>
      </c>
      <c r="K157" s="80"/>
      <c r="L157" s="80"/>
      <c r="M157" s="80"/>
      <c r="N157" s="80"/>
      <c r="O157" s="80"/>
      <c r="P157" s="80">
        <f t="shared" si="54"/>
        <v>3598320</v>
      </c>
      <c r="Q157" s="271"/>
      <c r="R157" s="155"/>
      <c r="S157" s="155"/>
      <c r="T157" s="155"/>
    </row>
    <row r="158" spans="1:21" s="121" customFormat="1" ht="21" customHeight="1" x14ac:dyDescent="0.2">
      <c r="A158" s="137" t="s">
        <v>551</v>
      </c>
      <c r="B158" s="137" t="str">
        <f>'дод. 4'!A87</f>
        <v>3042</v>
      </c>
      <c r="C158" s="137" t="str">
        <f>'дод. 4'!B87</f>
        <v>1040</v>
      </c>
      <c r="D158" s="101" t="str">
        <f>'дод. 4'!C87</f>
        <v>Надання допомоги при усиновленні дитини</v>
      </c>
      <c r="E158" s="80">
        <f t="shared" si="53"/>
        <v>529760</v>
      </c>
      <c r="F158" s="80">
        <f>392160+137600</f>
        <v>529760</v>
      </c>
      <c r="G158" s="80"/>
      <c r="H158" s="80"/>
      <c r="I158" s="80"/>
      <c r="J158" s="80">
        <f t="shared" si="55"/>
        <v>0</v>
      </c>
      <c r="K158" s="80"/>
      <c r="L158" s="80"/>
      <c r="M158" s="80"/>
      <c r="N158" s="80"/>
      <c r="O158" s="80"/>
      <c r="P158" s="80">
        <f t="shared" si="54"/>
        <v>529760</v>
      </c>
      <c r="Q158" s="271"/>
      <c r="R158" s="155"/>
      <c r="S158" s="155"/>
      <c r="T158" s="155"/>
    </row>
    <row r="159" spans="1:21" s="121" customFormat="1" ht="19.5" customHeight="1" x14ac:dyDescent="0.2">
      <c r="A159" s="137"/>
      <c r="B159" s="137">
        <f>'дод. 4'!A88</f>
        <v>0</v>
      </c>
      <c r="C159" s="137">
        <f>'дод. 4'!B88</f>
        <v>0</v>
      </c>
      <c r="D159" s="101" t="str">
        <f>'дод. 4'!C88</f>
        <v>у т.ч. за рахунок субвенцій з держбюджету</v>
      </c>
      <c r="E159" s="80">
        <f t="shared" si="53"/>
        <v>529760</v>
      </c>
      <c r="F159" s="80">
        <f>392160+137600</f>
        <v>529760</v>
      </c>
      <c r="G159" s="80"/>
      <c r="H159" s="80"/>
      <c r="I159" s="80"/>
      <c r="J159" s="80">
        <f t="shared" si="55"/>
        <v>0</v>
      </c>
      <c r="K159" s="80"/>
      <c r="L159" s="80"/>
      <c r="M159" s="80"/>
      <c r="N159" s="80"/>
      <c r="O159" s="80"/>
      <c r="P159" s="80">
        <f t="shared" si="54"/>
        <v>529760</v>
      </c>
      <c r="Q159" s="271"/>
      <c r="R159" s="155"/>
      <c r="S159" s="155"/>
      <c r="T159" s="155"/>
    </row>
    <row r="160" spans="1:21" s="121" customFormat="1" ht="19.5" customHeight="1" x14ac:dyDescent="0.2">
      <c r="A160" s="137" t="s">
        <v>552</v>
      </c>
      <c r="B160" s="137" t="str">
        <f>'дод. 4'!A89</f>
        <v>3043</v>
      </c>
      <c r="C160" s="137" t="str">
        <f>'дод. 4'!B89</f>
        <v>1040</v>
      </c>
      <c r="D160" s="101" t="str">
        <f>'дод. 4'!C89</f>
        <v>Надання допомоги при народженні дитини</v>
      </c>
      <c r="E160" s="80">
        <f t="shared" si="53"/>
        <v>134165700</v>
      </c>
      <c r="F160" s="80">
        <v>134165700</v>
      </c>
      <c r="G160" s="80"/>
      <c r="H160" s="80"/>
      <c r="I160" s="80"/>
      <c r="J160" s="80">
        <f t="shared" si="55"/>
        <v>0</v>
      </c>
      <c r="K160" s="80"/>
      <c r="L160" s="80"/>
      <c r="M160" s="80"/>
      <c r="N160" s="80"/>
      <c r="O160" s="80"/>
      <c r="P160" s="80">
        <f t="shared" si="54"/>
        <v>134165700</v>
      </c>
      <c r="Q160" s="271"/>
      <c r="R160" s="155"/>
      <c r="S160" s="155"/>
      <c r="T160" s="155"/>
    </row>
    <row r="161" spans="1:20" s="121" customFormat="1" ht="19.5" customHeight="1" x14ac:dyDescent="0.2">
      <c r="A161" s="137"/>
      <c r="B161" s="137">
        <f>'дод. 4'!A90</f>
        <v>0</v>
      </c>
      <c r="C161" s="137">
        <f>'дод. 4'!B90</f>
        <v>0</v>
      </c>
      <c r="D161" s="101" t="str">
        <f>'дод. 4'!C90</f>
        <v>у т.ч. за рахунок субвенцій з держбюджету</v>
      </c>
      <c r="E161" s="80">
        <f t="shared" si="53"/>
        <v>134165700</v>
      </c>
      <c r="F161" s="80">
        <v>134165700</v>
      </c>
      <c r="G161" s="80"/>
      <c r="H161" s="80"/>
      <c r="I161" s="80"/>
      <c r="J161" s="80">
        <f t="shared" si="55"/>
        <v>0</v>
      </c>
      <c r="K161" s="80"/>
      <c r="L161" s="80"/>
      <c r="M161" s="80"/>
      <c r="N161" s="80"/>
      <c r="O161" s="80"/>
      <c r="P161" s="80">
        <f t="shared" si="54"/>
        <v>134165700</v>
      </c>
      <c r="Q161" s="271"/>
      <c r="R161" s="155"/>
      <c r="S161" s="155"/>
      <c r="T161" s="155"/>
    </row>
    <row r="162" spans="1:20" s="121" customFormat="1" ht="30.75" customHeight="1" x14ac:dyDescent="0.2">
      <c r="A162" s="137" t="s">
        <v>553</v>
      </c>
      <c r="B162" s="137" t="str">
        <f>'дод. 4'!A91</f>
        <v>3044</v>
      </c>
      <c r="C162" s="137" t="str">
        <f>'дод. 4'!B91</f>
        <v>1040</v>
      </c>
      <c r="D162" s="101" t="str">
        <f>'дод. 4'!C91</f>
        <v>Надання допомоги на дітей, над якими встановлено опіку чи піклування</v>
      </c>
      <c r="E162" s="80">
        <f t="shared" si="53"/>
        <v>10265200</v>
      </c>
      <c r="F162" s="80">
        <v>10265200</v>
      </c>
      <c r="G162" s="80"/>
      <c r="H162" s="80"/>
      <c r="I162" s="80"/>
      <c r="J162" s="80">
        <f t="shared" si="55"/>
        <v>0</v>
      </c>
      <c r="K162" s="80"/>
      <c r="L162" s="80"/>
      <c r="M162" s="80"/>
      <c r="N162" s="80"/>
      <c r="O162" s="80"/>
      <c r="P162" s="80">
        <f t="shared" si="54"/>
        <v>10265200</v>
      </c>
      <c r="Q162" s="271"/>
      <c r="R162" s="155"/>
      <c r="S162" s="155"/>
      <c r="T162" s="155"/>
    </row>
    <row r="163" spans="1:20" s="121" customFormat="1" ht="19.5" customHeight="1" x14ac:dyDescent="0.2">
      <c r="A163" s="137"/>
      <c r="B163" s="137">
        <f>'дод. 4'!A92</f>
        <v>0</v>
      </c>
      <c r="C163" s="137">
        <f>'дод. 4'!B92</f>
        <v>0</v>
      </c>
      <c r="D163" s="101" t="str">
        <f>'дод. 4'!C92</f>
        <v>у т.ч. за рахунок субвенцій з держбюджету</v>
      </c>
      <c r="E163" s="80">
        <f t="shared" si="53"/>
        <v>10265200</v>
      </c>
      <c r="F163" s="80">
        <v>10265200</v>
      </c>
      <c r="G163" s="80"/>
      <c r="H163" s="80"/>
      <c r="I163" s="80"/>
      <c r="J163" s="80">
        <f t="shared" si="55"/>
        <v>0</v>
      </c>
      <c r="K163" s="80"/>
      <c r="L163" s="80"/>
      <c r="M163" s="80"/>
      <c r="N163" s="80"/>
      <c r="O163" s="80"/>
      <c r="P163" s="80">
        <f t="shared" si="54"/>
        <v>10265200</v>
      </c>
      <c r="Q163" s="271"/>
      <c r="R163" s="155"/>
      <c r="S163" s="155"/>
      <c r="T163" s="155"/>
    </row>
    <row r="164" spans="1:20" s="121" customFormat="1" ht="22.5" customHeight="1" x14ac:dyDescent="0.2">
      <c r="A164" s="137" t="s">
        <v>554</v>
      </c>
      <c r="B164" s="137" t="str">
        <f>'дод. 4'!A93</f>
        <v>3045</v>
      </c>
      <c r="C164" s="137" t="str">
        <f>'дод. 4'!B93</f>
        <v>1040</v>
      </c>
      <c r="D164" s="101" t="str">
        <f>'дод. 4'!C93</f>
        <v>Надання допомоги на дітей одиноким матерям</v>
      </c>
      <c r="E164" s="80">
        <f t="shared" si="53"/>
        <v>50421240</v>
      </c>
      <c r="F164" s="80">
        <f>50558840-137600</f>
        <v>50421240</v>
      </c>
      <c r="G164" s="80"/>
      <c r="H164" s="80"/>
      <c r="I164" s="80"/>
      <c r="J164" s="80">
        <f t="shared" si="55"/>
        <v>0</v>
      </c>
      <c r="K164" s="80"/>
      <c r="L164" s="80"/>
      <c r="M164" s="80"/>
      <c r="N164" s="80"/>
      <c r="O164" s="80"/>
      <c r="P164" s="80">
        <f t="shared" si="54"/>
        <v>50421240</v>
      </c>
      <c r="Q164" s="271"/>
      <c r="R164" s="155"/>
      <c r="S164" s="155"/>
      <c r="T164" s="155"/>
    </row>
    <row r="165" spans="1:20" s="121" customFormat="1" ht="19.5" customHeight="1" x14ac:dyDescent="0.2">
      <c r="A165" s="137"/>
      <c r="B165" s="137">
        <f>'дод. 4'!A94</f>
        <v>0</v>
      </c>
      <c r="C165" s="137">
        <f>'дод. 4'!B94</f>
        <v>0</v>
      </c>
      <c r="D165" s="101" t="str">
        <f>'дод. 4'!C94</f>
        <v>у т.ч. за рахунок субвенцій з держбюджету</v>
      </c>
      <c r="E165" s="80">
        <f t="shared" si="53"/>
        <v>50421240</v>
      </c>
      <c r="F165" s="80">
        <f>50558840-137600</f>
        <v>50421240</v>
      </c>
      <c r="G165" s="80"/>
      <c r="H165" s="80"/>
      <c r="I165" s="80"/>
      <c r="J165" s="80">
        <f t="shared" si="55"/>
        <v>0</v>
      </c>
      <c r="K165" s="80"/>
      <c r="L165" s="80"/>
      <c r="M165" s="80"/>
      <c r="N165" s="80"/>
      <c r="O165" s="80"/>
      <c r="P165" s="80">
        <f t="shared" si="54"/>
        <v>50421240</v>
      </c>
      <c r="Q165" s="271"/>
      <c r="R165" s="155"/>
      <c r="S165" s="155"/>
      <c r="T165" s="155"/>
    </row>
    <row r="166" spans="1:20" s="121" customFormat="1" ht="22.5" customHeight="1" x14ac:dyDescent="0.2">
      <c r="A166" s="137" t="s">
        <v>555</v>
      </c>
      <c r="B166" s="137" t="str">
        <f>'дод. 4'!A95</f>
        <v>3046</v>
      </c>
      <c r="C166" s="137" t="str">
        <f>'дод. 4'!B95</f>
        <v>1040</v>
      </c>
      <c r="D166" s="101" t="str">
        <f>'дод. 4'!C95</f>
        <v>Надання тимчасової державної допомоги дітям</v>
      </c>
      <c r="E166" s="80">
        <f t="shared" si="53"/>
        <v>2245360</v>
      </c>
      <c r="F166" s="80">
        <v>2245360</v>
      </c>
      <c r="G166" s="80"/>
      <c r="H166" s="80"/>
      <c r="I166" s="80"/>
      <c r="J166" s="80">
        <f t="shared" si="55"/>
        <v>0</v>
      </c>
      <c r="K166" s="80"/>
      <c r="L166" s="80"/>
      <c r="M166" s="80"/>
      <c r="N166" s="80"/>
      <c r="O166" s="80"/>
      <c r="P166" s="80">
        <f t="shared" si="54"/>
        <v>2245360</v>
      </c>
      <c r="Q166" s="271"/>
      <c r="R166" s="155"/>
      <c r="S166" s="155"/>
      <c r="T166" s="155"/>
    </row>
    <row r="167" spans="1:20" s="121" customFormat="1" ht="19.5" customHeight="1" x14ac:dyDescent="0.2">
      <c r="A167" s="137"/>
      <c r="B167" s="137">
        <f>'дод. 4'!A96</f>
        <v>0</v>
      </c>
      <c r="C167" s="137">
        <f>'дод. 4'!B96</f>
        <v>0</v>
      </c>
      <c r="D167" s="101" t="str">
        <f>'дод. 4'!C96</f>
        <v>у т.ч. за рахунок субвенцій з держбюджету</v>
      </c>
      <c r="E167" s="80">
        <f t="shared" si="53"/>
        <v>2245360</v>
      </c>
      <c r="F167" s="80">
        <v>2245360</v>
      </c>
      <c r="G167" s="80"/>
      <c r="H167" s="80"/>
      <c r="I167" s="80"/>
      <c r="J167" s="80">
        <f t="shared" si="55"/>
        <v>0</v>
      </c>
      <c r="K167" s="80"/>
      <c r="L167" s="80"/>
      <c r="M167" s="80"/>
      <c r="N167" s="80"/>
      <c r="O167" s="80"/>
      <c r="P167" s="80">
        <f t="shared" si="54"/>
        <v>2245360</v>
      </c>
      <c r="Q167" s="271"/>
      <c r="R167" s="155"/>
      <c r="S167" s="155"/>
      <c r="T167" s="155"/>
    </row>
    <row r="168" spans="1:20" s="121" customFormat="1" ht="31.5" customHeight="1" x14ac:dyDescent="0.2">
      <c r="A168" s="137" t="s">
        <v>556</v>
      </c>
      <c r="B168" s="137" t="str">
        <f>'дод. 4'!A97</f>
        <v>3047</v>
      </c>
      <c r="C168" s="137" t="str">
        <f>'дод. 4'!B97</f>
        <v>1040</v>
      </c>
      <c r="D168" s="101" t="str">
        <f>'дод. 4'!C97</f>
        <v>Надання державної соціальної допомоги малозабезпеченим сім’ям</v>
      </c>
      <c r="E168" s="80">
        <f t="shared" si="53"/>
        <v>56030600</v>
      </c>
      <c r="F168" s="80">
        <v>56030600</v>
      </c>
      <c r="G168" s="80"/>
      <c r="H168" s="80"/>
      <c r="I168" s="80"/>
      <c r="J168" s="80">
        <f t="shared" si="55"/>
        <v>0</v>
      </c>
      <c r="K168" s="80"/>
      <c r="L168" s="80"/>
      <c r="M168" s="80"/>
      <c r="N168" s="80"/>
      <c r="O168" s="80"/>
      <c r="P168" s="80">
        <f t="shared" si="54"/>
        <v>56030600</v>
      </c>
      <c r="Q168" s="271"/>
      <c r="R168" s="155"/>
      <c r="S168" s="155"/>
      <c r="T168" s="155"/>
    </row>
    <row r="169" spans="1:20" s="121" customFormat="1" ht="19.5" customHeight="1" x14ac:dyDescent="0.2">
      <c r="A169" s="137"/>
      <c r="B169" s="137">
        <f>'дод. 4'!A98</f>
        <v>0</v>
      </c>
      <c r="C169" s="137">
        <f>'дод. 4'!B98</f>
        <v>0</v>
      </c>
      <c r="D169" s="101" t="str">
        <f>'дод. 4'!C98</f>
        <v>у т.ч. за рахунок субвенцій з держбюджету</v>
      </c>
      <c r="E169" s="80">
        <f t="shared" si="53"/>
        <v>56030600</v>
      </c>
      <c r="F169" s="80">
        <v>56030600</v>
      </c>
      <c r="G169" s="80"/>
      <c r="H169" s="80"/>
      <c r="I169" s="80"/>
      <c r="J169" s="80">
        <f t="shared" si="55"/>
        <v>0</v>
      </c>
      <c r="K169" s="80"/>
      <c r="L169" s="80"/>
      <c r="M169" s="80"/>
      <c r="N169" s="80"/>
      <c r="O169" s="80"/>
      <c r="P169" s="80">
        <f t="shared" si="54"/>
        <v>56030600</v>
      </c>
      <c r="Q169" s="271"/>
      <c r="R169" s="155"/>
      <c r="S169" s="155"/>
      <c r="T169" s="155"/>
    </row>
    <row r="170" spans="1:20" s="4" customFormat="1" ht="45.75" customHeight="1" x14ac:dyDescent="0.2">
      <c r="A170" s="81" t="s">
        <v>298</v>
      </c>
      <c r="B170" s="81" t="str">
        <f>'дод. 4'!A99</f>
        <v>3050</v>
      </c>
      <c r="C170" s="81" t="str">
        <f>'дод. 4'!B99</f>
        <v>1070</v>
      </c>
      <c r="D170" s="102" t="str">
        <f>'дод. 4'!C99</f>
        <v>Пільгове медичне обслуговування осіб, які постраждали внаслідок Чорнобильської катастрофи</v>
      </c>
      <c r="E170" s="83">
        <f t="shared" si="53"/>
        <v>625100</v>
      </c>
      <c r="F170" s="83">
        <f>578335+625100-578335</f>
        <v>625100</v>
      </c>
      <c r="G170" s="83"/>
      <c r="H170" s="83"/>
      <c r="I170" s="83"/>
      <c r="J170" s="83">
        <f>K170+N170</f>
        <v>0</v>
      </c>
      <c r="K170" s="83"/>
      <c r="L170" s="83"/>
      <c r="M170" s="83"/>
      <c r="N170" s="83"/>
      <c r="O170" s="83"/>
      <c r="P170" s="83">
        <f t="shared" si="54"/>
        <v>625100</v>
      </c>
      <c r="Q170" s="271"/>
      <c r="R170" s="153"/>
      <c r="S170" s="153"/>
      <c r="T170" s="153"/>
    </row>
    <row r="171" spans="1:20" s="4" customFormat="1" ht="153.75" customHeight="1" x14ac:dyDescent="0.2">
      <c r="A171" s="81" t="s">
        <v>571</v>
      </c>
      <c r="B171" s="81" t="str">
        <f>'дод. 4'!A100</f>
        <v>3080</v>
      </c>
      <c r="C171" s="81">
        <f>'дод. 4'!B100</f>
        <v>0</v>
      </c>
      <c r="D171" s="82" t="s">
        <v>563</v>
      </c>
      <c r="E171" s="83">
        <f t="shared" ref="E171:P171" si="56">E173+E175+E177+E179+E181</f>
        <v>91697520</v>
      </c>
      <c r="F171" s="83">
        <f t="shared" si="56"/>
        <v>91697520</v>
      </c>
      <c r="G171" s="83">
        <f t="shared" si="56"/>
        <v>0</v>
      </c>
      <c r="H171" s="83">
        <f t="shared" si="56"/>
        <v>0</v>
      </c>
      <c r="I171" s="83">
        <f t="shared" si="56"/>
        <v>0</v>
      </c>
      <c r="J171" s="83">
        <f t="shared" si="56"/>
        <v>0</v>
      </c>
      <c r="K171" s="83">
        <f t="shared" si="56"/>
        <v>0</v>
      </c>
      <c r="L171" s="83">
        <f t="shared" si="56"/>
        <v>0</v>
      </c>
      <c r="M171" s="83">
        <f t="shared" si="56"/>
        <v>0</v>
      </c>
      <c r="N171" s="83">
        <f t="shared" si="56"/>
        <v>0</v>
      </c>
      <c r="O171" s="83">
        <f t="shared" si="56"/>
        <v>0</v>
      </c>
      <c r="P171" s="83">
        <f t="shared" si="56"/>
        <v>91697520</v>
      </c>
      <c r="Q171" s="271"/>
      <c r="R171" s="161"/>
      <c r="S171" s="161"/>
      <c r="T171" s="161"/>
    </row>
    <row r="172" spans="1:20" s="4" customFormat="1" ht="24.75" customHeight="1" x14ac:dyDescent="0.2">
      <c r="A172" s="81"/>
      <c r="B172" s="81">
        <f>'дод. 4'!A101</f>
        <v>0</v>
      </c>
      <c r="C172" s="81">
        <f>'дод. 4'!B101</f>
        <v>0</v>
      </c>
      <c r="D172" s="102" t="str">
        <f>'дод. 4'!C101</f>
        <v>у т.ч. за рахунок субвенцій з держбюджету</v>
      </c>
      <c r="E172" s="83">
        <f t="shared" ref="E172:P172" si="57">E174+E176+E178+E180+E182</f>
        <v>91697520</v>
      </c>
      <c r="F172" s="83">
        <f t="shared" si="57"/>
        <v>91697520</v>
      </c>
      <c r="G172" s="83">
        <f t="shared" si="57"/>
        <v>0</v>
      </c>
      <c r="H172" s="83">
        <f t="shared" si="57"/>
        <v>0</v>
      </c>
      <c r="I172" s="83">
        <f t="shared" si="57"/>
        <v>0</v>
      </c>
      <c r="J172" s="83">
        <f t="shared" si="57"/>
        <v>0</v>
      </c>
      <c r="K172" s="83">
        <f t="shared" si="57"/>
        <v>0</v>
      </c>
      <c r="L172" s="83">
        <f t="shared" si="57"/>
        <v>0</v>
      </c>
      <c r="M172" s="83">
        <f t="shared" si="57"/>
        <v>0</v>
      </c>
      <c r="N172" s="83">
        <f t="shared" si="57"/>
        <v>0</v>
      </c>
      <c r="O172" s="83">
        <f t="shared" si="57"/>
        <v>0</v>
      </c>
      <c r="P172" s="83">
        <f t="shared" si="57"/>
        <v>91697520</v>
      </c>
      <c r="Q172" s="251"/>
      <c r="R172" s="161"/>
      <c r="S172" s="161"/>
      <c r="T172" s="161"/>
    </row>
    <row r="173" spans="1:20" s="110" customFormat="1" ht="48.75" customHeight="1" x14ac:dyDescent="0.2">
      <c r="A173" s="78" t="s">
        <v>572</v>
      </c>
      <c r="B173" s="78" t="str">
        <f>'дод. 4'!A102</f>
        <v>3081</v>
      </c>
      <c r="C173" s="78" t="str">
        <f>'дод. 4'!B102</f>
        <v>1010</v>
      </c>
      <c r="D173" s="101" t="str">
        <f>'дод. 4'!C102</f>
        <v>Надання державної соціальної допомоги особам з інвалідністю з дитинства та дітям з інвалідністю</v>
      </c>
      <c r="E173" s="80">
        <f t="shared" ref="E173:E183" si="58">F173+I173</f>
        <v>62044050</v>
      </c>
      <c r="F173" s="80">
        <v>62044050</v>
      </c>
      <c r="G173" s="80"/>
      <c r="H173" s="80"/>
      <c r="I173" s="80"/>
      <c r="J173" s="80">
        <f>K173+N173</f>
        <v>0</v>
      </c>
      <c r="K173" s="80"/>
      <c r="L173" s="80"/>
      <c r="M173" s="80"/>
      <c r="N173" s="80"/>
      <c r="O173" s="80"/>
      <c r="P173" s="80">
        <f t="shared" ref="P173:P183" si="59">E173+J173</f>
        <v>62044050</v>
      </c>
      <c r="Q173" s="271"/>
      <c r="R173" s="155"/>
      <c r="S173" s="155"/>
      <c r="T173" s="155"/>
    </row>
    <row r="174" spans="1:20" s="110" customFormat="1" ht="25.5" customHeight="1" x14ac:dyDescent="0.2">
      <c r="A174" s="78"/>
      <c r="B174" s="78">
        <f>'дод. 4'!A103</f>
        <v>0</v>
      </c>
      <c r="C174" s="78">
        <f>'дод. 4'!B103</f>
        <v>0</v>
      </c>
      <c r="D174" s="101" t="str">
        <f>'дод. 4'!C103</f>
        <v>у т.ч. за рахунок субвенцій з держбюджету</v>
      </c>
      <c r="E174" s="80">
        <f t="shared" si="58"/>
        <v>62044050</v>
      </c>
      <c r="F174" s="80">
        <v>62044050</v>
      </c>
      <c r="G174" s="80"/>
      <c r="H174" s="80"/>
      <c r="I174" s="80"/>
      <c r="J174" s="80">
        <f t="shared" ref="J174:J182" si="60">K174+N174</f>
        <v>0</v>
      </c>
      <c r="K174" s="80"/>
      <c r="L174" s="80"/>
      <c r="M174" s="80"/>
      <c r="N174" s="80"/>
      <c r="O174" s="80"/>
      <c r="P174" s="80">
        <f t="shared" si="59"/>
        <v>62044050</v>
      </c>
      <c r="Q174" s="271"/>
      <c r="R174" s="155"/>
      <c r="S174" s="155"/>
      <c r="T174" s="155"/>
    </row>
    <row r="175" spans="1:20" s="110" customFormat="1" ht="63" customHeight="1" x14ac:dyDescent="0.2">
      <c r="A175" s="78" t="s">
        <v>573</v>
      </c>
      <c r="B175" s="78" t="str">
        <f>'дод. 4'!A104</f>
        <v>3082</v>
      </c>
      <c r="C175" s="78" t="str">
        <f>'дод. 4'!B104</f>
        <v>1010</v>
      </c>
      <c r="D175" s="101" t="str">
        <f>'дод. 4'!C104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5" s="80">
        <f t="shared" si="58"/>
        <v>12251650</v>
      </c>
      <c r="F175" s="80">
        <v>12251650</v>
      </c>
      <c r="G175" s="80"/>
      <c r="H175" s="80"/>
      <c r="I175" s="80"/>
      <c r="J175" s="80">
        <f t="shared" si="60"/>
        <v>0</v>
      </c>
      <c r="K175" s="80"/>
      <c r="L175" s="80"/>
      <c r="M175" s="80"/>
      <c r="N175" s="80"/>
      <c r="O175" s="80"/>
      <c r="P175" s="80">
        <f t="shared" si="59"/>
        <v>12251650</v>
      </c>
      <c r="Q175" s="271"/>
      <c r="R175" s="155"/>
      <c r="S175" s="155"/>
      <c r="T175" s="155"/>
    </row>
    <row r="176" spans="1:20" s="110" customFormat="1" ht="21" customHeight="1" x14ac:dyDescent="0.2">
      <c r="A176" s="78"/>
      <c r="B176" s="78">
        <f>'дод. 4'!A105</f>
        <v>0</v>
      </c>
      <c r="C176" s="78">
        <f>'дод. 4'!B105</f>
        <v>0</v>
      </c>
      <c r="D176" s="101" t="str">
        <f>'дод. 4'!C105</f>
        <v>у т.ч. за рахунок субвенцій з держбюджету</v>
      </c>
      <c r="E176" s="80">
        <f t="shared" si="58"/>
        <v>12251650</v>
      </c>
      <c r="F176" s="80">
        <v>12251650</v>
      </c>
      <c r="G176" s="80"/>
      <c r="H176" s="80"/>
      <c r="I176" s="80"/>
      <c r="J176" s="80">
        <f t="shared" si="60"/>
        <v>0</v>
      </c>
      <c r="K176" s="80"/>
      <c r="L176" s="80"/>
      <c r="M176" s="80"/>
      <c r="N176" s="80"/>
      <c r="O176" s="80"/>
      <c r="P176" s="80">
        <f t="shared" si="59"/>
        <v>12251650</v>
      </c>
      <c r="Q176" s="271"/>
      <c r="R176" s="155"/>
      <c r="S176" s="155"/>
      <c r="T176" s="155"/>
    </row>
    <row r="177" spans="1:20" s="110" customFormat="1" ht="51.75" customHeight="1" x14ac:dyDescent="0.2">
      <c r="A177" s="78" t="s">
        <v>574</v>
      </c>
      <c r="B177" s="78" t="str">
        <f>'дод. 4'!A106</f>
        <v>3083</v>
      </c>
      <c r="C177" s="78" t="str">
        <f>'дод. 4'!B106</f>
        <v>1010</v>
      </c>
      <c r="D177" s="101" t="str">
        <f>'дод. 4'!C106</f>
        <v>Надання допомоги по догляду за особами з інвалідністю I чи II групи внаслідок психічного розладу</v>
      </c>
      <c r="E177" s="80">
        <f t="shared" si="58"/>
        <v>11516480</v>
      </c>
      <c r="F177" s="80">
        <v>11516480</v>
      </c>
      <c r="G177" s="80"/>
      <c r="H177" s="80"/>
      <c r="I177" s="80"/>
      <c r="J177" s="80">
        <f t="shared" si="60"/>
        <v>0</v>
      </c>
      <c r="K177" s="80"/>
      <c r="L177" s="80"/>
      <c r="M177" s="80"/>
      <c r="N177" s="80"/>
      <c r="O177" s="80"/>
      <c r="P177" s="80">
        <f>E177+J177</f>
        <v>11516480</v>
      </c>
      <c r="Q177" s="271"/>
      <c r="R177" s="155"/>
      <c r="S177" s="155"/>
      <c r="T177" s="155"/>
    </row>
    <row r="178" spans="1:20" s="110" customFormat="1" ht="22.5" customHeight="1" x14ac:dyDescent="0.2">
      <c r="A178" s="78"/>
      <c r="B178" s="78">
        <f>'дод. 4'!A107</f>
        <v>0</v>
      </c>
      <c r="C178" s="78">
        <f>'дод. 4'!B107</f>
        <v>0</v>
      </c>
      <c r="D178" s="101" t="str">
        <f>'дод. 4'!C107</f>
        <v>у т.ч. за рахунок субвенцій з держбюджету</v>
      </c>
      <c r="E178" s="80">
        <f t="shared" si="58"/>
        <v>11516480</v>
      </c>
      <c r="F178" s="80">
        <v>11516480</v>
      </c>
      <c r="G178" s="80"/>
      <c r="H178" s="80"/>
      <c r="I178" s="80"/>
      <c r="J178" s="80">
        <f t="shared" si="60"/>
        <v>0</v>
      </c>
      <c r="K178" s="80"/>
      <c r="L178" s="80"/>
      <c r="M178" s="80"/>
      <c r="N178" s="80"/>
      <c r="O178" s="80"/>
      <c r="P178" s="80">
        <f>E178+J178</f>
        <v>11516480</v>
      </c>
      <c r="Q178" s="271"/>
      <c r="R178" s="155"/>
      <c r="S178" s="155"/>
      <c r="T178" s="155"/>
    </row>
    <row r="179" spans="1:20" s="110" customFormat="1" ht="62.25" customHeight="1" x14ac:dyDescent="0.2">
      <c r="A179" s="78" t="s">
        <v>575</v>
      </c>
      <c r="B179" s="78" t="str">
        <f>'дод. 4'!A108</f>
        <v>3084</v>
      </c>
      <c r="C179" s="78" t="str">
        <f>'дод. 4'!B108</f>
        <v>1040</v>
      </c>
      <c r="D179" s="101" t="str">
        <f>'дод. 4'!C108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9" s="80">
        <f t="shared" si="58"/>
        <v>5737070</v>
      </c>
      <c r="F179" s="80">
        <f>11267070-4115000-1415000</f>
        <v>5737070</v>
      </c>
      <c r="G179" s="80"/>
      <c r="H179" s="80"/>
      <c r="I179" s="80"/>
      <c r="J179" s="80">
        <f t="shared" si="60"/>
        <v>0</v>
      </c>
      <c r="K179" s="80"/>
      <c r="L179" s="80"/>
      <c r="M179" s="80"/>
      <c r="N179" s="80"/>
      <c r="O179" s="80"/>
      <c r="P179" s="80">
        <f>E179+J179</f>
        <v>5737070</v>
      </c>
      <c r="Q179" s="271"/>
      <c r="R179" s="155"/>
      <c r="S179" s="155"/>
      <c r="T179" s="155"/>
    </row>
    <row r="180" spans="1:20" s="110" customFormat="1" ht="27.75" customHeight="1" x14ac:dyDescent="0.2">
      <c r="A180" s="78"/>
      <c r="B180" s="78">
        <f>'дод. 4'!A109</f>
        <v>0</v>
      </c>
      <c r="C180" s="78">
        <f>'дод. 4'!B109</f>
        <v>0</v>
      </c>
      <c r="D180" s="101" t="str">
        <f>'дод. 4'!C109</f>
        <v>у т.ч. за рахунок субвенцій з держбюджету</v>
      </c>
      <c r="E180" s="80">
        <f t="shared" si="58"/>
        <v>5737070</v>
      </c>
      <c r="F180" s="80">
        <f>11267070-4115000-1415000</f>
        <v>5737070</v>
      </c>
      <c r="G180" s="80"/>
      <c r="H180" s="80"/>
      <c r="I180" s="80"/>
      <c r="J180" s="80">
        <f t="shared" si="60"/>
        <v>0</v>
      </c>
      <c r="K180" s="80"/>
      <c r="L180" s="80"/>
      <c r="M180" s="80"/>
      <c r="N180" s="80"/>
      <c r="O180" s="80"/>
      <c r="P180" s="80">
        <f>E180+J180</f>
        <v>5737070</v>
      </c>
      <c r="Q180" s="271"/>
      <c r="R180" s="155"/>
      <c r="S180" s="155"/>
      <c r="T180" s="155"/>
    </row>
    <row r="181" spans="1:20" s="110" customFormat="1" ht="60.75" customHeight="1" x14ac:dyDescent="0.2">
      <c r="A181" s="78" t="s">
        <v>576</v>
      </c>
      <c r="B181" s="78" t="str">
        <f>'дод. 4'!A110</f>
        <v>3085</v>
      </c>
      <c r="C181" s="78" t="str">
        <f>'дод. 4'!B110</f>
        <v>1010</v>
      </c>
      <c r="D181" s="101" t="str">
        <f>'дод. 4'!C110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1" s="80">
        <f t="shared" si="58"/>
        <v>148270</v>
      </c>
      <c r="F181" s="80">
        <v>148270</v>
      </c>
      <c r="G181" s="80"/>
      <c r="H181" s="80"/>
      <c r="I181" s="80"/>
      <c r="J181" s="80">
        <f t="shared" si="60"/>
        <v>0</v>
      </c>
      <c r="K181" s="80"/>
      <c r="L181" s="80"/>
      <c r="M181" s="80"/>
      <c r="N181" s="80"/>
      <c r="O181" s="80"/>
      <c r="P181" s="80">
        <f t="shared" si="59"/>
        <v>148270</v>
      </c>
      <c r="Q181" s="271"/>
      <c r="R181" s="155"/>
      <c r="S181" s="155"/>
      <c r="T181" s="155"/>
    </row>
    <row r="182" spans="1:20" s="110" customFormat="1" ht="24.75" customHeight="1" x14ac:dyDescent="0.2">
      <c r="A182" s="78"/>
      <c r="B182" s="78">
        <f>'дод. 4'!A111</f>
        <v>0</v>
      </c>
      <c r="C182" s="78">
        <f>'дод. 4'!B111</f>
        <v>0</v>
      </c>
      <c r="D182" s="101" t="str">
        <f>'дод. 4'!C111</f>
        <v>у т.ч. за рахунок субвенцій з держбюджету</v>
      </c>
      <c r="E182" s="80">
        <f t="shared" si="58"/>
        <v>148270</v>
      </c>
      <c r="F182" s="80">
        <v>148270</v>
      </c>
      <c r="G182" s="80"/>
      <c r="H182" s="80"/>
      <c r="I182" s="80"/>
      <c r="J182" s="80">
        <f t="shared" si="60"/>
        <v>0</v>
      </c>
      <c r="K182" s="80"/>
      <c r="L182" s="80"/>
      <c r="M182" s="80"/>
      <c r="N182" s="80"/>
      <c r="O182" s="80"/>
      <c r="P182" s="80">
        <f t="shared" si="59"/>
        <v>148270</v>
      </c>
      <c r="Q182" s="271"/>
      <c r="R182" s="155"/>
      <c r="S182" s="155"/>
      <c r="T182" s="155"/>
    </row>
    <row r="183" spans="1:20" s="4" customFormat="1" ht="30.75" customHeight="1" x14ac:dyDescent="0.2">
      <c r="A183" s="81" t="s">
        <v>501</v>
      </c>
      <c r="B183" s="81" t="str">
        <f>'дод. 4'!A112</f>
        <v>3090</v>
      </c>
      <c r="C183" s="81" t="str">
        <f>'дод. 4'!B112</f>
        <v>1030</v>
      </c>
      <c r="D183" s="102" t="str">
        <f>'дод. 4'!C112</f>
        <v>Видатки на поховання учасників бойових дій та осіб з інвалідністю внаслідок війни</v>
      </c>
      <c r="E183" s="83">
        <f t="shared" si="58"/>
        <v>200700</v>
      </c>
      <c r="F183" s="83">
        <v>200700</v>
      </c>
      <c r="G183" s="83"/>
      <c r="H183" s="83"/>
      <c r="I183" s="83"/>
      <c r="J183" s="83">
        <f>K183+N183</f>
        <v>0</v>
      </c>
      <c r="K183" s="83"/>
      <c r="L183" s="83"/>
      <c r="M183" s="83"/>
      <c r="N183" s="83"/>
      <c r="O183" s="83"/>
      <c r="P183" s="83">
        <f t="shared" si="59"/>
        <v>200700</v>
      </c>
      <c r="Q183" s="271"/>
      <c r="R183" s="153"/>
      <c r="S183" s="153"/>
      <c r="T183" s="153"/>
    </row>
    <row r="184" spans="1:20" s="4" customFormat="1" ht="62.25" customHeight="1" x14ac:dyDescent="0.2">
      <c r="A184" s="81" t="s">
        <v>299</v>
      </c>
      <c r="B184" s="81" t="str">
        <f>'дод. 4'!A113</f>
        <v>3100</v>
      </c>
      <c r="C184" s="81">
        <f>'дод. 4'!B113</f>
        <v>0</v>
      </c>
      <c r="D184" s="102" t="str">
        <f>'дод. 4'!C113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4" s="83">
        <f>E185</f>
        <v>9345375</v>
      </c>
      <c r="F184" s="83">
        <f t="shared" ref="F184:P184" si="61">F185</f>
        <v>9345375</v>
      </c>
      <c r="G184" s="83">
        <f t="shared" si="61"/>
        <v>7009500</v>
      </c>
      <c r="H184" s="83">
        <f t="shared" si="61"/>
        <v>193245</v>
      </c>
      <c r="I184" s="83">
        <f t="shared" si="61"/>
        <v>0</v>
      </c>
      <c r="J184" s="83">
        <f t="shared" si="61"/>
        <v>76400</v>
      </c>
      <c r="K184" s="83">
        <f t="shared" si="61"/>
        <v>57900</v>
      </c>
      <c r="L184" s="83">
        <f t="shared" si="61"/>
        <v>44700</v>
      </c>
      <c r="M184" s="83">
        <f t="shared" si="61"/>
        <v>0</v>
      </c>
      <c r="N184" s="83">
        <f t="shared" si="61"/>
        <v>18500</v>
      </c>
      <c r="O184" s="83">
        <f t="shared" si="61"/>
        <v>18500</v>
      </c>
      <c r="P184" s="83">
        <f t="shared" si="61"/>
        <v>9421775</v>
      </c>
      <c r="Q184" s="271"/>
      <c r="R184" s="154"/>
      <c r="S184" s="154"/>
      <c r="T184" s="154"/>
    </row>
    <row r="185" spans="1:20" s="110" customFormat="1" ht="60" x14ac:dyDescent="0.2">
      <c r="A185" s="78" t="s">
        <v>300</v>
      </c>
      <c r="B185" s="78" t="str">
        <f>'дод. 4'!A114</f>
        <v>3104</v>
      </c>
      <c r="C185" s="78" t="str">
        <f>'дод. 4'!B114</f>
        <v>1020</v>
      </c>
      <c r="D185" s="101" t="str">
        <f>'дод. 4'!C114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5" s="80">
        <f>F185+I185</f>
        <v>9345375</v>
      </c>
      <c r="F185" s="80">
        <f>9191915+74560+36400+15000+5000+5000+7000+2500+8000</f>
        <v>9345375</v>
      </c>
      <c r="G185" s="80">
        <f>6946900+62600</f>
        <v>7009500</v>
      </c>
      <c r="H185" s="80">
        <v>193245</v>
      </c>
      <c r="I185" s="80"/>
      <c r="J185" s="80">
        <f>K185+N185</f>
        <v>76400</v>
      </c>
      <c r="K185" s="80">
        <v>57900</v>
      </c>
      <c r="L185" s="80">
        <v>44700</v>
      </c>
      <c r="M185" s="80"/>
      <c r="N185" s="80">
        <v>18500</v>
      </c>
      <c r="O185" s="80">
        <v>18500</v>
      </c>
      <c r="P185" s="80">
        <f>E185+J185</f>
        <v>9421775</v>
      </c>
      <c r="Q185" s="271"/>
      <c r="R185" s="155"/>
      <c r="S185" s="155"/>
      <c r="T185" s="155"/>
    </row>
    <row r="186" spans="1:20" s="4" customFormat="1" ht="81.75" customHeight="1" x14ac:dyDescent="0.2">
      <c r="A186" s="81" t="s">
        <v>301</v>
      </c>
      <c r="B186" s="81" t="str">
        <f>'дод. 4'!A122</f>
        <v>3160</v>
      </c>
      <c r="C186" s="81">
        <f>'дод. 4'!B122</f>
        <v>1010</v>
      </c>
      <c r="D186" s="102" t="str">
        <f>'дод. 4'!C122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6" s="83">
        <f>F186+I186</f>
        <v>1671025</v>
      </c>
      <c r="F186" s="83">
        <f>1673920-2895</f>
        <v>1671025</v>
      </c>
      <c r="G186" s="83"/>
      <c r="H186" s="83"/>
      <c r="I186" s="83"/>
      <c r="J186" s="83">
        <f>O186</f>
        <v>0</v>
      </c>
      <c r="K186" s="83"/>
      <c r="L186" s="83"/>
      <c r="M186" s="83"/>
      <c r="N186" s="83"/>
      <c r="O186" s="83">
        <v>0</v>
      </c>
      <c r="P186" s="83">
        <f>J186+E186</f>
        <v>1671025</v>
      </c>
      <c r="Q186" s="271"/>
      <c r="R186" s="153"/>
      <c r="S186" s="153"/>
      <c r="T186" s="153"/>
    </row>
    <row r="187" spans="1:20" s="4" customFormat="1" ht="36" customHeight="1" x14ac:dyDescent="0.2">
      <c r="A187" s="81" t="s">
        <v>510</v>
      </c>
      <c r="B187" s="81" t="str">
        <f>'дод. 4'!A123</f>
        <v>3170</v>
      </c>
      <c r="C187" s="81">
        <f>'дод. 4'!B123</f>
        <v>0</v>
      </c>
      <c r="D187" s="102" t="str">
        <f>'дод. 4'!C123</f>
        <v>Забезпечення реалізації окремих програм для осіб з інвалідністю</v>
      </c>
      <c r="E187" s="83">
        <f t="shared" ref="E187:P187" si="62">E188+E189</f>
        <v>188864</v>
      </c>
      <c r="F187" s="83">
        <f t="shared" si="62"/>
        <v>188864</v>
      </c>
      <c r="G187" s="83">
        <f t="shared" si="62"/>
        <v>0</v>
      </c>
      <c r="H187" s="83">
        <f t="shared" si="62"/>
        <v>0</v>
      </c>
      <c r="I187" s="83">
        <f t="shared" si="62"/>
        <v>0</v>
      </c>
      <c r="J187" s="83">
        <f t="shared" si="62"/>
        <v>0</v>
      </c>
      <c r="K187" s="83">
        <f t="shared" si="62"/>
        <v>0</v>
      </c>
      <c r="L187" s="83">
        <f t="shared" si="62"/>
        <v>0</v>
      </c>
      <c r="M187" s="83">
        <f t="shared" si="62"/>
        <v>0</v>
      </c>
      <c r="N187" s="83">
        <f t="shared" si="62"/>
        <v>0</v>
      </c>
      <c r="O187" s="83">
        <f t="shared" si="62"/>
        <v>0</v>
      </c>
      <c r="P187" s="83">
        <f t="shared" si="62"/>
        <v>188864</v>
      </c>
      <c r="Q187" s="271"/>
      <c r="R187" s="161"/>
      <c r="S187" s="161"/>
      <c r="T187" s="161"/>
    </row>
    <row r="188" spans="1:20" s="110" customFormat="1" ht="62.25" customHeight="1" x14ac:dyDescent="0.2">
      <c r="A188" s="78" t="s">
        <v>511</v>
      </c>
      <c r="B188" s="81" t="str">
        <f>'дод. 4'!A124</f>
        <v>3171</v>
      </c>
      <c r="C188" s="81">
        <f>'дод. 4'!B124</f>
        <v>1010</v>
      </c>
      <c r="D188" s="101" t="str">
        <f>'дод. 4'!C124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8" s="80">
        <f>F188+I188</f>
        <v>188024</v>
      </c>
      <c r="F188" s="80">
        <v>188024</v>
      </c>
      <c r="G188" s="80"/>
      <c r="H188" s="80"/>
      <c r="I188" s="80"/>
      <c r="J188" s="80">
        <f>K188+N188</f>
        <v>0</v>
      </c>
      <c r="K188" s="80"/>
      <c r="L188" s="80"/>
      <c r="M188" s="80"/>
      <c r="N188" s="80"/>
      <c r="O188" s="80"/>
      <c r="P188" s="80">
        <f>E188+J188</f>
        <v>188024</v>
      </c>
      <c r="Q188" s="271"/>
      <c r="R188" s="155"/>
      <c r="S188" s="155"/>
      <c r="T188" s="155"/>
    </row>
    <row r="189" spans="1:20" s="110" customFormat="1" ht="33.75" customHeight="1" x14ac:dyDescent="0.2">
      <c r="A189" s="78" t="s">
        <v>512</v>
      </c>
      <c r="B189" s="81" t="str">
        <f>'дод. 4'!A125</f>
        <v>3172</v>
      </c>
      <c r="C189" s="81">
        <f>'дод. 4'!B125</f>
        <v>1010</v>
      </c>
      <c r="D189" s="101" t="str">
        <f>'дод. 4'!C125</f>
        <v>Встановлення телефонів особам з інвалідністю I і II груп</v>
      </c>
      <c r="E189" s="80">
        <f>F189+I189</f>
        <v>840</v>
      </c>
      <c r="F189" s="80">
        <v>840</v>
      </c>
      <c r="G189" s="80"/>
      <c r="H189" s="80"/>
      <c r="I189" s="80"/>
      <c r="J189" s="80">
        <f>K189+N189</f>
        <v>0</v>
      </c>
      <c r="K189" s="80"/>
      <c r="L189" s="80"/>
      <c r="M189" s="80"/>
      <c r="N189" s="80"/>
      <c r="O189" s="80"/>
      <c r="P189" s="80">
        <f>E189+J189</f>
        <v>840</v>
      </c>
      <c r="Q189" s="271"/>
      <c r="R189" s="155"/>
      <c r="S189" s="155"/>
      <c r="T189" s="155"/>
    </row>
    <row r="190" spans="1:20" s="4" customFormat="1" ht="79.5" customHeight="1" x14ac:dyDescent="0.2">
      <c r="A190" s="81" t="s">
        <v>302</v>
      </c>
      <c r="B190" s="81" t="str">
        <f>'дод. 4'!A126</f>
        <v>3180</v>
      </c>
      <c r="C190" s="81" t="str">
        <f>'дод. 4'!B126</f>
        <v>1060</v>
      </c>
      <c r="D190" s="102" t="str">
        <f>'дод. 4'!C126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90" s="83">
        <f>F190+I190</f>
        <v>1449125</v>
      </c>
      <c r="F190" s="83">
        <f>1242491+39900+166734</f>
        <v>1449125</v>
      </c>
      <c r="G190" s="83"/>
      <c r="H190" s="83"/>
      <c r="I190" s="83"/>
      <c r="J190" s="83">
        <f>K190+N190</f>
        <v>0</v>
      </c>
      <c r="K190" s="83"/>
      <c r="L190" s="83"/>
      <c r="M190" s="83"/>
      <c r="N190" s="83"/>
      <c r="O190" s="83"/>
      <c r="P190" s="83">
        <f>E190+J190</f>
        <v>1449125</v>
      </c>
      <c r="Q190" s="271"/>
      <c r="R190" s="153"/>
      <c r="S190" s="153"/>
      <c r="T190" s="153"/>
    </row>
    <row r="191" spans="1:20" s="4" customFormat="1" ht="31.5" customHeight="1" x14ac:dyDescent="0.2">
      <c r="A191" s="81" t="s">
        <v>485</v>
      </c>
      <c r="B191" s="81" t="str">
        <f>'дод. 4'!A127</f>
        <v>3190</v>
      </c>
      <c r="C191" s="81">
        <f>'дод. 4'!B127</f>
        <v>0</v>
      </c>
      <c r="D191" s="102" t="str">
        <f>'дод. 4'!C127</f>
        <v>Соціальний захист ветеранів війни та праці</v>
      </c>
      <c r="E191" s="83">
        <f>E192+E193</f>
        <v>3167816</v>
      </c>
      <c r="F191" s="83">
        <f t="shared" ref="F191:O191" si="63">F192+F193</f>
        <v>3167816</v>
      </c>
      <c r="G191" s="83">
        <f t="shared" si="63"/>
        <v>0</v>
      </c>
      <c r="H191" s="83">
        <f t="shared" si="63"/>
        <v>0</v>
      </c>
      <c r="I191" s="83">
        <f t="shared" si="63"/>
        <v>0</v>
      </c>
      <c r="J191" s="83">
        <f t="shared" si="63"/>
        <v>0</v>
      </c>
      <c r="K191" s="83">
        <f t="shared" si="63"/>
        <v>0</v>
      </c>
      <c r="L191" s="83">
        <f t="shared" si="63"/>
        <v>0</v>
      </c>
      <c r="M191" s="83">
        <f t="shared" si="63"/>
        <v>0</v>
      </c>
      <c r="N191" s="83">
        <f t="shared" si="63"/>
        <v>0</v>
      </c>
      <c r="O191" s="83">
        <f t="shared" si="63"/>
        <v>0</v>
      </c>
      <c r="P191" s="83">
        <f>P192+P193</f>
        <v>3167816</v>
      </c>
      <c r="Q191" s="271"/>
      <c r="R191" s="154"/>
      <c r="S191" s="154"/>
      <c r="T191" s="154"/>
    </row>
    <row r="192" spans="1:20" s="110" customFormat="1" ht="30" x14ac:dyDescent="0.2">
      <c r="A192" s="78" t="s">
        <v>486</v>
      </c>
      <c r="B192" s="78" t="str">
        <f>'дод. 4'!A128</f>
        <v>3191</v>
      </c>
      <c r="C192" s="78" t="str">
        <f>'дод. 4'!B128</f>
        <v>1030</v>
      </c>
      <c r="D192" s="101" t="str">
        <f>'дод. 4'!C128</f>
        <v>Інші видатки на соціальний захист ветеранів війни та праці</v>
      </c>
      <c r="E192" s="80">
        <f>F192+I192</f>
        <v>1892821</v>
      </c>
      <c r="F192" s="80">
        <f>1736305-10378+22407+188780-44293</f>
        <v>1892821</v>
      </c>
      <c r="G192" s="80"/>
      <c r="H192" s="80"/>
      <c r="I192" s="80"/>
      <c r="J192" s="80">
        <f t="shared" ref="J192:J211" si="64">K192+N192</f>
        <v>0</v>
      </c>
      <c r="K192" s="80"/>
      <c r="L192" s="80"/>
      <c r="M192" s="80"/>
      <c r="N192" s="80"/>
      <c r="O192" s="80"/>
      <c r="P192" s="80">
        <f t="shared" ref="P192:P205" si="65">E192+J192</f>
        <v>1892821</v>
      </c>
      <c r="Q192" s="271"/>
      <c r="R192" s="155"/>
      <c r="S192" s="155"/>
      <c r="T192" s="155"/>
    </row>
    <row r="193" spans="1:20" s="110" customFormat="1" ht="45" x14ac:dyDescent="0.2">
      <c r="A193" s="78" t="s">
        <v>487</v>
      </c>
      <c r="B193" s="78" t="str">
        <f>'дод. 4'!A129</f>
        <v>3192</v>
      </c>
      <c r="C193" s="78" t="str">
        <f>'дод. 4'!B129</f>
        <v>1030</v>
      </c>
      <c r="D193" s="101" t="str">
        <f>'дод. 4'!C129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3" s="80">
        <f>F193+I193</f>
        <v>1274995</v>
      </c>
      <c r="F193" s="80">
        <f>1192100+80000+2895</f>
        <v>1274995</v>
      </c>
      <c r="G193" s="80"/>
      <c r="H193" s="80"/>
      <c r="I193" s="80"/>
      <c r="J193" s="80">
        <f t="shared" si="64"/>
        <v>0</v>
      </c>
      <c r="K193" s="80"/>
      <c r="L193" s="80"/>
      <c r="M193" s="80"/>
      <c r="N193" s="80"/>
      <c r="O193" s="80"/>
      <c r="P193" s="80">
        <f t="shared" si="65"/>
        <v>1274995</v>
      </c>
      <c r="Q193" s="271"/>
      <c r="R193" s="155"/>
      <c r="S193" s="155"/>
      <c r="T193" s="155"/>
    </row>
    <row r="194" spans="1:20" s="4" customFormat="1" ht="41.25" customHeight="1" x14ac:dyDescent="0.2">
      <c r="A194" s="81" t="s">
        <v>303</v>
      </c>
      <c r="B194" s="81" t="str">
        <f>'дод. 4'!A130</f>
        <v>3200</v>
      </c>
      <c r="C194" s="81" t="str">
        <f>'дод. 4'!B130</f>
        <v>1090</v>
      </c>
      <c r="D194" s="102" t="str">
        <f>'дод. 4'!C130</f>
        <v xml:space="preserve">Забезпечення обробки інформації з нарахування та виплати допомог і компенсацій </v>
      </c>
      <c r="E194" s="83">
        <f>F194+I194</f>
        <v>75000</v>
      </c>
      <c r="F194" s="83">
        <v>75000</v>
      </c>
      <c r="G194" s="83"/>
      <c r="H194" s="83"/>
      <c r="I194" s="83"/>
      <c r="J194" s="83">
        <f t="shared" si="64"/>
        <v>0</v>
      </c>
      <c r="K194" s="83"/>
      <c r="L194" s="83"/>
      <c r="M194" s="83"/>
      <c r="N194" s="83"/>
      <c r="O194" s="83"/>
      <c r="P194" s="83">
        <f t="shared" si="65"/>
        <v>75000</v>
      </c>
      <c r="Q194" s="271"/>
      <c r="R194" s="153"/>
      <c r="S194" s="153"/>
      <c r="T194" s="153"/>
    </row>
    <row r="195" spans="1:20" s="4" customFormat="1" ht="19.5" customHeight="1" x14ac:dyDescent="0.2">
      <c r="A195" s="84" t="s">
        <v>488</v>
      </c>
      <c r="B195" s="84" t="str">
        <f>'дод. 4'!A131</f>
        <v>3210</v>
      </c>
      <c r="C195" s="84" t="str">
        <f>'дод. 4'!B131</f>
        <v>1050</v>
      </c>
      <c r="D195" s="105" t="str">
        <f>'дод. 4'!C131</f>
        <v>Організація та проведення громадських робіт</v>
      </c>
      <c r="E195" s="83">
        <f>F195+I195</f>
        <v>330000</v>
      </c>
      <c r="F195" s="83">
        <f>300000+30000</f>
        <v>330000</v>
      </c>
      <c r="G195" s="83">
        <f>245902+24590</f>
        <v>270492</v>
      </c>
      <c r="H195" s="83"/>
      <c r="I195" s="83"/>
      <c r="J195" s="83">
        <f t="shared" si="64"/>
        <v>0</v>
      </c>
      <c r="K195" s="83"/>
      <c r="L195" s="83"/>
      <c r="M195" s="83"/>
      <c r="N195" s="83"/>
      <c r="O195" s="83"/>
      <c r="P195" s="83">
        <f t="shared" si="65"/>
        <v>330000</v>
      </c>
      <c r="Q195" s="271"/>
      <c r="R195" s="153"/>
      <c r="S195" s="153"/>
      <c r="T195" s="153"/>
    </row>
    <row r="196" spans="1:20" s="4" customFormat="1" ht="30" customHeight="1" x14ac:dyDescent="0.2">
      <c r="A196" s="84" t="s">
        <v>658</v>
      </c>
      <c r="B196" s="84" t="s">
        <v>654</v>
      </c>
      <c r="C196" s="84"/>
      <c r="D196" s="105" t="s">
        <v>657</v>
      </c>
      <c r="E196" s="83">
        <f>E198</f>
        <v>0</v>
      </c>
      <c r="F196" s="83">
        <f>F198</f>
        <v>0</v>
      </c>
      <c r="G196" s="83"/>
      <c r="H196" s="83"/>
      <c r="I196" s="83"/>
      <c r="J196" s="83">
        <f t="shared" ref="J196:J203" si="66">K196+N196</f>
        <v>12613549.68</v>
      </c>
      <c r="K196" s="83">
        <f t="shared" ref="K196:M197" si="67">K198</f>
        <v>0</v>
      </c>
      <c r="L196" s="83">
        <f t="shared" si="67"/>
        <v>0</v>
      </c>
      <c r="M196" s="83">
        <f t="shared" si="67"/>
        <v>0</v>
      </c>
      <c r="N196" s="83">
        <f>N198+N200+N202</f>
        <v>12613549.68</v>
      </c>
      <c r="O196" s="83">
        <f>O198+O200+O202</f>
        <v>12613549.68</v>
      </c>
      <c r="P196" s="83">
        <f>E196+J196</f>
        <v>12613549.68</v>
      </c>
      <c r="Q196" s="271"/>
      <c r="R196" s="153"/>
      <c r="S196" s="153"/>
      <c r="T196" s="153"/>
    </row>
    <row r="197" spans="1:20" s="4" customFormat="1" ht="15" customHeight="1" x14ac:dyDescent="0.2">
      <c r="A197" s="85"/>
      <c r="B197" s="85"/>
      <c r="C197" s="85"/>
      <c r="D197" s="13" t="s">
        <v>416</v>
      </c>
      <c r="E197" s="77">
        <f>E199</f>
        <v>0</v>
      </c>
      <c r="F197" s="77">
        <f>F199</f>
        <v>0</v>
      </c>
      <c r="G197" s="77">
        <f>G199</f>
        <v>0</v>
      </c>
      <c r="H197" s="77">
        <f>H199</f>
        <v>0</v>
      </c>
      <c r="I197" s="77">
        <f>I199</f>
        <v>0</v>
      </c>
      <c r="J197" s="77">
        <f t="shared" si="66"/>
        <v>12613549.68</v>
      </c>
      <c r="K197" s="77">
        <f t="shared" si="67"/>
        <v>0</v>
      </c>
      <c r="L197" s="77">
        <f t="shared" si="67"/>
        <v>0</v>
      </c>
      <c r="M197" s="77">
        <f t="shared" si="67"/>
        <v>0</v>
      </c>
      <c r="N197" s="77">
        <f>N196</f>
        <v>12613549.68</v>
      </c>
      <c r="O197" s="77">
        <f>O196</f>
        <v>12613549.68</v>
      </c>
      <c r="P197" s="77">
        <f t="shared" si="65"/>
        <v>12613549.68</v>
      </c>
      <c r="Q197" s="271"/>
      <c r="R197" s="153"/>
      <c r="S197" s="153"/>
      <c r="T197" s="153"/>
    </row>
    <row r="198" spans="1:20" s="4" customFormat="1" ht="165.75" customHeight="1" x14ac:dyDescent="0.2">
      <c r="A198" s="111" t="s">
        <v>659</v>
      </c>
      <c r="B198" s="111" t="s">
        <v>655</v>
      </c>
      <c r="C198" s="111" t="s">
        <v>88</v>
      </c>
      <c r="D198" s="248" t="s">
        <v>656</v>
      </c>
      <c r="E198" s="83">
        <f>F198+I198</f>
        <v>0</v>
      </c>
      <c r="F198" s="83"/>
      <c r="G198" s="83"/>
      <c r="H198" s="83"/>
      <c r="I198" s="83"/>
      <c r="J198" s="80">
        <f t="shared" si="66"/>
        <v>6547535.21</v>
      </c>
      <c r="K198" s="83"/>
      <c r="L198" s="83"/>
      <c r="M198" s="83"/>
      <c r="N198" s="83">
        <f>4839581.21+1707954</f>
        <v>6547535.21</v>
      </c>
      <c r="O198" s="83">
        <f>4839581.21+1707954</f>
        <v>6547535.21</v>
      </c>
      <c r="P198" s="83">
        <f t="shared" ref="P198:P203" si="68">E198+J198</f>
        <v>6547535.21</v>
      </c>
      <c r="Q198" s="271"/>
      <c r="R198" s="153"/>
      <c r="S198" s="153"/>
      <c r="T198" s="153"/>
    </row>
    <row r="199" spans="1:20" s="110" customFormat="1" ht="19.5" customHeight="1" x14ac:dyDescent="0.2">
      <c r="A199" s="111"/>
      <c r="B199" s="111"/>
      <c r="C199" s="111"/>
      <c r="D199" s="112" t="str">
        <f>'дод. 4'!C135</f>
        <v>у т.ч. за рахунок субвенцій з держбюджету</v>
      </c>
      <c r="E199" s="80">
        <f>F199+I199</f>
        <v>0</v>
      </c>
      <c r="F199" s="80"/>
      <c r="G199" s="80"/>
      <c r="H199" s="80"/>
      <c r="I199" s="80"/>
      <c r="J199" s="80">
        <f t="shared" si="66"/>
        <v>6547535.21</v>
      </c>
      <c r="K199" s="80"/>
      <c r="L199" s="80"/>
      <c r="M199" s="80"/>
      <c r="N199" s="80">
        <f>4839581.21+1707954</f>
        <v>6547535.21</v>
      </c>
      <c r="O199" s="80">
        <f>4839581.21+1707954</f>
        <v>6547535.21</v>
      </c>
      <c r="P199" s="80">
        <f t="shared" si="68"/>
        <v>6547535.21</v>
      </c>
      <c r="Q199" s="271"/>
      <c r="R199" s="155"/>
      <c r="S199" s="155"/>
      <c r="T199" s="155"/>
    </row>
    <row r="200" spans="1:20" s="110" customFormat="1" ht="183.75" customHeight="1" x14ac:dyDescent="0.2">
      <c r="A200" s="111" t="s">
        <v>662</v>
      </c>
      <c r="B200" s="111" t="s">
        <v>665</v>
      </c>
      <c r="C200" s="111" t="s">
        <v>88</v>
      </c>
      <c r="D200" s="248" t="s">
        <v>664</v>
      </c>
      <c r="E200" s="83">
        <f>F200+I200</f>
        <v>0</v>
      </c>
      <c r="F200" s="80"/>
      <c r="G200" s="80"/>
      <c r="H200" s="80"/>
      <c r="I200" s="80"/>
      <c r="J200" s="80">
        <f t="shared" si="66"/>
        <v>2544480</v>
      </c>
      <c r="K200" s="80"/>
      <c r="L200" s="80"/>
      <c r="M200" s="80"/>
      <c r="N200" s="80">
        <v>2544480</v>
      </c>
      <c r="O200" s="80">
        <v>2544480</v>
      </c>
      <c r="P200" s="80">
        <f t="shared" si="68"/>
        <v>2544480</v>
      </c>
      <c r="Q200" s="271"/>
      <c r="R200" s="155"/>
      <c r="S200" s="155"/>
      <c r="T200" s="155"/>
    </row>
    <row r="201" spans="1:20" s="110" customFormat="1" ht="19.5" customHeight="1" x14ac:dyDescent="0.2">
      <c r="A201" s="111"/>
      <c r="B201" s="111"/>
      <c r="C201" s="111"/>
      <c r="D201" s="112" t="str">
        <f>'дод. 4'!C141</f>
        <v>у т.ч. за рахунок субвенцій з держбюджету</v>
      </c>
      <c r="E201" s="80"/>
      <c r="F201" s="80"/>
      <c r="G201" s="80"/>
      <c r="H201" s="80"/>
      <c r="I201" s="80"/>
      <c r="J201" s="80">
        <f t="shared" si="66"/>
        <v>2544480</v>
      </c>
      <c r="K201" s="80"/>
      <c r="L201" s="80"/>
      <c r="M201" s="80"/>
      <c r="N201" s="80">
        <v>2544480</v>
      </c>
      <c r="O201" s="80">
        <v>2544480</v>
      </c>
      <c r="P201" s="80">
        <f t="shared" si="68"/>
        <v>2544480</v>
      </c>
      <c r="Q201" s="271"/>
      <c r="R201" s="155"/>
      <c r="S201" s="155"/>
      <c r="T201" s="155"/>
    </row>
    <row r="202" spans="1:20" s="110" customFormat="1" ht="181.5" customHeight="1" x14ac:dyDescent="0.2">
      <c r="A202" s="111" t="s">
        <v>663</v>
      </c>
      <c r="B202" s="111" t="s">
        <v>667</v>
      </c>
      <c r="C202" s="111" t="s">
        <v>88</v>
      </c>
      <c r="D202" s="248" t="s">
        <v>666</v>
      </c>
      <c r="E202" s="83">
        <f>F202+I202</f>
        <v>0</v>
      </c>
      <c r="F202" s="80"/>
      <c r="G202" s="80"/>
      <c r="H202" s="80"/>
      <c r="I202" s="80"/>
      <c r="J202" s="80">
        <f t="shared" si="66"/>
        <v>3521534.4699999997</v>
      </c>
      <c r="K202" s="80"/>
      <c r="L202" s="80"/>
      <c r="M202" s="80"/>
      <c r="N202" s="80">
        <f>447711.09+3073823.38</f>
        <v>3521534.4699999997</v>
      </c>
      <c r="O202" s="80">
        <f>447711.09+3073823.38</f>
        <v>3521534.4699999997</v>
      </c>
      <c r="P202" s="80">
        <f t="shared" si="68"/>
        <v>3521534.4699999997</v>
      </c>
      <c r="Q202" s="271"/>
      <c r="R202" s="155"/>
      <c r="S202" s="155"/>
      <c r="T202" s="155"/>
    </row>
    <row r="203" spans="1:20" s="110" customFormat="1" ht="21.75" customHeight="1" x14ac:dyDescent="0.2">
      <c r="A203" s="111"/>
      <c r="B203" s="111"/>
      <c r="C203" s="111"/>
      <c r="D203" s="14" t="s">
        <v>416</v>
      </c>
      <c r="E203" s="80"/>
      <c r="F203" s="80"/>
      <c r="G203" s="80"/>
      <c r="H203" s="80"/>
      <c r="I203" s="80"/>
      <c r="J203" s="80">
        <f t="shared" si="66"/>
        <v>3521534.4699999997</v>
      </c>
      <c r="K203" s="80"/>
      <c r="L203" s="80"/>
      <c r="M203" s="80"/>
      <c r="N203" s="80">
        <f>447711.09+3073823.38</f>
        <v>3521534.4699999997</v>
      </c>
      <c r="O203" s="80">
        <f>447711.09+3073823.38</f>
        <v>3521534.4699999997</v>
      </c>
      <c r="P203" s="80">
        <f t="shared" si="68"/>
        <v>3521534.4699999997</v>
      </c>
      <c r="Q203" s="271"/>
      <c r="R203" s="155"/>
      <c r="S203" s="155"/>
      <c r="T203" s="155"/>
    </row>
    <row r="204" spans="1:20" s="4" customFormat="1" ht="157.5" customHeight="1" x14ac:dyDescent="0.2">
      <c r="A204" s="84" t="s">
        <v>577</v>
      </c>
      <c r="B204" s="139" t="str">
        <f>'дод. 4'!A140</f>
        <v>3230</v>
      </c>
      <c r="C204" s="139" t="str">
        <f>'дод. 4'!B140</f>
        <v>1040</v>
      </c>
      <c r="D204" s="82" t="s">
        <v>565</v>
      </c>
      <c r="E204" s="83">
        <f>F204+I204</f>
        <v>2495700</v>
      </c>
      <c r="F204" s="83">
        <f>2695700-200000</f>
        <v>2495700</v>
      </c>
      <c r="G204" s="83"/>
      <c r="H204" s="83"/>
      <c r="I204" s="83"/>
      <c r="J204" s="83">
        <f t="shared" si="64"/>
        <v>0</v>
      </c>
      <c r="K204" s="83"/>
      <c r="L204" s="83"/>
      <c r="M204" s="83"/>
      <c r="N204" s="83"/>
      <c r="O204" s="83"/>
      <c r="P204" s="83">
        <f t="shared" si="65"/>
        <v>2495700</v>
      </c>
      <c r="Q204" s="271"/>
      <c r="R204" s="153"/>
      <c r="S204" s="153"/>
      <c r="T204" s="153"/>
    </row>
    <row r="205" spans="1:20" s="4" customFormat="1" ht="19.5" customHeight="1" x14ac:dyDescent="0.2">
      <c r="A205" s="84"/>
      <c r="B205" s="139">
        <f>'дод. 4'!A141</f>
        <v>0</v>
      </c>
      <c r="C205" s="139">
        <f>'дод. 4'!B141</f>
        <v>0</v>
      </c>
      <c r="D205" s="105" t="str">
        <f>'дод. 4'!C141</f>
        <v>у т.ч. за рахунок субвенцій з держбюджету</v>
      </c>
      <c r="E205" s="83">
        <f>F205+I205</f>
        <v>2495700</v>
      </c>
      <c r="F205" s="83">
        <f>2695700-200000</f>
        <v>2495700</v>
      </c>
      <c r="G205" s="83"/>
      <c r="H205" s="83"/>
      <c r="I205" s="83"/>
      <c r="J205" s="83">
        <f t="shared" si="64"/>
        <v>0</v>
      </c>
      <c r="K205" s="83"/>
      <c r="L205" s="83"/>
      <c r="M205" s="83"/>
      <c r="N205" s="83"/>
      <c r="O205" s="83"/>
      <c r="P205" s="83">
        <f t="shared" si="65"/>
        <v>2495700</v>
      </c>
      <c r="Q205" s="271"/>
      <c r="R205" s="153"/>
      <c r="S205" s="153"/>
      <c r="T205" s="153"/>
    </row>
    <row r="206" spans="1:20" s="4" customFormat="1" ht="22.5" customHeight="1" x14ac:dyDescent="0.2">
      <c r="A206" s="81" t="s">
        <v>483</v>
      </c>
      <c r="B206" s="81" t="str">
        <f>'дод. 4'!A142</f>
        <v>3240</v>
      </c>
      <c r="C206" s="81">
        <f>'дод. 4'!B142</f>
        <v>0</v>
      </c>
      <c r="D206" s="102" t="str">
        <f>'дод. 4'!C142</f>
        <v>Інші заклади та заходи</v>
      </c>
      <c r="E206" s="83">
        <f>E207+E208</f>
        <v>41206448.700000003</v>
      </c>
      <c r="F206" s="83">
        <f t="shared" ref="F206:P206" si="69">F207+F208</f>
        <v>41206448.700000003</v>
      </c>
      <c r="G206" s="83">
        <f t="shared" si="69"/>
        <v>2594621</v>
      </c>
      <c r="H206" s="83">
        <f t="shared" si="69"/>
        <v>673281</v>
      </c>
      <c r="I206" s="83">
        <f t="shared" si="69"/>
        <v>0</v>
      </c>
      <c r="J206" s="83">
        <f t="shared" si="69"/>
        <v>380382</v>
      </c>
      <c r="K206" s="83">
        <f t="shared" si="69"/>
        <v>0</v>
      </c>
      <c r="L206" s="83">
        <f t="shared" si="69"/>
        <v>0</v>
      </c>
      <c r="M206" s="83">
        <f t="shared" si="69"/>
        <v>0</v>
      </c>
      <c r="N206" s="83">
        <f t="shared" si="69"/>
        <v>380382</v>
      </c>
      <c r="O206" s="83">
        <f t="shared" si="69"/>
        <v>380382</v>
      </c>
      <c r="P206" s="83">
        <f t="shared" si="69"/>
        <v>41586830.700000003</v>
      </c>
      <c r="Q206" s="271"/>
      <c r="R206" s="154"/>
      <c r="S206" s="154"/>
      <c r="T206" s="154"/>
    </row>
    <row r="207" spans="1:20" s="32" customFormat="1" ht="31.5" customHeight="1" x14ac:dyDescent="0.2">
      <c r="A207" s="78" t="s">
        <v>482</v>
      </c>
      <c r="B207" s="78" t="str">
        <f>'дод. 4'!A143</f>
        <v>3241</v>
      </c>
      <c r="C207" s="78" t="str">
        <f>'дод. 4'!B143</f>
        <v>1090</v>
      </c>
      <c r="D207" s="101" t="str">
        <f>'дод. 4'!C143</f>
        <v>Забезпечення діяльності інших закладів у сфері соціального захисту і соціального забезпечення</v>
      </c>
      <c r="E207" s="80">
        <f>F207+I207</f>
        <v>4304345</v>
      </c>
      <c r="F207" s="80">
        <f>4241010+52335+11000</f>
        <v>4304345</v>
      </c>
      <c r="G207" s="80">
        <f>2332125+43090+219406</f>
        <v>2594621</v>
      </c>
      <c r="H207" s="80">
        <v>673281</v>
      </c>
      <c r="I207" s="80"/>
      <c r="J207" s="80">
        <f t="shared" si="64"/>
        <v>305382</v>
      </c>
      <c r="K207" s="80"/>
      <c r="L207" s="80"/>
      <c r="M207" s="80"/>
      <c r="N207" s="80">
        <f>300000+5382</f>
        <v>305382</v>
      </c>
      <c r="O207" s="80">
        <f>300000+5382</f>
        <v>305382</v>
      </c>
      <c r="P207" s="80">
        <f>E207+J207</f>
        <v>4609727</v>
      </c>
      <c r="Q207" s="271"/>
      <c r="R207" s="155"/>
      <c r="S207" s="155"/>
      <c r="T207" s="155"/>
    </row>
    <row r="208" spans="1:20" s="32" customFormat="1" ht="33" customHeight="1" x14ac:dyDescent="0.2">
      <c r="A208" s="78" t="s">
        <v>484</v>
      </c>
      <c r="B208" s="78" t="str">
        <f>'дод. 4'!A144</f>
        <v>3242</v>
      </c>
      <c r="C208" s="78" t="str">
        <f>'дод. 4'!B144</f>
        <v>1090</v>
      </c>
      <c r="D208" s="101" t="str">
        <f>'дод. 4'!C144</f>
        <v>Інші заходи у сфері соціального захисту і соціального забезпечення</v>
      </c>
      <c r="E208" s="80">
        <f>F208+I208</f>
        <v>36902103.700000003</v>
      </c>
      <c r="F208" s="80">
        <f>11768030+16000000-4024-26631+175000+401100+353011+150000+274200+23310+76000+319750+1301500+10000-14400+445455+578335+190000+514525.7+22000+5000+10000+5000+10000+200000+280903+5000+5000+1100000+171900+40555+20000+290000+47000+11000+20000+6237+563763+153270+1155000-122441+195000+172755</f>
        <v>36902103.700000003</v>
      </c>
      <c r="G208" s="80"/>
      <c r="H208" s="80"/>
      <c r="I208" s="80"/>
      <c r="J208" s="80">
        <f t="shared" si="64"/>
        <v>75000</v>
      </c>
      <c r="K208" s="80"/>
      <c r="L208" s="80"/>
      <c r="M208" s="80"/>
      <c r="N208" s="80">
        <f>75000</f>
        <v>75000</v>
      </c>
      <c r="O208" s="80">
        <f>75000</f>
        <v>75000</v>
      </c>
      <c r="P208" s="80">
        <f>E208+J208</f>
        <v>36977103.700000003</v>
      </c>
      <c r="Q208" s="271"/>
      <c r="R208" s="155"/>
      <c r="S208" s="155"/>
      <c r="T208" s="155"/>
    </row>
    <row r="209" spans="1:20" s="110" customFormat="1" ht="19.5" customHeight="1" x14ac:dyDescent="0.2">
      <c r="A209" s="81" t="s">
        <v>304</v>
      </c>
      <c r="B209" s="81" t="str">
        <f>'дод. 4'!A218</f>
        <v>7640</v>
      </c>
      <c r="C209" s="81" t="str">
        <f>'дод. 4'!B218</f>
        <v>0470</v>
      </c>
      <c r="D209" s="102" t="str">
        <f>'дод. 4'!C218</f>
        <v>Заходи з енергозбереження</v>
      </c>
      <c r="E209" s="83">
        <f>F209+I209</f>
        <v>29000</v>
      </c>
      <c r="F209" s="83">
        <v>29000</v>
      </c>
      <c r="G209" s="83"/>
      <c r="H209" s="83"/>
      <c r="I209" s="83"/>
      <c r="J209" s="83">
        <f t="shared" si="64"/>
        <v>0</v>
      </c>
      <c r="K209" s="83"/>
      <c r="L209" s="83"/>
      <c r="M209" s="83"/>
      <c r="N209" s="83"/>
      <c r="O209" s="83"/>
      <c r="P209" s="83">
        <f>E209+J209</f>
        <v>29000</v>
      </c>
      <c r="Q209" s="271"/>
      <c r="R209" s="153"/>
      <c r="S209" s="153"/>
      <c r="T209" s="153"/>
    </row>
    <row r="210" spans="1:20" s="110" customFormat="1" ht="42" customHeight="1" x14ac:dyDescent="0.2">
      <c r="A210" s="81" t="s">
        <v>623</v>
      </c>
      <c r="B210" s="81" t="str">
        <f>'дод. 4'!A228</f>
        <v>8110</v>
      </c>
      <c r="C210" s="81" t="str">
        <f>'дод. 4'!B228</f>
        <v>0320</v>
      </c>
      <c r="D210" s="102" t="str">
        <f>'дод. 4'!C228</f>
        <v>Заходи із запобігання та ліквідації надзвичайних ситуацій та наслідків стихійного лиха</v>
      </c>
      <c r="E210" s="83">
        <f>F210+I210</f>
        <v>202750</v>
      </c>
      <c r="F210" s="83">
        <f>201950+800</f>
        <v>202750</v>
      </c>
      <c r="G210" s="83"/>
      <c r="H210" s="83"/>
      <c r="I210" s="83"/>
      <c r="J210" s="83">
        <f t="shared" si="64"/>
        <v>0</v>
      </c>
      <c r="K210" s="83"/>
      <c r="L210" s="83"/>
      <c r="M210" s="83"/>
      <c r="N210" s="83"/>
      <c r="O210" s="83"/>
      <c r="P210" s="83">
        <f>E210+J210</f>
        <v>202750</v>
      </c>
      <c r="Q210" s="271"/>
      <c r="R210" s="153"/>
      <c r="S210" s="153"/>
      <c r="T210" s="153"/>
    </row>
    <row r="211" spans="1:20" s="110" customFormat="1" ht="23.25" customHeight="1" x14ac:dyDescent="0.2">
      <c r="A211" s="81" t="s">
        <v>414</v>
      </c>
      <c r="B211" s="81" t="str">
        <f>'дод. 4'!A248</f>
        <v>9770</v>
      </c>
      <c r="C211" s="81" t="str">
        <f>'дод. 4'!B248</f>
        <v>0180</v>
      </c>
      <c r="D211" s="102" t="str">
        <f>'дод. 4'!C248</f>
        <v xml:space="preserve">Інші субвенції з місцевого бюджету </v>
      </c>
      <c r="E211" s="83">
        <f>F211+I211</f>
        <v>1011000</v>
      </c>
      <c r="F211" s="83">
        <f>611000+400000</f>
        <v>1011000</v>
      </c>
      <c r="G211" s="83"/>
      <c r="H211" s="83"/>
      <c r="I211" s="83"/>
      <c r="J211" s="83">
        <f t="shared" si="64"/>
        <v>0</v>
      </c>
      <c r="K211" s="83"/>
      <c r="L211" s="83"/>
      <c r="M211" s="83"/>
      <c r="N211" s="83"/>
      <c r="O211" s="83"/>
      <c r="P211" s="83">
        <f>E211+J211</f>
        <v>1011000</v>
      </c>
      <c r="Q211" s="271"/>
      <c r="R211" s="153"/>
      <c r="S211" s="153"/>
      <c r="T211" s="153"/>
    </row>
    <row r="212" spans="1:20" s="107" customFormat="1" ht="21" customHeight="1" x14ac:dyDescent="0.2">
      <c r="A212" s="114" t="s">
        <v>305</v>
      </c>
      <c r="B212" s="115"/>
      <c r="C212" s="115"/>
      <c r="D212" s="35" t="s">
        <v>59</v>
      </c>
      <c r="E212" s="46">
        <f>E213</f>
        <v>3809191</v>
      </c>
      <c r="F212" s="46">
        <f t="shared" ref="F212:P212" si="70">F213</f>
        <v>3809191</v>
      </c>
      <c r="G212" s="46">
        <f t="shared" si="70"/>
        <v>2969000</v>
      </c>
      <c r="H212" s="46">
        <f t="shared" si="70"/>
        <v>42411</v>
      </c>
      <c r="I212" s="46">
        <f t="shared" si="70"/>
        <v>0</v>
      </c>
      <c r="J212" s="46">
        <f t="shared" si="70"/>
        <v>809800</v>
      </c>
      <c r="K212" s="46">
        <f t="shared" si="70"/>
        <v>0</v>
      </c>
      <c r="L212" s="46">
        <f t="shared" si="70"/>
        <v>0</v>
      </c>
      <c r="M212" s="46">
        <f t="shared" si="70"/>
        <v>0</v>
      </c>
      <c r="N212" s="46">
        <f t="shared" si="70"/>
        <v>809800</v>
      </c>
      <c r="O212" s="46">
        <f t="shared" si="70"/>
        <v>809800</v>
      </c>
      <c r="P212" s="46">
        <f t="shared" si="70"/>
        <v>4618991</v>
      </c>
      <c r="Q212" s="271"/>
      <c r="R212" s="151"/>
      <c r="S212" s="151"/>
      <c r="T212" s="151"/>
    </row>
    <row r="213" spans="1:20" s="109" customFormat="1" ht="21.75" customHeight="1" x14ac:dyDescent="0.2">
      <c r="A213" s="116" t="s">
        <v>306</v>
      </c>
      <c r="B213" s="117"/>
      <c r="C213" s="117"/>
      <c r="D213" s="118" t="s">
        <v>59</v>
      </c>
      <c r="E213" s="74">
        <f>E214+E215+E217</f>
        <v>3809191</v>
      </c>
      <c r="F213" s="74">
        <f>F214+F215+F217</f>
        <v>3809191</v>
      </c>
      <c r="G213" s="74">
        <f>G214+G215</f>
        <v>2969000</v>
      </c>
      <c r="H213" s="74">
        <f>H214+H215</f>
        <v>42411</v>
      </c>
      <c r="I213" s="74">
        <f>I214+I215</f>
        <v>0</v>
      </c>
      <c r="J213" s="74">
        <f t="shared" ref="J213:P213" si="71">J214+J215+J217</f>
        <v>809800</v>
      </c>
      <c r="K213" s="74">
        <f t="shared" si="71"/>
        <v>0</v>
      </c>
      <c r="L213" s="74">
        <f t="shared" si="71"/>
        <v>0</v>
      </c>
      <c r="M213" s="74">
        <f t="shared" si="71"/>
        <v>0</v>
      </c>
      <c r="N213" s="74">
        <f t="shared" si="71"/>
        <v>809800</v>
      </c>
      <c r="O213" s="74">
        <f t="shared" si="71"/>
        <v>809800</v>
      </c>
      <c r="P213" s="74">
        <f t="shared" si="71"/>
        <v>4618991</v>
      </c>
      <c r="Q213" s="271"/>
      <c r="R213" s="160"/>
      <c r="S213" s="160"/>
      <c r="T213" s="160"/>
    </row>
    <row r="214" spans="1:20" s="4" customFormat="1" ht="45" x14ac:dyDescent="0.2">
      <c r="A214" s="75" t="s">
        <v>307</v>
      </c>
      <c r="B214" s="75" t="str">
        <f>'дод. 4'!A14</f>
        <v>0160</v>
      </c>
      <c r="C214" s="75" t="str">
        <f>'дод. 4'!B14</f>
        <v>0111</v>
      </c>
      <c r="D214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14" s="77">
        <f>F214+I214</f>
        <v>3729191</v>
      </c>
      <c r="F214" s="77">
        <f>3538900+211500-26400+5191</f>
        <v>3729191</v>
      </c>
      <c r="G214" s="77">
        <v>2969000</v>
      </c>
      <c r="H214" s="77">
        <f>37220+5191</f>
        <v>42411</v>
      </c>
      <c r="I214" s="77"/>
      <c r="J214" s="77">
        <f>K214+N214</f>
        <v>0</v>
      </c>
      <c r="K214" s="77"/>
      <c r="L214" s="77"/>
      <c r="M214" s="77"/>
      <c r="N214" s="77">
        <f>27000-27000</f>
        <v>0</v>
      </c>
      <c r="O214" s="77">
        <f>27000-27000</f>
        <v>0</v>
      </c>
      <c r="P214" s="77">
        <f>E214+J214</f>
        <v>3729191</v>
      </c>
      <c r="Q214" s="271"/>
      <c r="R214" s="153"/>
      <c r="S214" s="153"/>
      <c r="T214" s="153"/>
    </row>
    <row r="215" spans="1:20" s="4" customFormat="1" ht="30.75" customHeight="1" x14ac:dyDescent="0.2">
      <c r="A215" s="75" t="s">
        <v>308</v>
      </c>
      <c r="B215" s="75" t="str">
        <f>'дод. 4'!A115</f>
        <v>3110</v>
      </c>
      <c r="C215" s="75">
        <f>'дод. 4'!B115</f>
        <v>0</v>
      </c>
      <c r="D215" s="104" t="str">
        <f>'дод. 4'!C115</f>
        <v>Заклади і заходи з питань дітей та їх соціального захисту</v>
      </c>
      <c r="E215" s="77">
        <f>E216</f>
        <v>80000</v>
      </c>
      <c r="F215" s="77">
        <f t="shared" ref="F215:P215" si="72">F216</f>
        <v>80000</v>
      </c>
      <c r="G215" s="77">
        <f t="shared" si="72"/>
        <v>0</v>
      </c>
      <c r="H215" s="77">
        <f t="shared" si="72"/>
        <v>0</v>
      </c>
      <c r="I215" s="77">
        <f t="shared" si="72"/>
        <v>0</v>
      </c>
      <c r="J215" s="77">
        <f t="shared" si="72"/>
        <v>0</v>
      </c>
      <c r="K215" s="77">
        <f t="shared" si="72"/>
        <v>0</v>
      </c>
      <c r="L215" s="77">
        <f t="shared" si="72"/>
        <v>0</v>
      </c>
      <c r="M215" s="77">
        <f t="shared" si="72"/>
        <v>0</v>
      </c>
      <c r="N215" s="77">
        <f t="shared" si="72"/>
        <v>0</v>
      </c>
      <c r="O215" s="77">
        <f t="shared" si="72"/>
        <v>0</v>
      </c>
      <c r="P215" s="77">
        <f t="shared" si="72"/>
        <v>80000</v>
      </c>
      <c r="Q215" s="271"/>
      <c r="R215" s="154">
        <f>R216</f>
        <v>0</v>
      </c>
      <c r="S215" s="154">
        <f>S216</f>
        <v>0</v>
      </c>
      <c r="T215" s="154"/>
    </row>
    <row r="216" spans="1:20" s="110" customFormat="1" ht="36.75" customHeight="1" x14ac:dyDescent="0.2">
      <c r="A216" s="78" t="s">
        <v>309</v>
      </c>
      <c r="B216" s="78" t="str">
        <f>'дод. 4'!A116</f>
        <v>3112</v>
      </c>
      <c r="C216" s="78" t="str">
        <f>'дод. 4'!B116</f>
        <v>1040</v>
      </c>
      <c r="D216" s="101" t="str">
        <f>'дод. 4'!C116</f>
        <v>Заходи державної політики з питань дітей та їх соціального захисту</v>
      </c>
      <c r="E216" s="80">
        <f>F216+I216</f>
        <v>80000</v>
      </c>
      <c r="F216" s="80">
        <v>80000</v>
      </c>
      <c r="G216" s="80"/>
      <c r="H216" s="80"/>
      <c r="I216" s="80"/>
      <c r="J216" s="80">
        <f>K216+N216</f>
        <v>0</v>
      </c>
      <c r="K216" s="80"/>
      <c r="L216" s="80"/>
      <c r="M216" s="80"/>
      <c r="N216" s="80"/>
      <c r="O216" s="80"/>
      <c r="P216" s="80">
        <f>E216+J216</f>
        <v>80000</v>
      </c>
      <c r="Q216" s="271"/>
      <c r="R216" s="155"/>
      <c r="S216" s="155"/>
      <c r="T216" s="155"/>
    </row>
    <row r="217" spans="1:20" s="110" customFormat="1" ht="36.75" customHeight="1" x14ac:dyDescent="0.2">
      <c r="A217" s="75" t="s">
        <v>671</v>
      </c>
      <c r="B217" s="75" t="s">
        <v>226</v>
      </c>
      <c r="C217" s="78"/>
      <c r="D217" s="76" t="s">
        <v>227</v>
      </c>
      <c r="E217" s="80">
        <f>E218</f>
        <v>0</v>
      </c>
      <c r="F217" s="80">
        <f t="shared" ref="F217:P217" si="73">F218</f>
        <v>0</v>
      </c>
      <c r="G217" s="80">
        <f t="shared" si="73"/>
        <v>0</v>
      </c>
      <c r="H217" s="80">
        <f t="shared" si="73"/>
        <v>0</v>
      </c>
      <c r="I217" s="80">
        <f t="shared" si="73"/>
        <v>0</v>
      </c>
      <c r="J217" s="80">
        <f t="shared" si="73"/>
        <v>809800</v>
      </c>
      <c r="K217" s="80">
        <f t="shared" si="73"/>
        <v>0</v>
      </c>
      <c r="L217" s="80">
        <f t="shared" si="73"/>
        <v>0</v>
      </c>
      <c r="M217" s="80">
        <f t="shared" si="73"/>
        <v>0</v>
      </c>
      <c r="N217" s="80">
        <f t="shared" si="73"/>
        <v>809800</v>
      </c>
      <c r="O217" s="80">
        <f t="shared" si="73"/>
        <v>809800</v>
      </c>
      <c r="P217" s="80">
        <f t="shared" si="73"/>
        <v>809800</v>
      </c>
      <c r="Q217" s="271"/>
      <c r="R217" s="155"/>
      <c r="S217" s="155"/>
      <c r="T217" s="155"/>
    </row>
    <row r="218" spans="1:20" s="110" customFormat="1" ht="73.5" customHeight="1" x14ac:dyDescent="0.2">
      <c r="A218" s="75" t="s">
        <v>668</v>
      </c>
      <c r="B218" s="78" t="s">
        <v>670</v>
      </c>
      <c r="C218" s="78" t="s">
        <v>109</v>
      </c>
      <c r="D218" s="101" t="s">
        <v>669</v>
      </c>
      <c r="E218" s="80">
        <f>F218+I218</f>
        <v>0</v>
      </c>
      <c r="F218" s="80"/>
      <c r="G218" s="80"/>
      <c r="H218" s="80"/>
      <c r="I218" s="80"/>
      <c r="J218" s="80">
        <f>K218+N218</f>
        <v>809800</v>
      </c>
      <c r="K218" s="80"/>
      <c r="L218" s="80"/>
      <c r="M218" s="80"/>
      <c r="N218" s="80">
        <v>809800</v>
      </c>
      <c r="O218" s="80">
        <v>809800</v>
      </c>
      <c r="P218" s="80">
        <f>J218+E218</f>
        <v>809800</v>
      </c>
      <c r="Q218" s="271"/>
      <c r="R218" s="155"/>
      <c r="S218" s="155"/>
      <c r="T218" s="155"/>
    </row>
    <row r="219" spans="1:20" s="110" customFormat="1" ht="27.75" customHeight="1" x14ac:dyDescent="0.2">
      <c r="A219" s="75"/>
      <c r="B219" s="78"/>
      <c r="C219" s="78"/>
      <c r="D219" s="104" t="s">
        <v>416</v>
      </c>
      <c r="E219" s="80"/>
      <c r="F219" s="80"/>
      <c r="G219" s="80"/>
      <c r="H219" s="80"/>
      <c r="I219" s="80"/>
      <c r="J219" s="80">
        <f>J218</f>
        <v>809800</v>
      </c>
      <c r="K219" s="80"/>
      <c r="L219" s="80"/>
      <c r="M219" s="80"/>
      <c r="N219" s="80">
        <f>N218</f>
        <v>809800</v>
      </c>
      <c r="O219" s="80">
        <f>O218</f>
        <v>809800</v>
      </c>
      <c r="P219" s="80">
        <f>J219+E219</f>
        <v>809800</v>
      </c>
      <c r="Q219" s="271"/>
      <c r="R219" s="155"/>
      <c r="S219" s="155"/>
      <c r="T219" s="155"/>
    </row>
    <row r="220" spans="1:20" s="107" customFormat="1" ht="37.5" customHeight="1" x14ac:dyDescent="0.2">
      <c r="A220" s="106" t="s">
        <v>50</v>
      </c>
      <c r="B220" s="36"/>
      <c r="C220" s="36"/>
      <c r="D220" s="35" t="s">
        <v>61</v>
      </c>
      <c r="E220" s="46">
        <f>E221</f>
        <v>51813939</v>
      </c>
      <c r="F220" s="46">
        <f t="shared" ref="F220:P220" si="74">F221</f>
        <v>51813939</v>
      </c>
      <c r="G220" s="46">
        <f t="shared" si="74"/>
        <v>36885629</v>
      </c>
      <c r="H220" s="46">
        <f t="shared" si="74"/>
        <v>1962624</v>
      </c>
      <c r="I220" s="46">
        <f t="shared" si="74"/>
        <v>0</v>
      </c>
      <c r="J220" s="46">
        <f t="shared" si="74"/>
        <v>5791000</v>
      </c>
      <c r="K220" s="46">
        <f t="shared" si="74"/>
        <v>2135830</v>
      </c>
      <c r="L220" s="46">
        <f t="shared" si="74"/>
        <v>1726450</v>
      </c>
      <c r="M220" s="46">
        <f t="shared" si="74"/>
        <v>0</v>
      </c>
      <c r="N220" s="46">
        <f t="shared" si="74"/>
        <v>3655170</v>
      </c>
      <c r="O220" s="46">
        <f t="shared" si="74"/>
        <v>3650450</v>
      </c>
      <c r="P220" s="46">
        <f t="shared" si="74"/>
        <v>57604939</v>
      </c>
      <c r="Q220" s="271"/>
      <c r="R220" s="151">
        <f>R223+R224+R225+R227+R228+R233</f>
        <v>0</v>
      </c>
      <c r="S220" s="151">
        <f>S223+S224+S225+S227+S228+S233</f>
        <v>0</v>
      </c>
      <c r="T220" s="151"/>
    </row>
    <row r="221" spans="1:20" s="109" customFormat="1" ht="24.75" customHeight="1" x14ac:dyDescent="0.2">
      <c r="A221" s="108" t="s">
        <v>310</v>
      </c>
      <c r="B221" s="119"/>
      <c r="C221" s="119"/>
      <c r="D221" s="118" t="s">
        <v>61</v>
      </c>
      <c r="E221" s="74">
        <f>E223+E224+E225+E226+E233+E229</f>
        <v>51813939</v>
      </c>
      <c r="F221" s="74">
        <f>F223+F224+F225+F226+F233+F229</f>
        <v>51813939</v>
      </c>
      <c r="G221" s="74">
        <f>G223+G224+G225+G226+G233+G229</f>
        <v>36885629</v>
      </c>
      <c r="H221" s="74">
        <f>H223+H224+H225+H226+H233+H229</f>
        <v>1962624</v>
      </c>
      <c r="I221" s="74">
        <f>I223+I224+I225+I226+I233</f>
        <v>0</v>
      </c>
      <c r="J221" s="74">
        <f>J223+J224+J225+J226+J233+J229</f>
        <v>5791000</v>
      </c>
      <c r="K221" s="74">
        <f>K223+K224+K225+K226+K233+K229</f>
        <v>2135830</v>
      </c>
      <c r="L221" s="74">
        <f>L223+L224+L225+L226+L233+L229</f>
        <v>1726450</v>
      </c>
      <c r="M221" s="74">
        <f>M223+M224+M225+M226+M233</f>
        <v>0</v>
      </c>
      <c r="N221" s="74">
        <f>N223+N224+N225+N226+N233+N229</f>
        <v>3655170</v>
      </c>
      <c r="O221" s="74">
        <f>O223+O224+O225+O226+O233+O229</f>
        <v>3650450</v>
      </c>
      <c r="P221" s="74">
        <f>P223+P224+P225+P226+P233+P229</f>
        <v>57604939</v>
      </c>
      <c r="Q221" s="271"/>
      <c r="R221" s="160">
        <f>R223+R224+R225+R226+R233</f>
        <v>0</v>
      </c>
      <c r="S221" s="160">
        <f>S223+S224+S225+S226+S233</f>
        <v>0</v>
      </c>
      <c r="T221" s="160"/>
    </row>
    <row r="222" spans="1:20" s="109" customFormat="1" ht="24.75" customHeight="1" x14ac:dyDescent="0.2">
      <c r="A222" s="108"/>
      <c r="B222" s="119"/>
      <c r="C222" s="119"/>
      <c r="D222" s="118" t="s">
        <v>416</v>
      </c>
      <c r="E222" s="74">
        <f>E232</f>
        <v>0</v>
      </c>
      <c r="F222" s="74">
        <f t="shared" ref="F222:P222" si="75">F232</f>
        <v>0</v>
      </c>
      <c r="G222" s="74">
        <f t="shared" si="75"/>
        <v>0</v>
      </c>
      <c r="H222" s="74">
        <f t="shared" si="75"/>
        <v>0</v>
      </c>
      <c r="I222" s="74">
        <f t="shared" si="75"/>
        <v>0</v>
      </c>
      <c r="J222" s="74">
        <f t="shared" si="75"/>
        <v>500000</v>
      </c>
      <c r="K222" s="74">
        <f t="shared" si="75"/>
        <v>0</v>
      </c>
      <c r="L222" s="74">
        <f t="shared" si="75"/>
        <v>0</v>
      </c>
      <c r="M222" s="74">
        <f t="shared" si="75"/>
        <v>0</v>
      </c>
      <c r="N222" s="74">
        <f t="shared" si="75"/>
        <v>500000</v>
      </c>
      <c r="O222" s="74">
        <f t="shared" si="75"/>
        <v>500000</v>
      </c>
      <c r="P222" s="74">
        <f t="shared" si="75"/>
        <v>500000</v>
      </c>
      <c r="Q222" s="271"/>
      <c r="R222" s="160"/>
      <c r="S222" s="160"/>
      <c r="T222" s="160"/>
    </row>
    <row r="223" spans="1:20" s="4" customFormat="1" ht="51" customHeight="1" x14ac:dyDescent="0.2">
      <c r="A223" s="75" t="s">
        <v>220</v>
      </c>
      <c r="B223" s="75" t="str">
        <f>'дод. 4'!A14</f>
        <v>0160</v>
      </c>
      <c r="C223" s="75" t="str">
        <f>'дод. 4'!B14</f>
        <v>0111</v>
      </c>
      <c r="D223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3" s="77">
        <f>F223+I223</f>
        <v>1423100</v>
      </c>
      <c r="F223" s="77">
        <f>1461500-38400</f>
        <v>1423100</v>
      </c>
      <c r="G223" s="77">
        <v>1101670</v>
      </c>
      <c r="H223" s="77">
        <v>14960</v>
      </c>
      <c r="I223" s="77"/>
      <c r="J223" s="77">
        <f t="shared" ref="J223:J233" si="76">K223+N223</f>
        <v>10850</v>
      </c>
      <c r="K223" s="77"/>
      <c r="L223" s="77"/>
      <c r="M223" s="77"/>
      <c r="N223" s="77">
        <f>10000+850</f>
        <v>10850</v>
      </c>
      <c r="O223" s="77">
        <f>10000+850</f>
        <v>10850</v>
      </c>
      <c r="P223" s="77">
        <f>E223+J223</f>
        <v>1433950</v>
      </c>
      <c r="Q223" s="271"/>
      <c r="R223" s="153"/>
      <c r="S223" s="153"/>
      <c r="T223" s="153"/>
    </row>
    <row r="224" spans="1:20" s="4" customFormat="1" ht="48.75" customHeight="1" x14ac:dyDescent="0.2">
      <c r="A224" s="75" t="s">
        <v>351</v>
      </c>
      <c r="B224" s="75" t="str">
        <f>'дод. 4'!A26</f>
        <v>1100</v>
      </c>
      <c r="C224" s="75" t="str">
        <f>'дод. 4'!B26</f>
        <v>0960</v>
      </c>
      <c r="D224" s="104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4" s="77">
        <f>F224+I224</f>
        <v>29930652</v>
      </c>
      <c r="F224" s="77">
        <f>29741300+75000+45968+20000+10000+5000+10000+23384</f>
        <v>29930652</v>
      </c>
      <c r="G224" s="77">
        <v>23498774</v>
      </c>
      <c r="H224" s="77">
        <f>711900+23384</f>
        <v>735284</v>
      </c>
      <c r="I224" s="77"/>
      <c r="J224" s="77">
        <f t="shared" si="76"/>
        <v>2310850</v>
      </c>
      <c r="K224" s="77">
        <f>2108830</f>
        <v>2108830</v>
      </c>
      <c r="L224" s="77">
        <v>1721450</v>
      </c>
      <c r="M224" s="77"/>
      <c r="N224" s="77">
        <f>200000+4720+12300-15000</f>
        <v>202020</v>
      </c>
      <c r="O224" s="77">
        <f>200000+12300-15000</f>
        <v>197300</v>
      </c>
      <c r="P224" s="77">
        <f>E224+J224</f>
        <v>32241502</v>
      </c>
      <c r="Q224" s="271"/>
      <c r="R224" s="153"/>
      <c r="S224" s="153"/>
      <c r="T224" s="153"/>
    </row>
    <row r="225" spans="1:20" s="4" customFormat="1" ht="21" customHeight="1" x14ac:dyDescent="0.2">
      <c r="A225" s="75" t="s">
        <v>311</v>
      </c>
      <c r="B225" s="75" t="str">
        <f>'дод. 4'!A146</f>
        <v>4030</v>
      </c>
      <c r="C225" s="75" t="str">
        <f>'дод. 4'!B146</f>
        <v>0824</v>
      </c>
      <c r="D225" s="104" t="str">
        <f>'дод. 4'!C146</f>
        <v>Забезпечення діяльності бібліотек</v>
      </c>
      <c r="E225" s="77">
        <f>F225+I225</f>
        <v>16455555</v>
      </c>
      <c r="F225" s="77">
        <f>15733720+338000+149950+1000+4500+57000+56376-5000+12000+15000+10000+6000+77009</f>
        <v>16455555</v>
      </c>
      <c r="G225" s="77">
        <v>11407051</v>
      </c>
      <c r="H225" s="77">
        <f>1115260+77009</f>
        <v>1192269</v>
      </c>
      <c r="I225" s="77"/>
      <c r="J225" s="77">
        <f t="shared" si="76"/>
        <v>1257150</v>
      </c>
      <c r="K225" s="77">
        <f>27000</f>
        <v>27000</v>
      </c>
      <c r="L225" s="77">
        <v>5000</v>
      </c>
      <c r="M225" s="77"/>
      <c r="N225" s="77">
        <f>300000+850050+23000+47100+10000</f>
        <v>1230150</v>
      </c>
      <c r="O225" s="77">
        <f>300000+850050+23000+47100+10000</f>
        <v>1230150</v>
      </c>
      <c r="P225" s="77">
        <f>E225+J225</f>
        <v>17712705</v>
      </c>
      <c r="Q225" s="271"/>
      <c r="R225" s="153"/>
      <c r="S225" s="153"/>
      <c r="T225" s="153"/>
    </row>
    <row r="226" spans="1:20" s="4" customFormat="1" ht="38.25" customHeight="1" x14ac:dyDescent="0.2">
      <c r="A226" s="75" t="s">
        <v>312</v>
      </c>
      <c r="B226" s="75" t="str">
        <f>'дод. 4'!A148</f>
        <v>4080</v>
      </c>
      <c r="C226" s="75">
        <f>'дод. 4'!B148</f>
        <v>0</v>
      </c>
      <c r="D226" s="104" t="str">
        <f>'дод. 4'!C148</f>
        <v>Інші заклади та заходи в галузі культури і мистецтва</v>
      </c>
      <c r="E226" s="77">
        <f>E227+E228</f>
        <v>3944632</v>
      </c>
      <c r="F226" s="77">
        <f t="shared" ref="F226:P226" si="77">F227+F228</f>
        <v>3944632</v>
      </c>
      <c r="G226" s="77">
        <f t="shared" si="77"/>
        <v>878134</v>
      </c>
      <c r="H226" s="77">
        <f t="shared" si="77"/>
        <v>20111</v>
      </c>
      <c r="I226" s="77">
        <f t="shared" si="77"/>
        <v>0</v>
      </c>
      <c r="J226" s="77">
        <f t="shared" si="77"/>
        <v>49150</v>
      </c>
      <c r="K226" s="77">
        <f t="shared" si="77"/>
        <v>0</v>
      </c>
      <c r="L226" s="77">
        <f t="shared" si="77"/>
        <v>0</v>
      </c>
      <c r="M226" s="77">
        <f t="shared" si="77"/>
        <v>0</v>
      </c>
      <c r="N226" s="77">
        <f t="shared" si="77"/>
        <v>49150</v>
      </c>
      <c r="O226" s="77">
        <f t="shared" si="77"/>
        <v>49150</v>
      </c>
      <c r="P226" s="77">
        <f t="shared" si="77"/>
        <v>3993782</v>
      </c>
      <c r="Q226" s="271"/>
      <c r="R226" s="154"/>
      <c r="S226" s="154"/>
      <c r="T226" s="154"/>
    </row>
    <row r="227" spans="1:20" s="110" customFormat="1" ht="33.75" customHeight="1" x14ac:dyDescent="0.2">
      <c r="A227" s="88">
        <v>1014081</v>
      </c>
      <c r="B227" s="78" t="str">
        <f>'дод. 4'!A149</f>
        <v>4081</v>
      </c>
      <c r="C227" s="78" t="str">
        <f>'дод. 4'!B149</f>
        <v>0829</v>
      </c>
      <c r="D227" s="101" t="str">
        <f>'дод. 4'!C149</f>
        <v xml:space="preserve">Забезпечення діяльності інших закладів в галузі культури і мистецтва </v>
      </c>
      <c r="E227" s="80">
        <f>F227+I227</f>
        <v>1212180</v>
      </c>
      <c r="F227" s="80">
        <v>1212180</v>
      </c>
      <c r="G227" s="80">
        <v>878134</v>
      </c>
      <c r="H227" s="80">
        <v>20111</v>
      </c>
      <c r="I227" s="80"/>
      <c r="J227" s="80">
        <f t="shared" si="76"/>
        <v>49150</v>
      </c>
      <c r="K227" s="80"/>
      <c r="L227" s="80"/>
      <c r="M227" s="80"/>
      <c r="N227" s="80">
        <f>50000-850</f>
        <v>49150</v>
      </c>
      <c r="O227" s="80">
        <f>50000-850</f>
        <v>49150</v>
      </c>
      <c r="P227" s="80">
        <f>E227+J227</f>
        <v>1261330</v>
      </c>
      <c r="Q227" s="271"/>
      <c r="R227" s="155"/>
      <c r="S227" s="155"/>
      <c r="T227" s="155"/>
    </row>
    <row r="228" spans="1:20" s="110" customFormat="1" ht="25.5" customHeight="1" x14ac:dyDescent="0.2">
      <c r="A228" s="88">
        <v>1014082</v>
      </c>
      <c r="B228" s="78" t="str">
        <f>'дод. 4'!A150</f>
        <v>4082</v>
      </c>
      <c r="C228" s="78" t="str">
        <f>'дод. 4'!B150</f>
        <v>0829</v>
      </c>
      <c r="D228" s="101" t="str">
        <f>'дод. 4'!C150</f>
        <v>Інші заходи в галузі культури і мистецтва</v>
      </c>
      <c r="E228" s="80">
        <f>F228+I228</f>
        <v>2732452</v>
      </c>
      <c r="F228" s="80">
        <f>1900000+193952+7500+186000+50000+70000+5000+10000+210000+100000</f>
        <v>2732452</v>
      </c>
      <c r="G228" s="80"/>
      <c r="H228" s="80"/>
      <c r="I228" s="80"/>
      <c r="J228" s="80">
        <f t="shared" si="76"/>
        <v>0</v>
      </c>
      <c r="K228" s="80"/>
      <c r="L228" s="80"/>
      <c r="M228" s="80"/>
      <c r="N228" s="80"/>
      <c r="O228" s="80"/>
      <c r="P228" s="80">
        <f>E228+J228</f>
        <v>2732452</v>
      </c>
      <c r="Q228" s="271"/>
      <c r="R228" s="155"/>
      <c r="S228" s="155"/>
      <c r="T228" s="155"/>
    </row>
    <row r="229" spans="1:20" s="110" customFormat="1" ht="25.5" customHeight="1" x14ac:dyDescent="0.2">
      <c r="A229" s="5" t="s">
        <v>660</v>
      </c>
      <c r="B229" s="75" t="s">
        <v>598</v>
      </c>
      <c r="C229" s="78"/>
      <c r="D229" s="104" t="s">
        <v>600</v>
      </c>
      <c r="E229" s="80">
        <f>E231</f>
        <v>0</v>
      </c>
      <c r="F229" s="80">
        <f t="shared" ref="F229:P229" si="78">F231</f>
        <v>0</v>
      </c>
      <c r="G229" s="80">
        <f t="shared" si="78"/>
        <v>0</v>
      </c>
      <c r="H229" s="80">
        <f t="shared" si="78"/>
        <v>0</v>
      </c>
      <c r="I229" s="80">
        <f t="shared" si="78"/>
        <v>0</v>
      </c>
      <c r="J229" s="77">
        <f t="shared" si="78"/>
        <v>515000</v>
      </c>
      <c r="K229" s="80">
        <f t="shared" si="78"/>
        <v>0</v>
      </c>
      <c r="L229" s="80">
        <f t="shared" si="78"/>
        <v>0</v>
      </c>
      <c r="M229" s="80">
        <f t="shared" si="78"/>
        <v>0</v>
      </c>
      <c r="N229" s="77">
        <f t="shared" si="78"/>
        <v>515000</v>
      </c>
      <c r="O229" s="77">
        <f t="shared" si="78"/>
        <v>515000</v>
      </c>
      <c r="P229" s="77">
        <f t="shared" si="78"/>
        <v>515000</v>
      </c>
      <c r="Q229" s="271"/>
      <c r="R229" s="155"/>
      <c r="S229" s="155"/>
      <c r="T229" s="155"/>
    </row>
    <row r="230" spans="1:20" s="110" customFormat="1" ht="25.5" customHeight="1" x14ac:dyDescent="0.2">
      <c r="A230" s="88"/>
      <c r="B230" s="78"/>
      <c r="C230" s="78"/>
      <c r="D230" s="104" t="s">
        <v>416</v>
      </c>
      <c r="E230" s="80">
        <f>E232</f>
        <v>0</v>
      </c>
      <c r="F230" s="80">
        <f t="shared" ref="F230:P230" si="79">F232</f>
        <v>0</v>
      </c>
      <c r="G230" s="80">
        <f t="shared" si="79"/>
        <v>0</v>
      </c>
      <c r="H230" s="80">
        <f t="shared" si="79"/>
        <v>0</v>
      </c>
      <c r="I230" s="80">
        <f t="shared" si="79"/>
        <v>0</v>
      </c>
      <c r="J230" s="80">
        <f t="shared" si="79"/>
        <v>500000</v>
      </c>
      <c r="K230" s="80">
        <f t="shared" si="79"/>
        <v>0</v>
      </c>
      <c r="L230" s="80">
        <f t="shared" si="79"/>
        <v>0</v>
      </c>
      <c r="M230" s="80">
        <f t="shared" si="79"/>
        <v>0</v>
      </c>
      <c r="N230" s="80">
        <f t="shared" si="79"/>
        <v>500000</v>
      </c>
      <c r="O230" s="80">
        <f t="shared" si="79"/>
        <v>500000</v>
      </c>
      <c r="P230" s="80">
        <f t="shared" si="79"/>
        <v>500000</v>
      </c>
      <c r="Q230" s="271"/>
      <c r="R230" s="155"/>
      <c r="S230" s="155"/>
      <c r="T230" s="155"/>
    </row>
    <row r="231" spans="1:20" s="110" customFormat="1" ht="29.45" customHeight="1" x14ac:dyDescent="0.2">
      <c r="A231" s="7" t="s">
        <v>661</v>
      </c>
      <c r="B231" s="78" t="s">
        <v>599</v>
      </c>
      <c r="C231" s="78" t="s">
        <v>126</v>
      </c>
      <c r="D231" s="101" t="s">
        <v>601</v>
      </c>
      <c r="E231" s="80"/>
      <c r="F231" s="80"/>
      <c r="G231" s="80"/>
      <c r="H231" s="80"/>
      <c r="I231" s="80"/>
      <c r="J231" s="80">
        <f>K231+N231</f>
        <v>515000</v>
      </c>
      <c r="K231" s="80"/>
      <c r="L231" s="80"/>
      <c r="M231" s="80"/>
      <c r="N231" s="80">
        <f>15000+500000</f>
        <v>515000</v>
      </c>
      <c r="O231" s="80">
        <f>15000+500000</f>
        <v>515000</v>
      </c>
      <c r="P231" s="80">
        <f>J231+E231</f>
        <v>515000</v>
      </c>
      <c r="Q231" s="271"/>
      <c r="R231" s="155"/>
      <c r="S231" s="155"/>
      <c r="T231" s="155"/>
    </row>
    <row r="232" spans="1:20" s="110" customFormat="1" ht="25.5" customHeight="1" x14ac:dyDescent="0.2">
      <c r="A232" s="88"/>
      <c r="B232" s="78"/>
      <c r="C232" s="78"/>
      <c r="D232" s="101" t="s">
        <v>416</v>
      </c>
      <c r="E232" s="80"/>
      <c r="F232" s="80"/>
      <c r="G232" s="80"/>
      <c r="H232" s="80"/>
      <c r="I232" s="80"/>
      <c r="J232" s="80">
        <f>N232+K232</f>
        <v>500000</v>
      </c>
      <c r="K232" s="80"/>
      <c r="L232" s="80"/>
      <c r="M232" s="80"/>
      <c r="N232" s="80">
        <v>500000</v>
      </c>
      <c r="O232" s="80">
        <v>500000</v>
      </c>
      <c r="P232" s="80">
        <f>J232+E232</f>
        <v>500000</v>
      </c>
      <c r="Q232" s="271"/>
      <c r="R232" s="155"/>
      <c r="S232" s="155"/>
      <c r="T232" s="155"/>
    </row>
    <row r="233" spans="1:20" s="4" customFormat="1" ht="22.5" customHeight="1" x14ac:dyDescent="0.2">
      <c r="A233" s="75" t="s">
        <v>233</v>
      </c>
      <c r="B233" s="75" t="str">
        <f>'дод. 4'!A218</f>
        <v>7640</v>
      </c>
      <c r="C233" s="75" t="str">
        <f>'дод. 4'!B218</f>
        <v>0470</v>
      </c>
      <c r="D233" s="102" t="str">
        <f>'дод. 4'!C218</f>
        <v>Заходи з енергозбереження</v>
      </c>
      <c r="E233" s="77">
        <f>F233+I233</f>
        <v>60000</v>
      </c>
      <c r="F233" s="77">
        <v>60000</v>
      </c>
      <c r="G233" s="77"/>
      <c r="H233" s="77"/>
      <c r="I233" s="77"/>
      <c r="J233" s="77">
        <f t="shared" si="76"/>
        <v>1648000</v>
      </c>
      <c r="K233" s="77"/>
      <c r="L233" s="77"/>
      <c r="M233" s="77"/>
      <c r="N233" s="77">
        <v>1648000</v>
      </c>
      <c r="O233" s="77">
        <v>1648000</v>
      </c>
      <c r="P233" s="77">
        <f>E233+J233</f>
        <v>1708000</v>
      </c>
      <c r="Q233" s="271"/>
      <c r="R233" s="153"/>
      <c r="S233" s="153"/>
      <c r="T233" s="153"/>
    </row>
    <row r="234" spans="1:20" s="107" customFormat="1" ht="28.5" x14ac:dyDescent="0.2">
      <c r="A234" s="106" t="s">
        <v>313</v>
      </c>
      <c r="B234" s="36"/>
      <c r="C234" s="36"/>
      <c r="D234" s="35" t="s">
        <v>63</v>
      </c>
      <c r="E234" s="46">
        <f>E235</f>
        <v>97941088.099999994</v>
      </c>
      <c r="F234" s="46">
        <f t="shared" ref="F234:P234" si="80">F235</f>
        <v>77330357.949999988</v>
      </c>
      <c r="G234" s="46">
        <f t="shared" si="80"/>
        <v>7603186.0999999996</v>
      </c>
      <c r="H234" s="46">
        <f t="shared" si="80"/>
        <v>18800601</v>
      </c>
      <c r="I234" s="46">
        <f t="shared" si="80"/>
        <v>20610730.149999999</v>
      </c>
      <c r="J234" s="46">
        <f t="shared" si="80"/>
        <v>176496181.5</v>
      </c>
      <c r="K234" s="46">
        <f t="shared" si="80"/>
        <v>2057124.01</v>
      </c>
      <c r="L234" s="46">
        <f t="shared" si="80"/>
        <v>0</v>
      </c>
      <c r="M234" s="46">
        <f t="shared" si="80"/>
        <v>0</v>
      </c>
      <c r="N234" s="46">
        <f t="shared" si="80"/>
        <v>174439057.49000001</v>
      </c>
      <c r="O234" s="46">
        <f t="shared" si="80"/>
        <v>155665232.94</v>
      </c>
      <c r="P234" s="46">
        <f t="shared" si="80"/>
        <v>274437269.60000002</v>
      </c>
      <c r="Q234" s="271"/>
      <c r="R234" s="151"/>
      <c r="S234" s="151"/>
      <c r="T234" s="151"/>
    </row>
    <row r="235" spans="1:20" s="109" customFormat="1" ht="30" x14ac:dyDescent="0.2">
      <c r="A235" s="108" t="s">
        <v>314</v>
      </c>
      <c r="B235" s="119"/>
      <c r="C235" s="119"/>
      <c r="D235" s="118" t="s">
        <v>63</v>
      </c>
      <c r="E235" s="74">
        <f>E237+E238+E239+E245+E246+E247+E253+E254+E255+E261+E262+E264+E265+E266+E256+E252+E248</f>
        <v>97941088.099999994</v>
      </c>
      <c r="F235" s="74">
        <f t="shared" ref="F235:P235" si="81">F237+F238+F239+F245+F246+F247+F253+F254+F255+F261+F262+F264+F265+F266+F256+F252+F248</f>
        <v>77330357.949999988</v>
      </c>
      <c r="G235" s="74">
        <f t="shared" si="81"/>
        <v>7603186.0999999996</v>
      </c>
      <c r="H235" s="74">
        <f t="shared" si="81"/>
        <v>18800601</v>
      </c>
      <c r="I235" s="74">
        <f t="shared" si="81"/>
        <v>20610730.149999999</v>
      </c>
      <c r="J235" s="74">
        <f t="shared" si="81"/>
        <v>176496181.5</v>
      </c>
      <c r="K235" s="74">
        <f t="shared" si="81"/>
        <v>2057124.01</v>
      </c>
      <c r="L235" s="74">
        <f t="shared" si="81"/>
        <v>0</v>
      </c>
      <c r="M235" s="74">
        <f t="shared" si="81"/>
        <v>0</v>
      </c>
      <c r="N235" s="74">
        <f t="shared" si="81"/>
        <v>174439057.49000001</v>
      </c>
      <c r="O235" s="74">
        <f t="shared" si="81"/>
        <v>155665232.94</v>
      </c>
      <c r="P235" s="74">
        <f t="shared" si="81"/>
        <v>274437269.60000002</v>
      </c>
      <c r="Q235" s="271"/>
      <c r="R235" s="160"/>
      <c r="S235" s="160"/>
      <c r="T235" s="160"/>
    </row>
    <row r="236" spans="1:20" s="109" customFormat="1" ht="21" customHeight="1" x14ac:dyDescent="0.2">
      <c r="A236" s="108"/>
      <c r="B236" s="119"/>
      <c r="C236" s="119"/>
      <c r="D236" s="118" t="s">
        <v>416</v>
      </c>
      <c r="E236" s="74">
        <f>E257+E249</f>
        <v>0</v>
      </c>
      <c r="F236" s="74">
        <f t="shared" ref="F236:P236" si="82">F257+F249</f>
        <v>0</v>
      </c>
      <c r="G236" s="74">
        <f t="shared" si="82"/>
        <v>0</v>
      </c>
      <c r="H236" s="74">
        <f t="shared" si="82"/>
        <v>0</v>
      </c>
      <c r="I236" s="74">
        <f t="shared" si="82"/>
        <v>0</v>
      </c>
      <c r="J236" s="74">
        <f t="shared" si="82"/>
        <v>17947868.850000001</v>
      </c>
      <c r="K236" s="74">
        <f t="shared" si="82"/>
        <v>0</v>
      </c>
      <c r="L236" s="74">
        <f t="shared" si="82"/>
        <v>0</v>
      </c>
      <c r="M236" s="74">
        <f t="shared" si="82"/>
        <v>0</v>
      </c>
      <c r="N236" s="74">
        <f t="shared" si="82"/>
        <v>17947868.850000001</v>
      </c>
      <c r="O236" s="74">
        <f t="shared" si="82"/>
        <v>4242868.8499999996</v>
      </c>
      <c r="P236" s="74">
        <f t="shared" si="82"/>
        <v>17947868.850000001</v>
      </c>
      <c r="Q236" s="271"/>
      <c r="R236" s="160"/>
      <c r="S236" s="160"/>
      <c r="T236" s="160"/>
    </row>
    <row r="237" spans="1:20" s="4" customFormat="1" ht="45" x14ac:dyDescent="0.2">
      <c r="A237" s="75" t="s">
        <v>315</v>
      </c>
      <c r="B237" s="75" t="str">
        <f>'дод. 4'!A14</f>
        <v>0160</v>
      </c>
      <c r="C237" s="75" t="str">
        <f>'дод. 4'!B14</f>
        <v>0111</v>
      </c>
      <c r="D237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37" s="77">
        <f>F237+I237</f>
        <v>9709681</v>
      </c>
      <c r="F237" s="77">
        <f>9793300-93600+9981</f>
        <v>9709681</v>
      </c>
      <c r="G237" s="77">
        <v>7590891</v>
      </c>
      <c r="H237" s="77">
        <f>102300+9981</f>
        <v>112281</v>
      </c>
      <c r="I237" s="77"/>
      <c r="J237" s="77">
        <f>K237+N237</f>
        <v>62500</v>
      </c>
      <c r="K237" s="77"/>
      <c r="L237" s="77"/>
      <c r="M237" s="77"/>
      <c r="N237" s="77">
        <f>200000-137500</f>
        <v>62500</v>
      </c>
      <c r="O237" s="77">
        <f>200000-137500</f>
        <v>62500</v>
      </c>
      <c r="P237" s="77">
        <f>E237+J237</f>
        <v>9772181</v>
      </c>
      <c r="Q237" s="271"/>
      <c r="R237" s="153"/>
      <c r="S237" s="153"/>
      <c r="T237" s="153"/>
    </row>
    <row r="238" spans="1:20" s="4" customFormat="1" ht="19.5" customHeight="1" x14ac:dyDescent="0.2">
      <c r="A238" s="85" t="s">
        <v>474</v>
      </c>
      <c r="B238" s="85" t="str">
        <f>'дод. 4'!A131</f>
        <v>3210</v>
      </c>
      <c r="C238" s="85" t="str">
        <f>'дод. 4'!B131</f>
        <v>1050</v>
      </c>
      <c r="D238" s="103" t="str">
        <f>'дод. 4'!C131</f>
        <v>Організація та проведення громадських робіт</v>
      </c>
      <c r="E238" s="77">
        <f>F238+I238</f>
        <v>565000</v>
      </c>
      <c r="F238" s="77">
        <v>565000</v>
      </c>
      <c r="G238" s="77">
        <v>12295.1</v>
      </c>
      <c r="H238" s="77"/>
      <c r="I238" s="77"/>
      <c r="J238" s="77">
        <f t="shared" ref="J238:J266" si="83">K238+N238</f>
        <v>0</v>
      </c>
      <c r="K238" s="77"/>
      <c r="L238" s="77"/>
      <c r="M238" s="77"/>
      <c r="N238" s="77"/>
      <c r="O238" s="77"/>
      <c r="P238" s="77">
        <f>E238+J238</f>
        <v>565000</v>
      </c>
      <c r="Q238" s="271"/>
      <c r="R238" s="153"/>
      <c r="S238" s="153"/>
      <c r="T238" s="153"/>
    </row>
    <row r="239" spans="1:20" s="4" customFormat="1" ht="32.25" customHeight="1" x14ac:dyDescent="0.2">
      <c r="A239" s="75" t="s">
        <v>316</v>
      </c>
      <c r="B239" s="75" t="str">
        <f>'дод. 4'!A163</f>
        <v>6010</v>
      </c>
      <c r="C239" s="75">
        <f>'дод. 4'!B163</f>
        <v>0</v>
      </c>
      <c r="D239" s="104" t="str">
        <f>'дод. 4'!C163</f>
        <v>Утримання та ефективна експлуатація об’єктів житлово-комунального господарства</v>
      </c>
      <c r="E239" s="77">
        <f>E240+E241+E242+E244+E243</f>
        <v>14671362</v>
      </c>
      <c r="F239" s="77">
        <f t="shared" ref="F239:P239" si="84">F240+F241+F242+F244+F243</f>
        <v>1815220</v>
      </c>
      <c r="G239" s="77">
        <f t="shared" si="84"/>
        <v>0</v>
      </c>
      <c r="H239" s="77">
        <f t="shared" si="84"/>
        <v>0</v>
      </c>
      <c r="I239" s="77">
        <f t="shared" si="84"/>
        <v>12856142</v>
      </c>
      <c r="J239" s="77">
        <f t="shared" si="84"/>
        <v>65851740</v>
      </c>
      <c r="K239" s="77">
        <f t="shared" si="84"/>
        <v>0</v>
      </c>
      <c r="L239" s="77">
        <f t="shared" si="84"/>
        <v>0</v>
      </c>
      <c r="M239" s="77">
        <f t="shared" si="84"/>
        <v>0</v>
      </c>
      <c r="N239" s="77">
        <f t="shared" si="84"/>
        <v>65851740</v>
      </c>
      <c r="O239" s="77">
        <f t="shared" si="84"/>
        <v>65851740</v>
      </c>
      <c r="P239" s="77">
        <f t="shared" si="84"/>
        <v>80523102</v>
      </c>
      <c r="Q239" s="271"/>
      <c r="R239" s="154"/>
      <c r="S239" s="154"/>
      <c r="T239" s="154"/>
    </row>
    <row r="240" spans="1:20" s="110" customFormat="1" ht="30" x14ac:dyDescent="0.2">
      <c r="A240" s="78" t="s">
        <v>317</v>
      </c>
      <c r="B240" s="78" t="str">
        <f>'дод. 4'!A164</f>
        <v>6011</v>
      </c>
      <c r="C240" s="78" t="str">
        <f>'дод. 4'!B164</f>
        <v>0620</v>
      </c>
      <c r="D240" s="101" t="str">
        <f>'дод. 4'!C164</f>
        <v>Експлуатація та технічне обслуговування житлового фонду</v>
      </c>
      <c r="E240" s="80">
        <f t="shared" ref="E240:E261" si="85">F240+I240</f>
        <v>0</v>
      </c>
      <c r="F240" s="80"/>
      <c r="G240" s="80"/>
      <c r="H240" s="80"/>
      <c r="I240" s="80"/>
      <c r="J240" s="80">
        <f t="shared" si="83"/>
        <v>33145738</v>
      </c>
      <c r="K240" s="80"/>
      <c r="L240" s="80"/>
      <c r="M240" s="80"/>
      <c r="N240" s="80">
        <f>20000000+15000000-150000-4100000+20000+350000+2000+2000+92000+35000+83268+60000+70000+1480000+25000-38060+73000-8470+5000+45000+100000</f>
        <v>33145738</v>
      </c>
      <c r="O240" s="80">
        <f>20000000+15000000-150000-4100000+20000+350000+2000+2000+92000+35000+83268+60000+70000+1480000+25000-38060+73000-8470+5000+45000+100000</f>
        <v>33145738</v>
      </c>
      <c r="P240" s="80">
        <f t="shared" ref="P240:P261" si="86">E240+J240</f>
        <v>33145738</v>
      </c>
      <c r="Q240" s="271"/>
      <c r="R240" s="155"/>
      <c r="S240" s="155"/>
      <c r="T240" s="155"/>
    </row>
    <row r="241" spans="1:20" s="110" customFormat="1" ht="30" x14ac:dyDescent="0.2">
      <c r="A241" s="78" t="s">
        <v>318</v>
      </c>
      <c r="B241" s="78" t="str">
        <f>'дод. 4'!A165</f>
        <v>6013</v>
      </c>
      <c r="C241" s="78" t="str">
        <f>'дод. 4'!B165</f>
        <v>0620</v>
      </c>
      <c r="D241" s="101" t="str">
        <f>'дод. 4'!C165</f>
        <v>Забезпечення діяльності водопровідно-каналізаційного господарства</v>
      </c>
      <c r="E241" s="80">
        <f t="shared" si="85"/>
        <v>13756142</v>
      </c>
      <c r="F241" s="80">
        <f>200000+90000+550000+60000</f>
        <v>900000</v>
      </c>
      <c r="G241" s="80"/>
      <c r="H241" s="80"/>
      <c r="I241" s="80">
        <f>3096000+3760142+662656+1337344+3000000+1000000</f>
        <v>12856142</v>
      </c>
      <c r="J241" s="80">
        <f t="shared" si="83"/>
        <v>542622</v>
      </c>
      <c r="K241" s="80"/>
      <c r="L241" s="80"/>
      <c r="M241" s="80"/>
      <c r="N241" s="80">
        <f>222622+320000</f>
        <v>542622</v>
      </c>
      <c r="O241" s="80">
        <f>222622+320000</f>
        <v>542622</v>
      </c>
      <c r="P241" s="80">
        <f t="shared" si="86"/>
        <v>14298764</v>
      </c>
      <c r="Q241" s="271"/>
      <c r="R241" s="155"/>
      <c r="S241" s="155"/>
      <c r="T241" s="155"/>
    </row>
    <row r="242" spans="1:20" s="110" customFormat="1" ht="35.25" customHeight="1" x14ac:dyDescent="0.2">
      <c r="A242" s="78" t="s">
        <v>405</v>
      </c>
      <c r="B242" s="78" t="str">
        <f>'дод. 4'!A166</f>
        <v>6015</v>
      </c>
      <c r="C242" s="78" t="str">
        <f>'дод. 4'!B166</f>
        <v>0620</v>
      </c>
      <c r="D242" s="101" t="str">
        <f>'дод. 4'!C166</f>
        <v>Забезпечення надійної та безперебійної експлуатації ліфтів</v>
      </c>
      <c r="E242" s="80">
        <f t="shared" si="85"/>
        <v>510520</v>
      </c>
      <c r="F242" s="80">
        <f>350000+153000+3000+4520</f>
        <v>510520</v>
      </c>
      <c r="G242" s="80"/>
      <c r="H242" s="80"/>
      <c r="I242" s="80"/>
      <c r="J242" s="80">
        <f>K242+N242</f>
        <v>29957400</v>
      </c>
      <c r="K242" s="80"/>
      <c r="L242" s="80"/>
      <c r="M242" s="80"/>
      <c r="N242" s="80">
        <f>20000000+10000000-35000-7600</f>
        <v>29957400</v>
      </c>
      <c r="O242" s="80">
        <f>20000000+10000000-35000-7600</f>
        <v>29957400</v>
      </c>
      <c r="P242" s="80">
        <f t="shared" si="86"/>
        <v>30467920</v>
      </c>
      <c r="Q242" s="271"/>
      <c r="R242" s="155"/>
      <c r="S242" s="155"/>
      <c r="T242" s="155"/>
    </row>
    <row r="243" spans="1:20" s="110" customFormat="1" ht="46.5" customHeight="1" x14ac:dyDescent="0.2">
      <c r="A243" s="78" t="s">
        <v>610</v>
      </c>
      <c r="B243" s="78" t="str">
        <f>'дод. 4'!A167</f>
        <v>6016</v>
      </c>
      <c r="C243" s="78" t="str">
        <f>'дод. 4'!B167</f>
        <v>0620</v>
      </c>
      <c r="D243" s="101" t="str">
        <f>'дод. 4'!C167</f>
        <v>Впровадження засобів обліку витрат та регулювання споживання води та теплової енергії</v>
      </c>
      <c r="E243" s="80">
        <f t="shared" si="85"/>
        <v>0</v>
      </c>
      <c r="F243" s="80"/>
      <c r="G243" s="80"/>
      <c r="H243" s="80"/>
      <c r="I243" s="80"/>
      <c r="J243" s="80">
        <f>K243+N243</f>
        <v>2205980</v>
      </c>
      <c r="K243" s="80"/>
      <c r="L243" s="80"/>
      <c r="M243" s="80"/>
      <c r="N243" s="80">
        <f>2178000+27980</f>
        <v>2205980</v>
      </c>
      <c r="O243" s="80">
        <f>2178000+27980</f>
        <v>2205980</v>
      </c>
      <c r="P243" s="80">
        <f t="shared" si="86"/>
        <v>2205980</v>
      </c>
      <c r="Q243" s="271"/>
      <c r="R243" s="155"/>
      <c r="S243" s="155"/>
      <c r="T243" s="155"/>
    </row>
    <row r="244" spans="1:20" s="110" customFormat="1" ht="38.25" customHeight="1" x14ac:dyDescent="0.2">
      <c r="A244" s="78" t="s">
        <v>408</v>
      </c>
      <c r="B244" s="78" t="str">
        <f>'дод. 4'!A168</f>
        <v>6017</v>
      </c>
      <c r="C244" s="78" t="str">
        <f>'дод. 4'!B168</f>
        <v>0620</v>
      </c>
      <c r="D244" s="101" t="str">
        <f>'дод. 4'!C168</f>
        <v xml:space="preserve">Інша діяльність, пов’язана з експлуатацією об’єктів житлово-комунального господарства </v>
      </c>
      <c r="E244" s="80">
        <f t="shared" si="85"/>
        <v>404700</v>
      </c>
      <c r="F244" s="80">
        <f>1000000-595300</f>
        <v>404700</v>
      </c>
      <c r="G244" s="80"/>
      <c r="H244" s="80"/>
      <c r="I244" s="80"/>
      <c r="J244" s="80">
        <f t="shared" si="83"/>
        <v>0</v>
      </c>
      <c r="K244" s="80"/>
      <c r="L244" s="80"/>
      <c r="M244" s="80"/>
      <c r="N244" s="80"/>
      <c r="O244" s="80"/>
      <c r="P244" s="80">
        <f t="shared" si="86"/>
        <v>404700</v>
      </c>
      <c r="Q244" s="271"/>
      <c r="R244" s="155"/>
      <c r="S244" s="155"/>
      <c r="T244" s="155"/>
    </row>
    <row r="245" spans="1:20" s="110" customFormat="1" ht="45" x14ac:dyDescent="0.2">
      <c r="A245" s="81" t="s">
        <v>319</v>
      </c>
      <c r="B245" s="81" t="str">
        <f>'дод. 4'!A169</f>
        <v>6020</v>
      </c>
      <c r="C245" s="81" t="str">
        <f>'дод. 4'!B169</f>
        <v>0620</v>
      </c>
      <c r="D245" s="102" t="str">
        <f>'дод. 4'!C169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5" s="83">
        <f t="shared" si="85"/>
        <v>6422960.7000000002</v>
      </c>
      <c r="F245" s="83"/>
      <c r="G245" s="83"/>
      <c r="H245" s="83"/>
      <c r="I245" s="83">
        <f>300000+6102960.7+20000</f>
        <v>6422960.7000000002</v>
      </c>
      <c r="J245" s="83">
        <f t="shared" si="83"/>
        <v>0</v>
      </c>
      <c r="K245" s="83"/>
      <c r="L245" s="83"/>
      <c r="M245" s="83"/>
      <c r="N245" s="83"/>
      <c r="O245" s="83"/>
      <c r="P245" s="83">
        <f t="shared" si="86"/>
        <v>6422960.7000000002</v>
      </c>
      <c r="Q245" s="271"/>
      <c r="R245" s="153"/>
      <c r="S245" s="153"/>
      <c r="T245" s="153"/>
    </row>
    <row r="246" spans="1:20" s="4" customFormat="1" ht="21.75" customHeight="1" x14ac:dyDescent="0.2">
      <c r="A246" s="81" t="s">
        <v>320</v>
      </c>
      <c r="B246" s="81" t="str">
        <f>'дод. 4'!A170</f>
        <v>6030</v>
      </c>
      <c r="C246" s="81" t="str">
        <f>'дод. 4'!B170</f>
        <v>0620</v>
      </c>
      <c r="D246" s="102" t="str">
        <f>'дод. 4'!C170</f>
        <v>Організація благоустрою населених пунктів</v>
      </c>
      <c r="E246" s="83">
        <f t="shared" si="85"/>
        <v>60659452.399999999</v>
      </c>
      <c r="F246" s="83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+190000+45000+50000-8000</f>
        <v>60478699.949999996</v>
      </c>
      <c r="G246" s="83"/>
      <c r="H246" s="83">
        <f>16966320+500000+723000+459000</f>
        <v>18648320</v>
      </c>
      <c r="I246" s="83">
        <f>180000+752.45</f>
        <v>180752.45</v>
      </c>
      <c r="J246" s="83">
        <f t="shared" si="83"/>
        <v>40983924.350000001</v>
      </c>
      <c r="K246" s="83"/>
      <c r="L246" s="83"/>
      <c r="M246" s="83"/>
      <c r="N246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</f>
        <v>40983924.350000001</v>
      </c>
      <c r="O246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-175720-969382-480154</f>
        <v>40983924.350000001</v>
      </c>
      <c r="P246" s="83">
        <f t="shared" si="86"/>
        <v>101643376.75</v>
      </c>
      <c r="Q246" s="271"/>
      <c r="R246" s="153"/>
      <c r="S246" s="153"/>
      <c r="T246" s="162"/>
    </row>
    <row r="247" spans="1:20" s="4" customFormat="1" ht="31.5" customHeight="1" x14ac:dyDescent="0.2">
      <c r="A247" s="81" t="s">
        <v>396</v>
      </c>
      <c r="B247" s="81" t="str">
        <f>'дод. 4'!A181</f>
        <v>6090</v>
      </c>
      <c r="C247" s="81" t="str">
        <f>'дод. 4'!B181</f>
        <v>0640</v>
      </c>
      <c r="D247" s="102" t="str">
        <f>'дод. 4'!C181</f>
        <v>Інша діяльність у сфері житлово-комунального господарства</v>
      </c>
      <c r="E247" s="83">
        <f t="shared" si="85"/>
        <v>3576032</v>
      </c>
      <c r="F247" s="83">
        <f>391104+1450191+670875-160875+89982+150000+33880</f>
        <v>2625157</v>
      </c>
      <c r="G247" s="83"/>
      <c r="H247" s="83">
        <f>30000+10000</f>
        <v>40000</v>
      </c>
      <c r="I247" s="83">
        <f>160875+790000</f>
        <v>950875</v>
      </c>
      <c r="J247" s="83">
        <f t="shared" si="83"/>
        <v>0</v>
      </c>
      <c r="K247" s="83"/>
      <c r="L247" s="83"/>
      <c r="M247" s="83"/>
      <c r="N247" s="83"/>
      <c r="O247" s="83"/>
      <c r="P247" s="83">
        <f t="shared" si="86"/>
        <v>3576032</v>
      </c>
      <c r="Q247" s="271"/>
      <c r="R247" s="153"/>
      <c r="S247" s="153"/>
      <c r="T247" s="153"/>
    </row>
    <row r="248" spans="1:20" s="4" customFormat="1" ht="31.5" customHeight="1" x14ac:dyDescent="0.2">
      <c r="A248" s="81" t="s">
        <v>639</v>
      </c>
      <c r="B248" s="81" t="str">
        <f>'дод. 4'!A171</f>
        <v>6070</v>
      </c>
      <c r="C248" s="81">
        <f>'дод. 4'!B171</f>
        <v>0</v>
      </c>
      <c r="D248" s="102" t="str">
        <f>'дод. 4'!C171</f>
        <v>Регулювання цін/тарифів на житлово-комунальні послуги</v>
      </c>
      <c r="E248" s="83">
        <f>E250</f>
        <v>0</v>
      </c>
      <c r="F248" s="83">
        <f t="shared" ref="F248:P249" si="87">F250</f>
        <v>0</v>
      </c>
      <c r="G248" s="83">
        <f t="shared" si="87"/>
        <v>0</v>
      </c>
      <c r="H248" s="83">
        <f t="shared" si="87"/>
        <v>0</v>
      </c>
      <c r="I248" s="83">
        <f t="shared" si="87"/>
        <v>0</v>
      </c>
      <c r="J248" s="83">
        <f t="shared" si="87"/>
        <v>13705000</v>
      </c>
      <c r="K248" s="83">
        <f t="shared" si="87"/>
        <v>0</v>
      </c>
      <c r="L248" s="83">
        <f t="shared" si="87"/>
        <v>0</v>
      </c>
      <c r="M248" s="83">
        <f t="shared" si="87"/>
        <v>0</v>
      </c>
      <c r="N248" s="83">
        <f t="shared" si="87"/>
        <v>13705000</v>
      </c>
      <c r="O248" s="83">
        <f t="shared" si="87"/>
        <v>0</v>
      </c>
      <c r="P248" s="83">
        <f t="shared" si="87"/>
        <v>13705000</v>
      </c>
      <c r="Q248" s="271"/>
      <c r="R248" s="153"/>
      <c r="S248" s="153"/>
      <c r="T248" s="153"/>
    </row>
    <row r="249" spans="1:20" s="4" customFormat="1" ht="18.75" customHeight="1" x14ac:dyDescent="0.2">
      <c r="A249" s="81"/>
      <c r="B249" s="81"/>
      <c r="C249" s="81"/>
      <c r="D249" s="102" t="s">
        <v>416</v>
      </c>
      <c r="E249" s="83">
        <f>E251</f>
        <v>0</v>
      </c>
      <c r="F249" s="83">
        <f t="shared" si="87"/>
        <v>0</v>
      </c>
      <c r="G249" s="83">
        <f t="shared" si="87"/>
        <v>0</v>
      </c>
      <c r="H249" s="83">
        <f t="shared" si="87"/>
        <v>0</v>
      </c>
      <c r="I249" s="83">
        <f t="shared" si="87"/>
        <v>0</v>
      </c>
      <c r="J249" s="83">
        <f t="shared" si="87"/>
        <v>13705000</v>
      </c>
      <c r="K249" s="83">
        <f t="shared" si="87"/>
        <v>0</v>
      </c>
      <c r="L249" s="83">
        <f t="shared" si="87"/>
        <v>0</v>
      </c>
      <c r="M249" s="83">
        <f t="shared" si="87"/>
        <v>0</v>
      </c>
      <c r="N249" s="83">
        <f t="shared" si="87"/>
        <v>13705000</v>
      </c>
      <c r="O249" s="83">
        <f t="shared" si="87"/>
        <v>0</v>
      </c>
      <c r="P249" s="83">
        <f t="shared" si="87"/>
        <v>13705000</v>
      </c>
      <c r="Q249" s="271"/>
      <c r="R249" s="153"/>
      <c r="S249" s="153"/>
      <c r="T249" s="153"/>
    </row>
    <row r="250" spans="1:20" s="110" customFormat="1" ht="216.75" customHeight="1" x14ac:dyDescent="0.2">
      <c r="A250" s="78" t="s">
        <v>640</v>
      </c>
      <c r="B250" s="78" t="str">
        <f>'дод. 4'!A173</f>
        <v>6072</v>
      </c>
      <c r="C250" s="78" t="str">
        <f>'дод. 4'!B173</f>
        <v>0640</v>
      </c>
      <c r="D250" s="79" t="s">
        <v>638</v>
      </c>
      <c r="E250" s="80">
        <f>F250+I250</f>
        <v>0</v>
      </c>
      <c r="F250" s="80"/>
      <c r="G250" s="80"/>
      <c r="H250" s="80"/>
      <c r="I250" s="80"/>
      <c r="J250" s="80">
        <f>K250+N250</f>
        <v>13705000</v>
      </c>
      <c r="K250" s="80"/>
      <c r="L250" s="80"/>
      <c r="M250" s="80"/>
      <c r="N250" s="80">
        <v>13705000</v>
      </c>
      <c r="O250" s="80"/>
      <c r="P250" s="80">
        <f>E250+J250</f>
        <v>13705000</v>
      </c>
      <c r="Q250" s="271"/>
      <c r="R250" s="155"/>
      <c r="S250" s="155"/>
      <c r="T250" s="155"/>
    </row>
    <row r="251" spans="1:20" s="110" customFormat="1" ht="18" customHeight="1" x14ac:dyDescent="0.2">
      <c r="A251" s="78"/>
      <c r="B251" s="78"/>
      <c r="C251" s="78"/>
      <c r="D251" s="102" t="s">
        <v>416</v>
      </c>
      <c r="E251" s="80"/>
      <c r="F251" s="80"/>
      <c r="G251" s="80"/>
      <c r="H251" s="80"/>
      <c r="I251" s="80"/>
      <c r="J251" s="80">
        <f>K251+N251</f>
        <v>13705000</v>
      </c>
      <c r="K251" s="80"/>
      <c r="L251" s="80"/>
      <c r="M251" s="80"/>
      <c r="N251" s="80">
        <v>13705000</v>
      </c>
      <c r="O251" s="80"/>
      <c r="P251" s="80">
        <f>E251+J251</f>
        <v>13705000</v>
      </c>
      <c r="Q251" s="271"/>
      <c r="R251" s="155"/>
      <c r="S251" s="155"/>
      <c r="T251" s="155"/>
    </row>
    <row r="252" spans="1:20" s="4" customFormat="1" ht="31.5" hidden="1" customHeight="1" x14ac:dyDescent="0.2">
      <c r="A252" s="81" t="s">
        <v>630</v>
      </c>
      <c r="B252" s="81" t="str">
        <f>'дод. 4'!A184</f>
        <v>7130</v>
      </c>
      <c r="C252" s="81" t="str">
        <f>'дод. 4'!B184</f>
        <v>0421</v>
      </c>
      <c r="D252" s="102" t="str">
        <f>'дод. 4'!C184</f>
        <v>Здійснення  заходів із землеустрою</v>
      </c>
      <c r="E252" s="83">
        <f t="shared" si="85"/>
        <v>0</v>
      </c>
      <c r="F252" s="83"/>
      <c r="G252" s="83"/>
      <c r="H252" s="83"/>
      <c r="I252" s="83">
        <f>490670-490670</f>
        <v>0</v>
      </c>
      <c r="J252" s="83">
        <f t="shared" si="83"/>
        <v>0</v>
      </c>
      <c r="K252" s="83"/>
      <c r="L252" s="83"/>
      <c r="M252" s="83"/>
      <c r="N252" s="83"/>
      <c r="O252" s="83"/>
      <c r="P252" s="83">
        <f t="shared" si="86"/>
        <v>0</v>
      </c>
      <c r="Q252" s="271"/>
      <c r="R252" s="153"/>
      <c r="S252" s="153"/>
      <c r="T252" s="153"/>
    </row>
    <row r="253" spans="1:20" s="4" customFormat="1" ht="36.75" customHeight="1" x14ac:dyDescent="0.2">
      <c r="A253" s="81" t="s">
        <v>424</v>
      </c>
      <c r="B253" s="81" t="str">
        <f>'дод. 4'!A187</f>
        <v>7310</v>
      </c>
      <c r="C253" s="81" t="str">
        <f>'дод. 4'!B187</f>
        <v>0443</v>
      </c>
      <c r="D253" s="102" t="str">
        <f>'дод. 4'!C187</f>
        <v>Будівництво об'єктів житлово-комунального господарства</v>
      </c>
      <c r="E253" s="83">
        <f t="shared" si="85"/>
        <v>0</v>
      </c>
      <c r="F253" s="83"/>
      <c r="G253" s="83"/>
      <c r="H253" s="83"/>
      <c r="I253" s="83"/>
      <c r="J253" s="83">
        <f>K253+N253</f>
        <v>26499974.129999999</v>
      </c>
      <c r="K253" s="83"/>
      <c r="L253" s="83"/>
      <c r="M253" s="83"/>
      <c r="N253" s="83">
        <f>2000000+500000+2000000+18725194.13+1595000-1500000+269000+1980000+20000+2120000+200000-1337344-21000-1519000-8470+476594+1000000</f>
        <v>26499974.129999999</v>
      </c>
      <c r="O253" s="83">
        <f>2000000+500000+2000000+18725194.13+1595000-1500000+269000+1980000+20000+2120000+200000-1337344-21000-1519000-8470+476594+1000000</f>
        <v>26499974.129999999</v>
      </c>
      <c r="P253" s="83">
        <f t="shared" si="86"/>
        <v>26499974.129999999</v>
      </c>
      <c r="Q253" s="271"/>
      <c r="R253" s="153"/>
      <c r="S253" s="153"/>
      <c r="T253" s="153"/>
    </row>
    <row r="254" spans="1:20" s="4" customFormat="1" ht="40.5" customHeight="1" x14ac:dyDescent="0.2">
      <c r="A254" s="81" t="s">
        <v>426</v>
      </c>
      <c r="B254" s="81" t="str">
        <f>'дод. 4'!A192</f>
        <v>7330</v>
      </c>
      <c r="C254" s="81" t="str">
        <f>'дод. 4'!B192</f>
        <v>0443</v>
      </c>
      <c r="D254" s="102" t="str">
        <f>'дод. 4'!C192</f>
        <v>Будівництво інших об'єктів соціальної та виробничої інфраструктури комунальної власності</v>
      </c>
      <c r="E254" s="83">
        <f t="shared" si="85"/>
        <v>0</v>
      </c>
      <c r="F254" s="83"/>
      <c r="G254" s="83"/>
      <c r="H254" s="83"/>
      <c r="I254" s="83"/>
      <c r="J254" s="83">
        <f>K254+N254</f>
        <v>7280330</v>
      </c>
      <c r="K254" s="83"/>
      <c r="L254" s="83"/>
      <c r="M254" s="83"/>
      <c r="N254" s="83">
        <f>1000000+4100000+250000+376800+700000-885000+20000+94000+30000-8470+200000+1403000</f>
        <v>7280330</v>
      </c>
      <c r="O254" s="83">
        <f>1000000+4100000+250000+376800+700000-885000+20000+94000+30000-8470+200000+1403000</f>
        <v>7280330</v>
      </c>
      <c r="P254" s="83">
        <f t="shared" si="86"/>
        <v>7280330</v>
      </c>
      <c r="Q254" s="271"/>
      <c r="R254" s="153"/>
      <c r="S254" s="153"/>
      <c r="T254" s="153"/>
    </row>
    <row r="255" spans="1:20" s="4" customFormat="1" ht="36" customHeight="1" x14ac:dyDescent="0.2">
      <c r="A255" s="81" t="s">
        <v>321</v>
      </c>
      <c r="B255" s="81" t="str">
        <f>'дод. 4'!A193</f>
        <v>7340</v>
      </c>
      <c r="C255" s="81" t="str">
        <f>'дод. 4'!B193</f>
        <v>0443</v>
      </c>
      <c r="D255" s="102" t="str">
        <f>'дод. 4'!C193</f>
        <v>Проектування, реставрація та охорона пам'яток архітектури</v>
      </c>
      <c r="E255" s="83">
        <f t="shared" si="85"/>
        <v>0</v>
      </c>
      <c r="F255" s="83"/>
      <c r="G255" s="83"/>
      <c r="H255" s="83"/>
      <c r="I255" s="83"/>
      <c r="J255" s="83">
        <f t="shared" si="83"/>
        <v>2253802</v>
      </c>
      <c r="K255" s="83"/>
      <c r="L255" s="83"/>
      <c r="M255" s="83"/>
      <c r="N255" s="83">
        <f>1200000+2000000+1000000-1000000-946198</f>
        <v>2253802</v>
      </c>
      <c r="O255" s="83">
        <f>1200000+2000000+1000000-1000000-946198</f>
        <v>2253802</v>
      </c>
      <c r="P255" s="83">
        <f t="shared" si="86"/>
        <v>2253802</v>
      </c>
      <c r="Q255" s="271"/>
      <c r="R255" s="153"/>
      <c r="S255" s="153"/>
      <c r="T255" s="153"/>
    </row>
    <row r="256" spans="1:20" s="4" customFormat="1" ht="24.75" customHeight="1" x14ac:dyDescent="0.2">
      <c r="A256" s="81" t="s">
        <v>611</v>
      </c>
      <c r="B256" s="81" t="str">
        <f>'дод. 4'!A195</f>
        <v>7360</v>
      </c>
      <c r="C256" s="81">
        <f>'дод. 4'!B195</f>
        <v>0</v>
      </c>
      <c r="D256" s="102" t="str">
        <f>'дод. 4'!C195</f>
        <v>Виконання інвестиційних проектів</v>
      </c>
      <c r="E256" s="83">
        <f>E259+E258</f>
        <v>0</v>
      </c>
      <c r="F256" s="83">
        <f t="shared" ref="F256:P256" si="88">F259+F258</f>
        <v>0</v>
      </c>
      <c r="G256" s="83">
        <f t="shared" si="88"/>
        <v>0</v>
      </c>
      <c r="H256" s="83">
        <f t="shared" si="88"/>
        <v>0</v>
      </c>
      <c r="I256" s="83">
        <f t="shared" si="88"/>
        <v>0</v>
      </c>
      <c r="J256" s="83">
        <f t="shared" si="88"/>
        <v>11512962.460000001</v>
      </c>
      <c r="K256" s="83">
        <f t="shared" si="88"/>
        <v>0</v>
      </c>
      <c r="L256" s="83">
        <f t="shared" si="88"/>
        <v>0</v>
      </c>
      <c r="M256" s="83">
        <f t="shared" si="88"/>
        <v>0</v>
      </c>
      <c r="N256" s="83">
        <f t="shared" si="88"/>
        <v>11512962.460000001</v>
      </c>
      <c r="O256" s="83">
        <f t="shared" si="88"/>
        <v>11512962.460000001</v>
      </c>
      <c r="P256" s="83">
        <f t="shared" si="88"/>
        <v>11512962.460000001</v>
      </c>
      <c r="Q256" s="271"/>
      <c r="R256" s="153"/>
      <c r="S256" s="153"/>
      <c r="T256" s="153"/>
    </row>
    <row r="257" spans="1:20" s="4" customFormat="1" ht="22.5" customHeight="1" x14ac:dyDescent="0.2">
      <c r="A257" s="81"/>
      <c r="B257" s="81"/>
      <c r="C257" s="81"/>
      <c r="D257" s="82" t="s">
        <v>416</v>
      </c>
      <c r="E257" s="83">
        <f>E260</f>
        <v>0</v>
      </c>
      <c r="F257" s="83">
        <f t="shared" ref="F257:P257" si="89">F260</f>
        <v>0</v>
      </c>
      <c r="G257" s="83">
        <f t="shared" si="89"/>
        <v>0</v>
      </c>
      <c r="H257" s="83">
        <f t="shared" si="89"/>
        <v>0</v>
      </c>
      <c r="I257" s="83">
        <f t="shared" si="89"/>
        <v>0</v>
      </c>
      <c r="J257" s="83">
        <f t="shared" si="89"/>
        <v>4242868.8499999996</v>
      </c>
      <c r="K257" s="83">
        <f t="shared" si="89"/>
        <v>0</v>
      </c>
      <c r="L257" s="83">
        <f t="shared" si="89"/>
        <v>0</v>
      </c>
      <c r="M257" s="83">
        <f t="shared" si="89"/>
        <v>0</v>
      </c>
      <c r="N257" s="83">
        <f t="shared" si="89"/>
        <v>4242868.8499999996</v>
      </c>
      <c r="O257" s="83">
        <f t="shared" si="89"/>
        <v>4242868.8499999996</v>
      </c>
      <c r="P257" s="83">
        <f t="shared" si="89"/>
        <v>4242868.8499999996</v>
      </c>
      <c r="Q257" s="271"/>
      <c r="R257" s="153"/>
      <c r="S257" s="153"/>
      <c r="T257" s="153"/>
    </row>
    <row r="258" spans="1:20" s="110" customFormat="1" ht="48" customHeight="1" x14ac:dyDescent="0.2">
      <c r="A258" s="78" t="s">
        <v>624</v>
      </c>
      <c r="B258" s="78" t="str">
        <f>'дод. 4'!A197</f>
        <v>7361</v>
      </c>
      <c r="C258" s="78" t="str">
        <f>'дод. 4'!B197</f>
        <v>0490</v>
      </c>
      <c r="D258" s="101" t="str">
        <f>'дод. 4'!C197</f>
        <v>Співфінансування інвестиційних проектів, що реалізуються за рахунок коштів державного фонду регіонального розвитку</v>
      </c>
      <c r="E258" s="80">
        <f>F258+I258</f>
        <v>0</v>
      </c>
      <c r="F258" s="80"/>
      <c r="G258" s="80"/>
      <c r="H258" s="80"/>
      <c r="I258" s="80"/>
      <c r="J258" s="80">
        <f>K258+N258</f>
        <v>426739</v>
      </c>
      <c r="K258" s="80"/>
      <c r="L258" s="80"/>
      <c r="M258" s="80"/>
      <c r="N258" s="80">
        <v>426739</v>
      </c>
      <c r="O258" s="80">
        <v>426739</v>
      </c>
      <c r="P258" s="80">
        <f>E258+J258</f>
        <v>426739</v>
      </c>
      <c r="Q258" s="271"/>
      <c r="R258" s="155"/>
      <c r="S258" s="155"/>
      <c r="T258" s="155"/>
    </row>
    <row r="259" spans="1:20" s="110" customFormat="1" ht="54.75" customHeight="1" x14ac:dyDescent="0.2">
      <c r="A259" s="78" t="s">
        <v>612</v>
      </c>
      <c r="B259" s="78" t="str">
        <f>'дод. 4'!A198</f>
        <v>7363</v>
      </c>
      <c r="C259" s="78" t="str">
        <f>'дод. 4'!B198</f>
        <v>0490</v>
      </c>
      <c r="D259" s="101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59" s="80">
        <f>F259+I259</f>
        <v>0</v>
      </c>
      <c r="F259" s="80"/>
      <c r="G259" s="80"/>
      <c r="H259" s="80"/>
      <c r="I259" s="80"/>
      <c r="J259" s="80">
        <f>K259+N259</f>
        <v>11086223.460000001</v>
      </c>
      <c r="K259" s="80"/>
      <c r="L259" s="80"/>
      <c r="M259" s="80"/>
      <c r="N259" s="80">
        <f>20284.61+773868.85+104070+1519000+3469000+5000000+200000</f>
        <v>11086223.460000001</v>
      </c>
      <c r="O259" s="80">
        <f>20284.61+773868.85+104070+1519000+3469000+5000000+200000</f>
        <v>11086223.460000001</v>
      </c>
      <c r="P259" s="80">
        <f>E259+J259</f>
        <v>11086223.460000001</v>
      </c>
      <c r="Q259" s="271"/>
      <c r="R259" s="155"/>
      <c r="S259" s="155"/>
      <c r="T259" s="155"/>
    </row>
    <row r="260" spans="1:20" s="110" customFormat="1" ht="18.75" customHeight="1" x14ac:dyDescent="0.2">
      <c r="A260" s="78"/>
      <c r="B260" s="78"/>
      <c r="C260" s="78"/>
      <c r="D260" s="79" t="s">
        <v>416</v>
      </c>
      <c r="E260" s="80">
        <f>F260+I260</f>
        <v>0</v>
      </c>
      <c r="F260" s="80"/>
      <c r="G260" s="80"/>
      <c r="H260" s="80"/>
      <c r="I260" s="80"/>
      <c r="J260" s="80">
        <f>K260+N260</f>
        <v>4242868.8499999996</v>
      </c>
      <c r="K260" s="80"/>
      <c r="L260" s="80"/>
      <c r="M260" s="80"/>
      <c r="N260" s="80">
        <f>773868.85+3469000</f>
        <v>4242868.8499999996</v>
      </c>
      <c r="O260" s="80">
        <f>773868.85+3469000</f>
        <v>4242868.8499999996</v>
      </c>
      <c r="P260" s="80">
        <f>E260+J260</f>
        <v>4242868.8499999996</v>
      </c>
      <c r="Q260" s="271"/>
      <c r="R260" s="155"/>
      <c r="S260" s="155"/>
      <c r="T260" s="155"/>
    </row>
    <row r="261" spans="1:20" s="4" customFormat="1" ht="24" customHeight="1" x14ac:dyDescent="0.2">
      <c r="A261" s="81" t="s">
        <v>322</v>
      </c>
      <c r="B261" s="81" t="str">
        <f>'дод. 4'!A218</f>
        <v>7640</v>
      </c>
      <c r="C261" s="81" t="str">
        <f>'дод. 4'!B218</f>
        <v>0470</v>
      </c>
      <c r="D261" s="102" t="str">
        <f>'дод. 4'!C218</f>
        <v>Заходи з енергозбереження</v>
      </c>
      <c r="E261" s="83">
        <f t="shared" si="85"/>
        <v>1500000</v>
      </c>
      <c r="F261" s="83">
        <v>1300000</v>
      </c>
      <c r="G261" s="83"/>
      <c r="H261" s="83"/>
      <c r="I261" s="83">
        <v>200000</v>
      </c>
      <c r="J261" s="83">
        <f t="shared" si="83"/>
        <v>0</v>
      </c>
      <c r="K261" s="83"/>
      <c r="L261" s="83"/>
      <c r="M261" s="83"/>
      <c r="N261" s="83">
        <f>2000000-2000000</f>
        <v>0</v>
      </c>
      <c r="O261" s="83">
        <f>2000000-2000000</f>
        <v>0</v>
      </c>
      <c r="P261" s="83">
        <f t="shared" si="86"/>
        <v>1500000</v>
      </c>
      <c r="Q261" s="271"/>
      <c r="R261" s="153"/>
      <c r="S261" s="153"/>
      <c r="T261" s="153"/>
    </row>
    <row r="262" spans="1:20" s="4" customFormat="1" ht="21.75" customHeight="1" x14ac:dyDescent="0.2">
      <c r="A262" s="81" t="s">
        <v>323</v>
      </c>
      <c r="B262" s="81" t="str">
        <f>'дод. 4'!A223</f>
        <v>7690</v>
      </c>
      <c r="C262" s="81">
        <f>'дод. 4'!B223</f>
        <v>0</v>
      </c>
      <c r="D262" s="102" t="str">
        <f>'дод. 4'!C223</f>
        <v>Інша економічна діяльність</v>
      </c>
      <c r="E262" s="83">
        <f>E263</f>
        <v>0</v>
      </c>
      <c r="F262" s="83">
        <f t="shared" ref="F262:P262" si="90">F263</f>
        <v>0</v>
      </c>
      <c r="G262" s="83">
        <f t="shared" si="90"/>
        <v>0</v>
      </c>
      <c r="H262" s="83">
        <f t="shared" si="90"/>
        <v>0</v>
      </c>
      <c r="I262" s="83">
        <f t="shared" si="90"/>
        <v>0</v>
      </c>
      <c r="J262" s="83">
        <f t="shared" si="90"/>
        <v>938334.69000000006</v>
      </c>
      <c r="K262" s="83">
        <f t="shared" si="90"/>
        <v>138332.01</v>
      </c>
      <c r="L262" s="83">
        <f t="shared" si="90"/>
        <v>0</v>
      </c>
      <c r="M262" s="83">
        <f t="shared" si="90"/>
        <v>0</v>
      </c>
      <c r="N262" s="83">
        <f t="shared" si="90"/>
        <v>800002.68</v>
      </c>
      <c r="O262" s="83">
        <f t="shared" si="90"/>
        <v>0</v>
      </c>
      <c r="P262" s="83">
        <f t="shared" si="90"/>
        <v>938334.69000000006</v>
      </c>
      <c r="Q262" s="271"/>
      <c r="R262" s="154"/>
      <c r="S262" s="154"/>
      <c r="T262" s="154"/>
    </row>
    <row r="263" spans="1:20" s="110" customFormat="1" ht="123.75" customHeight="1" x14ac:dyDescent="0.2">
      <c r="A263" s="111" t="s">
        <v>472</v>
      </c>
      <c r="B263" s="99">
        <v>7691</v>
      </c>
      <c r="C263" s="99" t="s">
        <v>126</v>
      </c>
      <c r="D263" s="79" t="s">
        <v>499</v>
      </c>
      <c r="E263" s="80">
        <f>F263+I263</f>
        <v>0</v>
      </c>
      <c r="F263" s="80"/>
      <c r="G263" s="80"/>
      <c r="H263" s="80"/>
      <c r="I263" s="80"/>
      <c r="J263" s="80">
        <f t="shared" si="83"/>
        <v>938334.69000000006</v>
      </c>
      <c r="K263" s="80">
        <f>80000+58332.01</f>
        <v>138332.01</v>
      </c>
      <c r="L263" s="80"/>
      <c r="M263" s="80"/>
      <c r="N263" s="80">
        <f>800000+2.68</f>
        <v>800002.68</v>
      </c>
      <c r="O263" s="80"/>
      <c r="P263" s="80">
        <f>E263+J263</f>
        <v>938334.69000000006</v>
      </c>
      <c r="Q263" s="271"/>
      <c r="R263" s="155"/>
      <c r="S263" s="155"/>
      <c r="T263" s="155"/>
    </row>
    <row r="264" spans="1:20" s="4" customFormat="1" ht="21.75" customHeight="1" x14ac:dyDescent="0.2">
      <c r="A264" s="81" t="s">
        <v>324</v>
      </c>
      <c r="B264" s="81" t="str">
        <f>'дод. 4'!A233</f>
        <v>8320</v>
      </c>
      <c r="C264" s="81" t="str">
        <f>'дод. 4'!B233</f>
        <v>0520</v>
      </c>
      <c r="D264" s="102" t="str">
        <f>'дод. 4'!C233</f>
        <v>Збереження природно-заповідного фонду</v>
      </c>
      <c r="E264" s="83">
        <f>F264+I264</f>
        <v>76600</v>
      </c>
      <c r="F264" s="83">
        <v>76600</v>
      </c>
      <c r="G264" s="83"/>
      <c r="H264" s="83"/>
      <c r="I264" s="83"/>
      <c r="J264" s="83">
        <f t="shared" si="83"/>
        <v>0</v>
      </c>
      <c r="K264" s="83"/>
      <c r="L264" s="83"/>
      <c r="M264" s="83"/>
      <c r="N264" s="83"/>
      <c r="O264" s="83"/>
      <c r="P264" s="83">
        <f>E264+J264</f>
        <v>76600</v>
      </c>
      <c r="Q264" s="271"/>
      <c r="R264" s="153"/>
      <c r="S264" s="153"/>
      <c r="T264" s="153"/>
    </row>
    <row r="265" spans="1:20" s="4" customFormat="1" ht="36" customHeight="1" x14ac:dyDescent="0.2">
      <c r="A265" s="81" t="s">
        <v>325</v>
      </c>
      <c r="B265" s="81" t="str">
        <f>'дод. 4'!A234</f>
        <v>8340</v>
      </c>
      <c r="C265" s="81" t="str">
        <f>'дод. 4'!B234</f>
        <v>0540</v>
      </c>
      <c r="D265" s="102" t="str">
        <f>'дод. 4'!C234</f>
        <v>Природоохоронні заходи за рахунок цільових фондів</v>
      </c>
      <c r="E265" s="83">
        <f>F265+I265</f>
        <v>0</v>
      </c>
      <c r="F265" s="83"/>
      <c r="G265" s="83"/>
      <c r="H265" s="83"/>
      <c r="I265" s="83"/>
      <c r="J265" s="83">
        <f t="shared" si="83"/>
        <v>6187613.8700000001</v>
      </c>
      <c r="K265" s="83">
        <f>1711500+207292</f>
        <v>1918792</v>
      </c>
      <c r="L265" s="83"/>
      <c r="M265" s="83"/>
      <c r="N265" s="83">
        <f>1540000-1000000+1000000+1950821.87+778000</f>
        <v>4268821.87</v>
      </c>
      <c r="O265" s="83"/>
      <c r="P265" s="83">
        <f>E265+J265</f>
        <v>6187613.8700000001</v>
      </c>
      <c r="Q265" s="271"/>
      <c r="R265" s="153"/>
      <c r="S265" s="153"/>
      <c r="T265" s="153"/>
    </row>
    <row r="266" spans="1:20" s="4" customFormat="1" ht="24.75" customHeight="1" x14ac:dyDescent="0.2">
      <c r="A266" s="81" t="s">
        <v>326</v>
      </c>
      <c r="B266" s="81" t="str">
        <f>'дод. 4'!A248</f>
        <v>9770</v>
      </c>
      <c r="C266" s="81" t="str">
        <f>'дод. 4'!B248</f>
        <v>0180</v>
      </c>
      <c r="D266" s="102" t="str">
        <f>'дод. 4'!C248</f>
        <v xml:space="preserve">Інші субвенції з місцевого бюджету </v>
      </c>
      <c r="E266" s="83">
        <f>F266+I266</f>
        <v>760000</v>
      </c>
      <c r="F266" s="83">
        <v>760000</v>
      </c>
      <c r="G266" s="83"/>
      <c r="H266" s="83"/>
      <c r="I266" s="83"/>
      <c r="J266" s="83">
        <f t="shared" si="83"/>
        <v>1220000</v>
      </c>
      <c r="K266" s="83"/>
      <c r="L266" s="83"/>
      <c r="M266" s="83"/>
      <c r="N266" s="83">
        <v>1220000</v>
      </c>
      <c r="O266" s="83">
        <v>1220000</v>
      </c>
      <c r="P266" s="83">
        <f>E266+J266</f>
        <v>1980000</v>
      </c>
      <c r="Q266" s="271"/>
      <c r="R266" s="153"/>
      <c r="S266" s="153"/>
      <c r="T266" s="153"/>
    </row>
    <row r="267" spans="1:20" s="107" customFormat="1" ht="28.5" customHeight="1" x14ac:dyDescent="0.2">
      <c r="A267" s="106" t="s">
        <v>52</v>
      </c>
      <c r="B267" s="36"/>
      <c r="C267" s="36"/>
      <c r="D267" s="35" t="s">
        <v>66</v>
      </c>
      <c r="E267" s="46">
        <f>E268</f>
        <v>4614000</v>
      </c>
      <c r="F267" s="46">
        <f t="shared" ref="F267:P267" si="91">F268</f>
        <v>4614000</v>
      </c>
      <c r="G267" s="46">
        <f t="shared" si="91"/>
        <v>3515000</v>
      </c>
      <c r="H267" s="46">
        <f t="shared" si="91"/>
        <v>81850</v>
      </c>
      <c r="I267" s="46">
        <f t="shared" si="91"/>
        <v>0</v>
      </c>
      <c r="J267" s="46">
        <f t="shared" si="91"/>
        <v>40000</v>
      </c>
      <c r="K267" s="46">
        <f t="shared" si="91"/>
        <v>0</v>
      </c>
      <c r="L267" s="46">
        <f t="shared" si="91"/>
        <v>0</v>
      </c>
      <c r="M267" s="46">
        <f t="shared" si="91"/>
        <v>0</v>
      </c>
      <c r="N267" s="46">
        <f t="shared" si="91"/>
        <v>40000</v>
      </c>
      <c r="O267" s="46">
        <f t="shared" si="91"/>
        <v>40000</v>
      </c>
      <c r="P267" s="46">
        <f t="shared" si="91"/>
        <v>4654000</v>
      </c>
      <c r="Q267" s="271"/>
      <c r="R267" s="151"/>
      <c r="S267" s="151"/>
      <c r="T267" s="151"/>
    </row>
    <row r="268" spans="1:20" s="109" customFormat="1" ht="33" customHeight="1" x14ac:dyDescent="0.2">
      <c r="A268" s="108" t="s">
        <v>179</v>
      </c>
      <c r="B268" s="119"/>
      <c r="C268" s="119"/>
      <c r="D268" s="118" t="s">
        <v>66</v>
      </c>
      <c r="E268" s="74">
        <f>E269+E270</f>
        <v>4614000</v>
      </c>
      <c r="F268" s="74">
        <f t="shared" ref="F268:P268" si="92">F269+F270</f>
        <v>4614000</v>
      </c>
      <c r="G268" s="74">
        <f t="shared" si="92"/>
        <v>3515000</v>
      </c>
      <c r="H268" s="74">
        <f t="shared" si="92"/>
        <v>81850</v>
      </c>
      <c r="I268" s="74">
        <f t="shared" si="92"/>
        <v>0</v>
      </c>
      <c r="J268" s="74">
        <f t="shared" si="92"/>
        <v>40000</v>
      </c>
      <c r="K268" s="74">
        <f t="shared" si="92"/>
        <v>0</v>
      </c>
      <c r="L268" s="74">
        <f t="shared" si="92"/>
        <v>0</v>
      </c>
      <c r="M268" s="74">
        <f t="shared" si="92"/>
        <v>0</v>
      </c>
      <c r="N268" s="74">
        <f t="shared" si="92"/>
        <v>40000</v>
      </c>
      <c r="O268" s="74">
        <f t="shared" si="92"/>
        <v>40000</v>
      </c>
      <c r="P268" s="74">
        <f t="shared" si="92"/>
        <v>4654000</v>
      </c>
      <c r="Q268" s="271"/>
      <c r="R268" s="160"/>
      <c r="S268" s="160"/>
      <c r="T268" s="160"/>
    </row>
    <row r="269" spans="1:20" s="4" customFormat="1" ht="58.5" customHeight="1" x14ac:dyDescent="0.2">
      <c r="A269" s="75" t="s">
        <v>0</v>
      </c>
      <c r="B269" s="75" t="str">
        <f>'дод. 4'!A14</f>
        <v>0160</v>
      </c>
      <c r="C269" s="75" t="str">
        <f>'дод. 4'!B14</f>
        <v>0111</v>
      </c>
      <c r="D269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69" s="77">
        <f>F269+I269</f>
        <v>4614000</v>
      </c>
      <c r="F269" s="77">
        <f>4516800-52800+50000+100000</f>
        <v>4614000</v>
      </c>
      <c r="G269" s="77">
        <v>3515000</v>
      </c>
      <c r="H269" s="77">
        <v>81850</v>
      </c>
      <c r="I269" s="77"/>
      <c r="J269" s="77">
        <f>K269+N269</f>
        <v>40000</v>
      </c>
      <c r="K269" s="77"/>
      <c r="L269" s="77"/>
      <c r="M269" s="77"/>
      <c r="N269" s="77">
        <f>20000-10000+30000</f>
        <v>40000</v>
      </c>
      <c r="O269" s="77">
        <f>20000-10000+30000</f>
        <v>40000</v>
      </c>
      <c r="P269" s="77">
        <f>E269+J269</f>
        <v>4654000</v>
      </c>
      <c r="Q269" s="271"/>
      <c r="R269" s="153"/>
      <c r="S269" s="153"/>
      <c r="T269" s="153"/>
    </row>
    <row r="270" spans="1:20" s="4" customFormat="1" ht="37.5" hidden="1" customHeight="1" x14ac:dyDescent="0.2">
      <c r="A270" s="75" t="s">
        <v>404</v>
      </c>
      <c r="B270" s="75" t="str">
        <f>'дод. 4'!A181</f>
        <v>6090</v>
      </c>
      <c r="C270" s="75" t="str">
        <f>'дод. 4'!B181</f>
        <v>0640</v>
      </c>
      <c r="D270" s="104" t="str">
        <f>'дод. 4'!C181</f>
        <v>Інша діяльність у сфері житлово-комунального господарства</v>
      </c>
      <c r="E270" s="77">
        <f>F270+I270</f>
        <v>0</v>
      </c>
      <c r="F270" s="77">
        <f>540000-140000-50000-93888-256112</f>
        <v>0</v>
      </c>
      <c r="G270" s="77"/>
      <c r="H270" s="77"/>
      <c r="I270" s="77"/>
      <c r="J270" s="77">
        <f>K270+N270</f>
        <v>0</v>
      </c>
      <c r="K270" s="77"/>
      <c r="L270" s="77"/>
      <c r="M270" s="77"/>
      <c r="N270" s="77"/>
      <c r="O270" s="77"/>
      <c r="P270" s="77">
        <f>E270+J270</f>
        <v>0</v>
      </c>
      <c r="Q270" s="271"/>
      <c r="R270" s="153"/>
      <c r="S270" s="153"/>
      <c r="T270" s="153"/>
    </row>
    <row r="271" spans="1:20" s="107" customFormat="1" ht="31.5" customHeight="1" x14ac:dyDescent="0.2">
      <c r="A271" s="106" t="s">
        <v>54</v>
      </c>
      <c r="B271" s="36"/>
      <c r="C271" s="36"/>
      <c r="D271" s="35" t="s">
        <v>65</v>
      </c>
      <c r="E271" s="46">
        <f>E272</f>
        <v>106614067.34999999</v>
      </c>
      <c r="F271" s="46">
        <f t="shared" ref="F271:P271" si="93">F272</f>
        <v>106529155</v>
      </c>
      <c r="G271" s="46">
        <f t="shared" si="93"/>
        <v>0</v>
      </c>
      <c r="H271" s="46">
        <f t="shared" si="93"/>
        <v>0</v>
      </c>
      <c r="I271" s="46">
        <f t="shared" si="93"/>
        <v>84912.35</v>
      </c>
      <c r="J271" s="46">
        <f t="shared" si="93"/>
        <v>231964983.94999999</v>
      </c>
      <c r="K271" s="46">
        <f>K272</f>
        <v>44150000</v>
      </c>
      <c r="L271" s="46">
        <f t="shared" si="93"/>
        <v>1725540</v>
      </c>
      <c r="M271" s="46">
        <f t="shared" si="93"/>
        <v>46200</v>
      </c>
      <c r="N271" s="46">
        <f t="shared" si="93"/>
        <v>187814983.94999999</v>
      </c>
      <c r="O271" s="46">
        <f t="shared" si="93"/>
        <v>186426916</v>
      </c>
      <c r="P271" s="46">
        <f t="shared" si="93"/>
        <v>338579051.29999995</v>
      </c>
      <c r="Q271" s="271"/>
      <c r="R271" s="151"/>
      <c r="S271" s="151"/>
      <c r="T271" s="151"/>
    </row>
    <row r="272" spans="1:20" s="109" customFormat="1" ht="38.25" customHeight="1" x14ac:dyDescent="0.2">
      <c r="A272" s="108" t="s">
        <v>55</v>
      </c>
      <c r="B272" s="119"/>
      <c r="C272" s="119"/>
      <c r="D272" s="118" t="s">
        <v>65</v>
      </c>
      <c r="E272" s="74">
        <f t="shared" ref="E272:P272" si="94">E274+E275+E276+E280+E281+E285+E298+E286+E287+E299+E292+E294</f>
        <v>106614067.34999999</v>
      </c>
      <c r="F272" s="74">
        <f t="shared" si="94"/>
        <v>106529155</v>
      </c>
      <c r="G272" s="74">
        <f t="shared" si="94"/>
        <v>0</v>
      </c>
      <c r="H272" s="74">
        <f t="shared" si="94"/>
        <v>0</v>
      </c>
      <c r="I272" s="74">
        <f t="shared" si="94"/>
        <v>84912.35</v>
      </c>
      <c r="J272" s="74">
        <f t="shared" si="94"/>
        <v>231964983.94999999</v>
      </c>
      <c r="K272" s="74">
        <f t="shared" si="94"/>
        <v>44150000</v>
      </c>
      <c r="L272" s="74">
        <f t="shared" si="94"/>
        <v>1725540</v>
      </c>
      <c r="M272" s="74">
        <f t="shared" si="94"/>
        <v>46200</v>
      </c>
      <c r="N272" s="74">
        <f t="shared" si="94"/>
        <v>187814983.94999999</v>
      </c>
      <c r="O272" s="74">
        <f t="shared" si="94"/>
        <v>186426916</v>
      </c>
      <c r="P272" s="74">
        <f t="shared" si="94"/>
        <v>338579051.29999995</v>
      </c>
      <c r="Q272" s="271"/>
      <c r="R272" s="157"/>
      <c r="S272" s="157"/>
      <c r="T272" s="157"/>
    </row>
    <row r="273" spans="1:21" s="109" customFormat="1" ht="25.5" customHeight="1" x14ac:dyDescent="0.2">
      <c r="A273" s="108"/>
      <c r="B273" s="119"/>
      <c r="C273" s="119"/>
      <c r="D273" s="118" t="s">
        <v>416</v>
      </c>
      <c r="E273" s="74">
        <f t="shared" ref="E273:P273" si="95">E288+E295</f>
        <v>0</v>
      </c>
      <c r="F273" s="74">
        <f t="shared" si="95"/>
        <v>0</v>
      </c>
      <c r="G273" s="74">
        <f t="shared" si="95"/>
        <v>0</v>
      </c>
      <c r="H273" s="74">
        <f t="shared" si="95"/>
        <v>0</v>
      </c>
      <c r="I273" s="74">
        <f t="shared" si="95"/>
        <v>0</v>
      </c>
      <c r="J273" s="74">
        <f t="shared" si="95"/>
        <v>42234946</v>
      </c>
      <c r="K273" s="74">
        <f t="shared" si="95"/>
        <v>41900000</v>
      </c>
      <c r="L273" s="74">
        <f t="shared" si="95"/>
        <v>0</v>
      </c>
      <c r="M273" s="74">
        <f t="shared" si="95"/>
        <v>0</v>
      </c>
      <c r="N273" s="74">
        <f t="shared" si="95"/>
        <v>334946</v>
      </c>
      <c r="O273" s="74">
        <f t="shared" si="95"/>
        <v>300091</v>
      </c>
      <c r="P273" s="74">
        <f t="shared" si="95"/>
        <v>42234946</v>
      </c>
      <c r="Q273" s="271"/>
      <c r="R273" s="157"/>
      <c r="S273" s="157"/>
      <c r="T273" s="157"/>
    </row>
    <row r="274" spans="1:21" s="4" customFormat="1" ht="45" x14ac:dyDescent="0.2">
      <c r="A274" s="75" t="s">
        <v>221</v>
      </c>
      <c r="B274" s="75" t="str">
        <f>'дод. 4'!A14</f>
        <v>0160</v>
      </c>
      <c r="C274" s="75" t="str">
        <f>'дод. 4'!B14</f>
        <v>0111</v>
      </c>
      <c r="D274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74" s="77">
        <f>F274+I274</f>
        <v>0</v>
      </c>
      <c r="F274" s="77"/>
      <c r="G274" s="77"/>
      <c r="H274" s="77"/>
      <c r="I274" s="77"/>
      <c r="J274" s="77">
        <f>K274+N274</f>
        <v>2600000</v>
      </c>
      <c r="K274" s="77">
        <f>2250000</f>
        <v>2250000</v>
      </c>
      <c r="L274" s="77">
        <f>1725540</f>
        <v>1725540</v>
      </c>
      <c r="M274" s="77">
        <f>46200</f>
        <v>46200</v>
      </c>
      <c r="N274" s="77">
        <f>350000</f>
        <v>350000</v>
      </c>
      <c r="O274" s="77"/>
      <c r="P274" s="77">
        <f>E274+J274</f>
        <v>2600000</v>
      </c>
      <c r="Q274" s="271"/>
      <c r="R274" s="153"/>
      <c r="S274" s="153"/>
      <c r="T274" s="153"/>
    </row>
    <row r="275" spans="1:21" s="4" customFormat="1" ht="22.5" customHeight="1" x14ac:dyDescent="0.2">
      <c r="A275" s="75" t="s">
        <v>327</v>
      </c>
      <c r="B275" s="75" t="str">
        <f>'дод. 4'!A170</f>
        <v>6030</v>
      </c>
      <c r="C275" s="75" t="str">
        <f>'дод. 4'!B170</f>
        <v>0620</v>
      </c>
      <c r="D275" s="104" t="str">
        <f>'дод. 4'!C170</f>
        <v>Організація благоустрою населених пунктів</v>
      </c>
      <c r="E275" s="77">
        <f>F275+I275</f>
        <v>106000000</v>
      </c>
      <c r="F275" s="77">
        <f>40000000+20000000-2000000+20000000+15000000+13000000-10000000+3000000+4969382+2030618</f>
        <v>106000000</v>
      </c>
      <c r="G275" s="77"/>
      <c r="H275" s="77"/>
      <c r="I275" s="77"/>
      <c r="J275" s="77">
        <f>K275+N275</f>
        <v>94984882</v>
      </c>
      <c r="K275" s="77"/>
      <c r="L275" s="77"/>
      <c r="M275" s="77"/>
      <c r="N275" s="77">
        <f>60000000+30000000-3248000+263500+1000000+7000000+2000000-2030618</f>
        <v>94984882</v>
      </c>
      <c r="O275" s="77">
        <f>60000000+30000000-3248000+263500+1000000+7000000+2000000-2030618</f>
        <v>94984882</v>
      </c>
      <c r="P275" s="77">
        <f>E275+J275</f>
        <v>200984882</v>
      </c>
      <c r="Q275" s="271"/>
      <c r="R275" s="153"/>
      <c r="S275" s="153"/>
      <c r="T275" s="162"/>
    </row>
    <row r="276" spans="1:21" s="4" customFormat="1" ht="33" customHeight="1" x14ac:dyDescent="0.2">
      <c r="A276" s="85" t="s">
        <v>328</v>
      </c>
      <c r="B276" s="85" t="str">
        <f>'дод. 4'!A175</f>
        <v>6080</v>
      </c>
      <c r="C276" s="85">
        <f>'дод. 4'!B175</f>
        <v>0</v>
      </c>
      <c r="D276" s="103" t="str">
        <f>'дод. 4'!C175</f>
        <v xml:space="preserve">Реалізація державних та місцевих житлових програм </v>
      </c>
      <c r="E276" s="77">
        <f>E279+E277+E278</f>
        <v>84912.35</v>
      </c>
      <c r="F276" s="77">
        <f t="shared" ref="F276:P276" si="96">F279+F277+F278</f>
        <v>0</v>
      </c>
      <c r="G276" s="77">
        <f t="shared" si="96"/>
        <v>0</v>
      </c>
      <c r="H276" s="77">
        <f t="shared" si="96"/>
        <v>0</v>
      </c>
      <c r="I276" s="77">
        <f t="shared" si="96"/>
        <v>84912.35</v>
      </c>
      <c r="J276" s="77">
        <f t="shared" si="96"/>
        <v>757740.69</v>
      </c>
      <c r="K276" s="77">
        <f t="shared" si="96"/>
        <v>0</v>
      </c>
      <c r="L276" s="77">
        <f t="shared" si="96"/>
        <v>0</v>
      </c>
      <c r="M276" s="77">
        <f t="shared" si="96"/>
        <v>0</v>
      </c>
      <c r="N276" s="77">
        <f t="shared" si="96"/>
        <v>757740.69</v>
      </c>
      <c r="O276" s="77">
        <f t="shared" si="96"/>
        <v>700000</v>
      </c>
      <c r="P276" s="77">
        <f t="shared" si="96"/>
        <v>842653.04</v>
      </c>
      <c r="Q276" s="271"/>
      <c r="R276" s="154"/>
      <c r="S276" s="154"/>
      <c r="T276" s="154"/>
      <c r="U276" s="143"/>
    </row>
    <row r="277" spans="1:21" s="110" customFormat="1" ht="33" customHeight="1" x14ac:dyDescent="0.2">
      <c r="A277" s="78" t="s">
        <v>629</v>
      </c>
      <c r="B277" s="78" t="str">
        <f>'дод. 4'!A177</f>
        <v>6082</v>
      </c>
      <c r="C277" s="78" t="str">
        <f>'дод. 4'!B177</f>
        <v>0610</v>
      </c>
      <c r="D277" s="101" t="str">
        <f>'дод. 4'!C177</f>
        <v>Придбання житла для окремих категорій населення відповідно до законодавства</v>
      </c>
      <c r="E277" s="80">
        <f>F277+I277</f>
        <v>0</v>
      </c>
      <c r="F277" s="80"/>
      <c r="G277" s="80"/>
      <c r="H277" s="80"/>
      <c r="I277" s="80"/>
      <c r="J277" s="80">
        <f>K277+N277</f>
        <v>500000</v>
      </c>
      <c r="K277" s="80"/>
      <c r="L277" s="80"/>
      <c r="M277" s="80"/>
      <c r="N277" s="80">
        <f>250000+250000</f>
        <v>500000</v>
      </c>
      <c r="O277" s="80">
        <f>250000+250000</f>
        <v>500000</v>
      </c>
      <c r="P277" s="80">
        <f>E277+J277</f>
        <v>500000</v>
      </c>
      <c r="Q277" s="271"/>
      <c r="R277" s="213"/>
      <c r="S277" s="213"/>
      <c r="T277" s="213"/>
      <c r="U277" s="214"/>
    </row>
    <row r="278" spans="1:21" s="110" customFormat="1" ht="44.25" customHeight="1" x14ac:dyDescent="0.2">
      <c r="A278" s="78" t="s">
        <v>678</v>
      </c>
      <c r="B278" s="78" t="s">
        <v>670</v>
      </c>
      <c r="C278" s="78" t="s">
        <v>109</v>
      </c>
      <c r="D278" s="101" t="s">
        <v>669</v>
      </c>
      <c r="E278" s="80"/>
      <c r="F278" s="80"/>
      <c r="G278" s="80"/>
      <c r="H278" s="80"/>
      <c r="I278" s="80"/>
      <c r="J278" s="80">
        <f>K278+N278</f>
        <v>200000</v>
      </c>
      <c r="K278" s="80"/>
      <c r="L278" s="80"/>
      <c r="M278" s="80"/>
      <c r="N278" s="80">
        <v>200000</v>
      </c>
      <c r="O278" s="80">
        <v>200000</v>
      </c>
      <c r="P278" s="80">
        <f>E278+J278</f>
        <v>200000</v>
      </c>
      <c r="Q278" s="271"/>
      <c r="R278" s="213"/>
      <c r="S278" s="213"/>
      <c r="T278" s="213"/>
      <c r="U278" s="214"/>
    </row>
    <row r="279" spans="1:21" s="110" customFormat="1" ht="62.25" customHeight="1" x14ac:dyDescent="0.2">
      <c r="A279" s="78" t="s">
        <v>329</v>
      </c>
      <c r="B279" s="78" t="str">
        <f>'дод. 4'!A180</f>
        <v>6084</v>
      </c>
      <c r="C279" s="78" t="str">
        <f>'дод. 4'!B180</f>
        <v>0610</v>
      </c>
      <c r="D279" s="101" t="str">
        <f>'дод. 4'!C180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79" s="80">
        <f>F279+I279</f>
        <v>84912.35</v>
      </c>
      <c r="F279" s="80"/>
      <c r="G279" s="80"/>
      <c r="H279" s="80"/>
      <c r="I279" s="80">
        <f>84906+6.35</f>
        <v>84912.35</v>
      </c>
      <c r="J279" s="80">
        <f>K279+N279</f>
        <v>57740.69</v>
      </c>
      <c r="K279" s="80"/>
      <c r="L279" s="80"/>
      <c r="M279" s="80"/>
      <c r="N279" s="80">
        <f>39048+18692.69</f>
        <v>57740.69</v>
      </c>
      <c r="O279" s="80"/>
      <c r="P279" s="80">
        <f>E279+J279</f>
        <v>142653.04</v>
      </c>
      <c r="Q279" s="271"/>
      <c r="R279" s="155"/>
      <c r="S279" s="155"/>
      <c r="T279" s="155"/>
    </row>
    <row r="280" spans="1:21" s="4" customFormat="1" ht="36" customHeight="1" x14ac:dyDescent="0.2">
      <c r="A280" s="75" t="s">
        <v>428</v>
      </c>
      <c r="B280" s="75" t="str">
        <f>'дод. 4'!A187</f>
        <v>7310</v>
      </c>
      <c r="C280" s="75" t="str">
        <f>'дод. 4'!B187</f>
        <v>0443</v>
      </c>
      <c r="D280" s="102" t="str">
        <f>'дод. 4'!C187</f>
        <v>Будівництво об'єктів житлово-комунального господарства</v>
      </c>
      <c r="E280" s="77">
        <f>F280+I280</f>
        <v>0</v>
      </c>
      <c r="F280" s="77"/>
      <c r="G280" s="77"/>
      <c r="H280" s="77"/>
      <c r="I280" s="77"/>
      <c r="J280" s="77">
        <f>K280+N280</f>
        <v>9527865</v>
      </c>
      <c r="K280" s="77"/>
      <c r="L280" s="77"/>
      <c r="M280" s="77"/>
      <c r="N280" s="77">
        <f>9900000+42500+8500+50000-400000-100000+2000000-2000000-38200+65065</f>
        <v>9527865</v>
      </c>
      <c r="O280" s="77">
        <f>9900000+42500+8500+50000-400000-100000+2000000-2000000-38200+65065</f>
        <v>9527865</v>
      </c>
      <c r="P280" s="77">
        <f>E280+J280</f>
        <v>9527865</v>
      </c>
      <c r="Q280" s="271"/>
      <c r="R280" s="153"/>
      <c r="S280" s="153"/>
      <c r="T280" s="162"/>
    </row>
    <row r="281" spans="1:21" s="4" customFormat="1" ht="36" customHeight="1" x14ac:dyDescent="0.2">
      <c r="A281" s="75" t="s">
        <v>429</v>
      </c>
      <c r="B281" s="75" t="str">
        <f>'дод. 4'!A188</f>
        <v>7320</v>
      </c>
      <c r="C281" s="75">
        <f>'дод. 4'!B188</f>
        <v>0</v>
      </c>
      <c r="D281" s="102" t="str">
        <f>'дод. 4'!C188</f>
        <v>Будівництво об'єктів соціально-культурного призначення</v>
      </c>
      <c r="E281" s="77">
        <f>E282+E283+E284</f>
        <v>0</v>
      </c>
      <c r="F281" s="77">
        <f t="shared" ref="F281:P281" si="97">F282+F283+F284</f>
        <v>0</v>
      </c>
      <c r="G281" s="77">
        <f t="shared" si="97"/>
        <v>0</v>
      </c>
      <c r="H281" s="77">
        <f t="shared" si="97"/>
        <v>0</v>
      </c>
      <c r="I281" s="77">
        <f t="shared" si="97"/>
        <v>0</v>
      </c>
      <c r="J281" s="77">
        <f t="shared" si="97"/>
        <v>16411932</v>
      </c>
      <c r="K281" s="77">
        <f t="shared" si="97"/>
        <v>0</v>
      </c>
      <c r="L281" s="77">
        <f t="shared" si="97"/>
        <v>0</v>
      </c>
      <c r="M281" s="77">
        <f t="shared" si="97"/>
        <v>0</v>
      </c>
      <c r="N281" s="77">
        <f t="shared" si="97"/>
        <v>16411932</v>
      </c>
      <c r="O281" s="77">
        <f t="shared" si="97"/>
        <v>16411932</v>
      </c>
      <c r="P281" s="77">
        <f t="shared" si="97"/>
        <v>16411932</v>
      </c>
      <c r="Q281" s="271"/>
      <c r="R281" s="154"/>
      <c r="S281" s="154"/>
      <c r="T281" s="154"/>
    </row>
    <row r="282" spans="1:21" s="110" customFormat="1" ht="25.5" customHeight="1" x14ac:dyDescent="0.2">
      <c r="A282" s="78" t="s">
        <v>431</v>
      </c>
      <c r="B282" s="78" t="str">
        <f>'дод. 4'!A189</f>
        <v>7321</v>
      </c>
      <c r="C282" s="78" t="str">
        <f>'дод. 4'!B189</f>
        <v>0443</v>
      </c>
      <c r="D282" s="101" t="str">
        <f>'дод. 4'!C189</f>
        <v>Будівництво освітніх установ та закладів</v>
      </c>
      <c r="E282" s="80">
        <f>F282+I282</f>
        <v>0</v>
      </c>
      <c r="F282" s="80"/>
      <c r="G282" s="80"/>
      <c r="H282" s="80"/>
      <c r="I282" s="80"/>
      <c r="J282" s="80">
        <f>K282+N282</f>
        <v>6670932</v>
      </c>
      <c r="K282" s="80"/>
      <c r="L282" s="80"/>
      <c r="M282" s="80"/>
      <c r="N282" s="80">
        <f>3741000+7000000+221500+603037+318+125500+500000+100000-3000000-50000+400000-60600-3500000+30000+490000+500000-487000+70000-12823</f>
        <v>6670932</v>
      </c>
      <c r="O282" s="80">
        <f>3741000+7000000+221500+603037+318+125500+500000+100000-3000000-50000+400000-60600-3500000+30000+490000+500000-487000+70000-12823</f>
        <v>6670932</v>
      </c>
      <c r="P282" s="80">
        <f>E282+J282</f>
        <v>6670932</v>
      </c>
      <c r="Q282" s="271"/>
      <c r="R282" s="155"/>
      <c r="S282" s="155"/>
      <c r="T282" s="156"/>
    </row>
    <row r="283" spans="1:21" s="110" customFormat="1" ht="25.5" customHeight="1" x14ac:dyDescent="0.2">
      <c r="A283" s="78" t="s">
        <v>433</v>
      </c>
      <c r="B283" s="78" t="str">
        <f>'дод. 4'!A190</f>
        <v>7322</v>
      </c>
      <c r="C283" s="78" t="str">
        <f>'дод. 4'!B190</f>
        <v>0443</v>
      </c>
      <c r="D283" s="101" t="str">
        <f>'дод. 4'!C190</f>
        <v>Будівництво медичних установ та закладів</v>
      </c>
      <c r="E283" s="80">
        <f>F283+I283</f>
        <v>0</v>
      </c>
      <c r="F283" s="80"/>
      <c r="G283" s="80"/>
      <c r="H283" s="80"/>
      <c r="I283" s="80"/>
      <c r="J283" s="80">
        <f>K283+N283</f>
        <v>4980000</v>
      </c>
      <c r="K283" s="80"/>
      <c r="L283" s="80"/>
      <c r="M283" s="80"/>
      <c r="N283" s="80">
        <f>5500000+259000-150000-37000-12000-480000-100000</f>
        <v>4980000</v>
      </c>
      <c r="O283" s="80">
        <f>5500000+259000-150000-37000-12000-480000-100000</f>
        <v>4980000</v>
      </c>
      <c r="P283" s="80">
        <f>E283+J283</f>
        <v>4980000</v>
      </c>
      <c r="Q283" s="271"/>
      <c r="R283" s="155"/>
      <c r="S283" s="155"/>
      <c r="T283" s="155"/>
    </row>
    <row r="284" spans="1:21" s="110" customFormat="1" ht="36" customHeight="1" x14ac:dyDescent="0.2">
      <c r="A284" s="78" t="s">
        <v>435</v>
      </c>
      <c r="B284" s="78" t="str">
        <f>'дод. 4'!A191</f>
        <v>7325</v>
      </c>
      <c r="C284" s="78" t="str">
        <f>'дод. 4'!B191</f>
        <v>0443</v>
      </c>
      <c r="D284" s="101" t="str">
        <f>'дод. 4'!C191</f>
        <v>Будівництво споруд, установ та закладів фізичної культури і спорту</v>
      </c>
      <c r="E284" s="80">
        <f>F284+I284</f>
        <v>0</v>
      </c>
      <c r="F284" s="80"/>
      <c r="G284" s="80"/>
      <c r="H284" s="80"/>
      <c r="I284" s="80"/>
      <c r="J284" s="80">
        <f>K284+N284</f>
        <v>4761000</v>
      </c>
      <c r="K284" s="80"/>
      <c r="L284" s="80"/>
      <c r="M284" s="80"/>
      <c r="N284" s="80">
        <f>8500000-125000-580000-234000+100000-2900000</f>
        <v>4761000</v>
      </c>
      <c r="O284" s="80">
        <f>8500000-125000-580000-234000+100000-2900000</f>
        <v>4761000</v>
      </c>
      <c r="P284" s="80">
        <f>E284+J284</f>
        <v>4761000</v>
      </c>
      <c r="Q284" s="271"/>
      <c r="R284" s="155"/>
      <c r="S284" s="155"/>
      <c r="T284" s="155"/>
    </row>
    <row r="285" spans="1:21" s="4" customFormat="1" ht="36" customHeight="1" x14ac:dyDescent="0.2">
      <c r="A285" s="75" t="s">
        <v>437</v>
      </c>
      <c r="B285" s="75" t="str">
        <f>'дод. 4'!A192</f>
        <v>7330</v>
      </c>
      <c r="C285" s="75" t="str">
        <f>'дод. 4'!B192</f>
        <v>0443</v>
      </c>
      <c r="D285" s="102" t="str">
        <f>'дод. 4'!C192</f>
        <v>Будівництво інших об'єктів соціальної та виробничої інфраструктури комунальної власності</v>
      </c>
      <c r="E285" s="77">
        <f>F285+I285</f>
        <v>0</v>
      </c>
      <c r="F285" s="77"/>
      <c r="G285" s="77"/>
      <c r="H285" s="77"/>
      <c r="I285" s="77"/>
      <c r="J285" s="77">
        <f>K285+N285</f>
        <v>42412944</v>
      </c>
      <c r="K285" s="77"/>
      <c r="L285" s="77"/>
      <c r="M285" s="77"/>
      <c r="N285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</f>
        <v>42412944</v>
      </c>
      <c r="O285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+50000</f>
        <v>42412944</v>
      </c>
      <c r="P285" s="77">
        <f>E285+J285</f>
        <v>42412944</v>
      </c>
      <c r="Q285" s="271"/>
      <c r="R285" s="153"/>
      <c r="S285" s="153"/>
      <c r="T285" s="153"/>
    </row>
    <row r="286" spans="1:21" s="4" customFormat="1" ht="36" customHeight="1" x14ac:dyDescent="0.2">
      <c r="A286" s="75" t="s">
        <v>585</v>
      </c>
      <c r="B286" s="75" t="str">
        <f>'дод. 4'!A193</f>
        <v>7340</v>
      </c>
      <c r="C286" s="75" t="str">
        <f>'дод. 4'!B193</f>
        <v>0443</v>
      </c>
      <c r="D286" s="102" t="str">
        <f>'дод. 4'!C193</f>
        <v>Проектування, реставрація та охорона пам'яток архітектури</v>
      </c>
      <c r="E286" s="77">
        <f>F286+I286</f>
        <v>0</v>
      </c>
      <c r="F286" s="77"/>
      <c r="G286" s="77"/>
      <c r="H286" s="77"/>
      <c r="I286" s="77"/>
      <c r="J286" s="77">
        <f>K286+N286</f>
        <v>2200000</v>
      </c>
      <c r="K286" s="77"/>
      <c r="L286" s="77"/>
      <c r="M286" s="77"/>
      <c r="N286" s="77">
        <f>650000-150000+500000+1200000</f>
        <v>2200000</v>
      </c>
      <c r="O286" s="77">
        <f>650000-150000+500000+1200000</f>
        <v>2200000</v>
      </c>
      <c r="P286" s="77">
        <f>E286+J286</f>
        <v>2200000</v>
      </c>
      <c r="Q286" s="271"/>
      <c r="R286" s="153"/>
      <c r="S286" s="153"/>
      <c r="T286" s="153"/>
    </row>
    <row r="287" spans="1:21" s="4" customFormat="1" ht="24" customHeight="1" x14ac:dyDescent="0.2">
      <c r="A287" s="75" t="s">
        <v>613</v>
      </c>
      <c r="B287" s="75" t="str">
        <f>'дод. 4'!A195</f>
        <v>7360</v>
      </c>
      <c r="C287" s="75">
        <f>'дод. 4'!B195</f>
        <v>0</v>
      </c>
      <c r="D287" s="102" t="str">
        <f>'дод. 4'!C195</f>
        <v>Виконання інвестиційних проектів</v>
      </c>
      <c r="E287" s="77">
        <f>E290+E289</f>
        <v>0</v>
      </c>
      <c r="F287" s="77">
        <f t="shared" ref="F287:P287" si="98">F290+F289</f>
        <v>0</v>
      </c>
      <c r="G287" s="77">
        <f t="shared" si="98"/>
        <v>0</v>
      </c>
      <c r="H287" s="77">
        <f t="shared" si="98"/>
        <v>0</v>
      </c>
      <c r="I287" s="77">
        <f t="shared" si="98"/>
        <v>0</v>
      </c>
      <c r="J287" s="77">
        <f t="shared" si="98"/>
        <v>1137993</v>
      </c>
      <c r="K287" s="77">
        <f t="shared" si="98"/>
        <v>0</v>
      </c>
      <c r="L287" s="77">
        <f t="shared" si="98"/>
        <v>0</v>
      </c>
      <c r="M287" s="77">
        <f t="shared" si="98"/>
        <v>0</v>
      </c>
      <c r="N287" s="77">
        <f t="shared" si="98"/>
        <v>1137993</v>
      </c>
      <c r="O287" s="77">
        <f t="shared" si="98"/>
        <v>1103138</v>
      </c>
      <c r="P287" s="77">
        <f t="shared" si="98"/>
        <v>1137993</v>
      </c>
      <c r="Q287" s="271"/>
      <c r="R287" s="153"/>
      <c r="S287" s="153"/>
      <c r="T287" s="153"/>
    </row>
    <row r="288" spans="1:21" s="4" customFormat="1" ht="17.25" customHeight="1" x14ac:dyDescent="0.2">
      <c r="A288" s="75"/>
      <c r="B288" s="75"/>
      <c r="C288" s="75"/>
      <c r="D288" s="82" t="s">
        <v>416</v>
      </c>
      <c r="E288" s="77">
        <f>E291</f>
        <v>0</v>
      </c>
      <c r="F288" s="77">
        <f t="shared" ref="F288:P288" si="99">F291</f>
        <v>0</v>
      </c>
      <c r="G288" s="77">
        <f t="shared" si="99"/>
        <v>0</v>
      </c>
      <c r="H288" s="77">
        <f t="shared" si="99"/>
        <v>0</v>
      </c>
      <c r="I288" s="77">
        <f t="shared" si="99"/>
        <v>0</v>
      </c>
      <c r="J288" s="77">
        <f t="shared" si="99"/>
        <v>334946</v>
      </c>
      <c r="K288" s="77">
        <f t="shared" si="99"/>
        <v>0</v>
      </c>
      <c r="L288" s="77">
        <f t="shared" si="99"/>
        <v>0</v>
      </c>
      <c r="M288" s="77">
        <f t="shared" si="99"/>
        <v>0</v>
      </c>
      <c r="N288" s="77">
        <f t="shared" si="99"/>
        <v>334946</v>
      </c>
      <c r="O288" s="77">
        <f t="shared" si="99"/>
        <v>300091</v>
      </c>
      <c r="P288" s="77">
        <f t="shared" si="99"/>
        <v>334946</v>
      </c>
      <c r="Q288" s="271"/>
      <c r="R288" s="153"/>
      <c r="S288" s="153"/>
      <c r="T288" s="153"/>
    </row>
    <row r="289" spans="1:21" s="4" customFormat="1" ht="50.25" customHeight="1" x14ac:dyDescent="0.2">
      <c r="A289" s="78" t="s">
        <v>679</v>
      </c>
      <c r="B289" s="78" t="s">
        <v>625</v>
      </c>
      <c r="C289" s="78" t="s">
        <v>126</v>
      </c>
      <c r="D289" s="101" t="s">
        <v>626</v>
      </c>
      <c r="E289" s="80"/>
      <c r="F289" s="80"/>
      <c r="G289" s="80"/>
      <c r="H289" s="80"/>
      <c r="I289" s="80"/>
      <c r="J289" s="80">
        <f>K289+N289</f>
        <v>504600</v>
      </c>
      <c r="K289" s="80"/>
      <c r="L289" s="80"/>
      <c r="M289" s="80"/>
      <c r="N289" s="80">
        <v>504600</v>
      </c>
      <c r="O289" s="80">
        <v>504600</v>
      </c>
      <c r="P289" s="80">
        <f>E289+J289</f>
        <v>504600</v>
      </c>
      <c r="Q289" s="271"/>
      <c r="R289" s="153"/>
      <c r="S289" s="153"/>
      <c r="T289" s="153"/>
    </row>
    <row r="290" spans="1:21" s="110" customFormat="1" ht="48.75" customHeight="1" x14ac:dyDescent="0.2">
      <c r="A290" s="78" t="s">
        <v>614</v>
      </c>
      <c r="B290" s="78" t="str">
        <f>'дод. 4'!A198</f>
        <v>7363</v>
      </c>
      <c r="C290" s="78" t="str">
        <f>'дод. 4'!B198</f>
        <v>0490</v>
      </c>
      <c r="D290" s="101" t="str">
        <f>'дод. 4'!C198</f>
        <v>Виконання інвестиційних проектів в рамках здійснення заходів щодо соціально-економічного розвитку окремих територій</v>
      </c>
      <c r="E290" s="80">
        <f>F290+I290</f>
        <v>0</v>
      </c>
      <c r="F290" s="80"/>
      <c r="G290" s="80"/>
      <c r="H290" s="80"/>
      <c r="I290" s="80"/>
      <c r="J290" s="80">
        <f>K290+N290</f>
        <v>633393</v>
      </c>
      <c r="K290" s="80"/>
      <c r="L290" s="80"/>
      <c r="M290" s="80"/>
      <c r="N290" s="80">
        <f>289447+34946+9000+300000</f>
        <v>633393</v>
      </c>
      <c r="O290" s="80">
        <f>289447+91+9000+300000</f>
        <v>598538</v>
      </c>
      <c r="P290" s="80">
        <f>E290+J290</f>
        <v>633393</v>
      </c>
      <c r="Q290" s="271"/>
      <c r="R290" s="155"/>
      <c r="S290" s="155"/>
      <c r="T290" s="155"/>
    </row>
    <row r="291" spans="1:21" s="110" customFormat="1" ht="22.5" customHeight="1" x14ac:dyDescent="0.2">
      <c r="A291" s="78"/>
      <c r="B291" s="78"/>
      <c r="C291" s="78"/>
      <c r="D291" s="79" t="s">
        <v>416</v>
      </c>
      <c r="E291" s="80">
        <f>F291+I291</f>
        <v>0</v>
      </c>
      <c r="F291" s="80"/>
      <c r="G291" s="80"/>
      <c r="H291" s="80"/>
      <c r="I291" s="80"/>
      <c r="J291" s="80">
        <f>K291+N291</f>
        <v>334946</v>
      </c>
      <c r="K291" s="80"/>
      <c r="L291" s="80"/>
      <c r="M291" s="80"/>
      <c r="N291" s="80">
        <f>34946+300000</f>
        <v>334946</v>
      </c>
      <c r="O291" s="80">
        <f>91+300000</f>
        <v>300091</v>
      </c>
      <c r="P291" s="80">
        <f>E291+J291</f>
        <v>334946</v>
      </c>
      <c r="Q291" s="271"/>
      <c r="R291" s="155"/>
      <c r="S291" s="155"/>
      <c r="T291" s="155"/>
    </row>
    <row r="292" spans="1:21" s="4" customFormat="1" ht="27.75" customHeight="1" x14ac:dyDescent="0.2">
      <c r="A292" s="75" t="s">
        <v>621</v>
      </c>
      <c r="B292" s="75" t="str">
        <f>'дод. 4'!A207</f>
        <v>7440</v>
      </c>
      <c r="C292" s="75">
        <f>'дод. 4'!B207</f>
        <v>0</v>
      </c>
      <c r="D292" s="102" t="str">
        <f>'дод. 4'!C207</f>
        <v>Утримання та розвиток транспортної інфраструктури</v>
      </c>
      <c r="E292" s="77">
        <f>E293</f>
        <v>0</v>
      </c>
      <c r="F292" s="77">
        <f t="shared" ref="F292:P292" si="100">F293</f>
        <v>0</v>
      </c>
      <c r="G292" s="77">
        <f t="shared" si="100"/>
        <v>0</v>
      </c>
      <c r="H292" s="77">
        <f t="shared" si="100"/>
        <v>0</v>
      </c>
      <c r="I292" s="77">
        <f t="shared" si="100"/>
        <v>0</v>
      </c>
      <c r="J292" s="77">
        <f t="shared" si="100"/>
        <v>73389.14</v>
      </c>
      <c r="K292" s="77">
        <f t="shared" si="100"/>
        <v>0</v>
      </c>
      <c r="L292" s="77">
        <f t="shared" si="100"/>
        <v>0</v>
      </c>
      <c r="M292" s="77">
        <f t="shared" si="100"/>
        <v>0</v>
      </c>
      <c r="N292" s="77">
        <f t="shared" si="100"/>
        <v>73389.14</v>
      </c>
      <c r="O292" s="77">
        <f t="shared" si="100"/>
        <v>0</v>
      </c>
      <c r="P292" s="77">
        <f t="shared" si="100"/>
        <v>73389.14</v>
      </c>
      <c r="Q292" s="271"/>
      <c r="R292" s="153"/>
      <c r="S292" s="153"/>
      <c r="T292" s="153"/>
    </row>
    <row r="293" spans="1:21" s="110" customFormat="1" ht="36" customHeight="1" x14ac:dyDescent="0.2">
      <c r="A293" s="78" t="s">
        <v>622</v>
      </c>
      <c r="B293" s="78" t="str">
        <f>'дод. 4'!A208</f>
        <v>7442</v>
      </c>
      <c r="C293" s="78" t="str">
        <f>'дод. 4'!B208</f>
        <v>0456</v>
      </c>
      <c r="D293" s="101" t="str">
        <f>'дод. 4'!C208</f>
        <v>Утримання та розвиток інших об’єктів транспортної інфраструктури</v>
      </c>
      <c r="E293" s="80">
        <f>F293+I293</f>
        <v>0</v>
      </c>
      <c r="F293" s="80"/>
      <c r="G293" s="80"/>
      <c r="H293" s="80"/>
      <c r="I293" s="80"/>
      <c r="J293" s="80">
        <f>K293+N293</f>
        <v>73389.14</v>
      </c>
      <c r="K293" s="80"/>
      <c r="L293" s="80"/>
      <c r="M293" s="80"/>
      <c r="N293" s="80">
        <v>73389.14</v>
      </c>
      <c r="O293" s="80"/>
      <c r="P293" s="80">
        <f>E293+J293</f>
        <v>73389.14</v>
      </c>
      <c r="Q293" s="271"/>
      <c r="R293" s="155"/>
      <c r="S293" s="155"/>
      <c r="T293" s="155"/>
    </row>
    <row r="294" spans="1:21" s="110" customFormat="1" ht="36" customHeight="1" x14ac:dyDescent="0.25">
      <c r="A294" s="75" t="s">
        <v>641</v>
      </c>
      <c r="B294" s="87" t="s">
        <v>642</v>
      </c>
      <c r="C294" s="88"/>
      <c r="D294" s="232" t="s">
        <v>643</v>
      </c>
      <c r="E294" s="83">
        <f>F294+I294</f>
        <v>0</v>
      </c>
      <c r="F294" s="80"/>
      <c r="G294" s="80"/>
      <c r="H294" s="80"/>
      <c r="I294" s="80"/>
      <c r="J294" s="80">
        <f>J296</f>
        <v>41900000</v>
      </c>
      <c r="K294" s="80">
        <f t="shared" ref="K294:P294" si="101">K296</f>
        <v>41900000</v>
      </c>
      <c r="L294" s="80">
        <f t="shared" si="101"/>
        <v>0</v>
      </c>
      <c r="M294" s="80">
        <f t="shared" si="101"/>
        <v>0</v>
      </c>
      <c r="N294" s="80">
        <f t="shared" si="101"/>
        <v>0</v>
      </c>
      <c r="O294" s="80">
        <f t="shared" si="101"/>
        <v>0</v>
      </c>
      <c r="P294" s="80">
        <f t="shared" si="101"/>
        <v>41900000</v>
      </c>
      <c r="Q294" s="271"/>
      <c r="R294" s="159"/>
      <c r="S294" s="159"/>
      <c r="T294" s="159"/>
    </row>
    <row r="295" spans="1:21" s="110" customFormat="1" ht="18.75" customHeight="1" x14ac:dyDescent="0.25">
      <c r="A295" s="75"/>
      <c r="B295" s="87"/>
      <c r="C295" s="88"/>
      <c r="D295" s="233" t="str">
        <f t="shared" ref="D295:I295" si="102">D297</f>
        <v>у т.ч. за рахунок субвенцій з держбюджету</v>
      </c>
      <c r="E295" s="83">
        <f t="shared" si="102"/>
        <v>0</v>
      </c>
      <c r="F295" s="83">
        <f t="shared" si="102"/>
        <v>0</v>
      </c>
      <c r="G295" s="83">
        <f t="shared" si="102"/>
        <v>0</v>
      </c>
      <c r="H295" s="83">
        <f t="shared" si="102"/>
        <v>0</v>
      </c>
      <c r="I295" s="83">
        <f t="shared" si="102"/>
        <v>0</v>
      </c>
      <c r="J295" s="83">
        <f>J297</f>
        <v>41900000</v>
      </c>
      <c r="K295" s="83">
        <f>K297</f>
        <v>41900000</v>
      </c>
      <c r="L295" s="83">
        <f t="shared" ref="L295:P295" si="103">L297</f>
        <v>0</v>
      </c>
      <c r="M295" s="83">
        <f t="shared" si="103"/>
        <v>0</v>
      </c>
      <c r="N295" s="83">
        <f t="shared" si="103"/>
        <v>0</v>
      </c>
      <c r="O295" s="83">
        <f t="shared" si="103"/>
        <v>0</v>
      </c>
      <c r="P295" s="83">
        <f t="shared" si="103"/>
        <v>41900000</v>
      </c>
      <c r="Q295" s="271"/>
      <c r="R295" s="159"/>
      <c r="S295" s="159"/>
      <c r="T295" s="159"/>
    </row>
    <row r="296" spans="1:21" s="110" customFormat="1" ht="50.45" customHeight="1" x14ac:dyDescent="0.25">
      <c r="A296" s="78" t="s">
        <v>644</v>
      </c>
      <c r="B296" s="88" t="s">
        <v>645</v>
      </c>
      <c r="C296" s="99" t="s">
        <v>493</v>
      </c>
      <c r="D296" s="231" t="s">
        <v>646</v>
      </c>
      <c r="E296" s="83">
        <f>F296+I296</f>
        <v>0</v>
      </c>
      <c r="F296" s="80"/>
      <c r="G296" s="80"/>
      <c r="H296" s="80"/>
      <c r="I296" s="80"/>
      <c r="J296" s="80">
        <f>K296+N296</f>
        <v>41900000</v>
      </c>
      <c r="K296" s="80">
        <f>15900000-4000000+30000000</f>
        <v>41900000</v>
      </c>
      <c r="L296" s="80"/>
      <c r="M296" s="80"/>
      <c r="N296" s="80">
        <f>30000000-30000000</f>
        <v>0</v>
      </c>
      <c r="O296" s="80"/>
      <c r="P296" s="80">
        <f>E296+J296</f>
        <v>41900000</v>
      </c>
      <c r="Q296" s="271"/>
      <c r="R296" s="159"/>
      <c r="S296" s="159"/>
      <c r="T296" s="159"/>
    </row>
    <row r="297" spans="1:21" s="110" customFormat="1" ht="24" customHeight="1" x14ac:dyDescent="0.2">
      <c r="A297" s="78"/>
      <c r="B297" s="78"/>
      <c r="C297" s="111"/>
      <c r="D297" s="79" t="s">
        <v>416</v>
      </c>
      <c r="E297" s="80">
        <f>F297+I297</f>
        <v>0</v>
      </c>
      <c r="F297" s="80"/>
      <c r="G297" s="80"/>
      <c r="H297" s="80"/>
      <c r="I297" s="80"/>
      <c r="J297" s="80">
        <f>K297+N297</f>
        <v>41900000</v>
      </c>
      <c r="K297" s="80">
        <f>15900000-4000000+30000000</f>
        <v>41900000</v>
      </c>
      <c r="L297" s="80"/>
      <c r="M297" s="80"/>
      <c r="N297" s="80">
        <f>30000000-30000000</f>
        <v>0</v>
      </c>
      <c r="O297" s="80"/>
      <c r="P297" s="80">
        <f>J297+E297</f>
        <v>41900000</v>
      </c>
      <c r="Q297" s="271"/>
      <c r="R297" s="159"/>
      <c r="S297" s="159"/>
      <c r="T297" s="159"/>
    </row>
    <row r="298" spans="1:21" s="4" customFormat="1" ht="28.5" customHeight="1" x14ac:dyDescent="0.2">
      <c r="A298" s="81" t="s">
        <v>234</v>
      </c>
      <c r="B298" s="81" t="str">
        <f>'дод. 4'!A218</f>
        <v>7640</v>
      </c>
      <c r="C298" s="81" t="str">
        <f>'дод. 4'!B218</f>
        <v>0470</v>
      </c>
      <c r="D298" s="102" t="str">
        <f>'дод. 4'!C218</f>
        <v>Заходи з енергозбереження</v>
      </c>
      <c r="E298" s="83">
        <f>F298+I298</f>
        <v>529155</v>
      </c>
      <c r="F298" s="83">
        <f>529155+160000-160000</f>
        <v>529155</v>
      </c>
      <c r="G298" s="83"/>
      <c r="H298" s="83"/>
      <c r="I298" s="83"/>
      <c r="J298" s="83">
        <f>K298+N298</f>
        <v>19086155</v>
      </c>
      <c r="K298" s="83"/>
      <c r="L298" s="83"/>
      <c r="M298" s="83"/>
      <c r="N298" s="83">
        <f>18557000+529155-160000+160000</f>
        <v>19086155</v>
      </c>
      <c r="O298" s="83">
        <f>18557000+529155-160000+160000</f>
        <v>19086155</v>
      </c>
      <c r="P298" s="83">
        <f>E298+J298</f>
        <v>19615310</v>
      </c>
      <c r="Q298" s="271"/>
      <c r="R298" s="153"/>
      <c r="S298" s="153"/>
      <c r="T298" s="162"/>
    </row>
    <row r="299" spans="1:21" s="4" customFormat="1" ht="30" customHeight="1" x14ac:dyDescent="0.2">
      <c r="A299" s="81" t="s">
        <v>615</v>
      </c>
      <c r="B299" s="81" t="str">
        <f>'дод. 4'!A223</f>
        <v>7690</v>
      </c>
      <c r="C299" s="81">
        <f>'дод. 4'!B223</f>
        <v>0</v>
      </c>
      <c r="D299" s="102" t="str">
        <f>'дод. 4'!C223</f>
        <v>Інша економічна діяльність</v>
      </c>
      <c r="E299" s="83">
        <f>E300</f>
        <v>0</v>
      </c>
      <c r="F299" s="83">
        <f t="shared" ref="F299:P299" si="104">F300</f>
        <v>0</v>
      </c>
      <c r="G299" s="83">
        <f t="shared" si="104"/>
        <v>0</v>
      </c>
      <c r="H299" s="83">
        <f t="shared" si="104"/>
        <v>0</v>
      </c>
      <c r="I299" s="83">
        <f t="shared" si="104"/>
        <v>0</v>
      </c>
      <c r="J299" s="83">
        <f t="shared" si="104"/>
        <v>872083.12</v>
      </c>
      <c r="K299" s="83">
        <f t="shared" si="104"/>
        <v>0</v>
      </c>
      <c r="L299" s="83">
        <f t="shared" si="104"/>
        <v>0</v>
      </c>
      <c r="M299" s="83">
        <f t="shared" si="104"/>
        <v>0</v>
      </c>
      <c r="N299" s="83">
        <f t="shared" si="104"/>
        <v>872083.12</v>
      </c>
      <c r="O299" s="83">
        <f t="shared" si="104"/>
        <v>0</v>
      </c>
      <c r="P299" s="83">
        <f t="shared" si="104"/>
        <v>872083.12</v>
      </c>
      <c r="Q299" s="271"/>
      <c r="R299" s="153"/>
      <c r="S299" s="153"/>
      <c r="T299" s="162"/>
    </row>
    <row r="300" spans="1:21" s="110" customFormat="1" ht="108.75" customHeight="1" x14ac:dyDescent="0.2">
      <c r="A300" s="78" t="s">
        <v>616</v>
      </c>
      <c r="B300" s="78" t="str">
        <f>'дод. 4'!A224</f>
        <v>7691</v>
      </c>
      <c r="C300" s="78" t="str">
        <f>'дод. 4'!B224</f>
        <v>0490</v>
      </c>
      <c r="D300" s="79" t="s">
        <v>499</v>
      </c>
      <c r="E300" s="80">
        <f>F300+I300</f>
        <v>0</v>
      </c>
      <c r="F300" s="80"/>
      <c r="G300" s="80"/>
      <c r="H300" s="80"/>
      <c r="I300" s="80"/>
      <c r="J300" s="80">
        <f>K300+N300</f>
        <v>872083.12</v>
      </c>
      <c r="K300" s="80"/>
      <c r="L300" s="80"/>
      <c r="M300" s="80"/>
      <c r="N300" s="80">
        <v>872083.12</v>
      </c>
      <c r="O300" s="80"/>
      <c r="P300" s="80">
        <f>E300+J300</f>
        <v>872083.12</v>
      </c>
      <c r="Q300" s="271"/>
      <c r="R300" s="155"/>
      <c r="S300" s="155"/>
      <c r="T300" s="156"/>
    </row>
    <row r="301" spans="1:21" s="109" customFormat="1" ht="28.5" customHeight="1" x14ac:dyDescent="0.2">
      <c r="A301" s="106" t="s">
        <v>330</v>
      </c>
      <c r="B301" s="36"/>
      <c r="C301" s="36"/>
      <c r="D301" s="35" t="s">
        <v>72</v>
      </c>
      <c r="E301" s="46">
        <f>E302</f>
        <v>6397940</v>
      </c>
      <c r="F301" s="46">
        <f t="shared" ref="F301:P301" si="105">F302</f>
        <v>6397940</v>
      </c>
      <c r="G301" s="46">
        <f t="shared" si="105"/>
        <v>4858230</v>
      </c>
      <c r="H301" s="46">
        <f t="shared" si="105"/>
        <v>89540</v>
      </c>
      <c r="I301" s="46">
        <f t="shared" si="105"/>
        <v>0</v>
      </c>
      <c r="J301" s="46">
        <f t="shared" si="105"/>
        <v>1263974.04</v>
      </c>
      <c r="K301" s="46">
        <f t="shared" si="105"/>
        <v>1123974.04</v>
      </c>
      <c r="L301" s="46">
        <f t="shared" si="105"/>
        <v>0</v>
      </c>
      <c r="M301" s="46">
        <f t="shared" si="105"/>
        <v>0</v>
      </c>
      <c r="N301" s="46">
        <f t="shared" si="105"/>
        <v>140000</v>
      </c>
      <c r="O301" s="46">
        <f t="shared" si="105"/>
        <v>140000</v>
      </c>
      <c r="P301" s="46">
        <f t="shared" si="105"/>
        <v>7661914.04</v>
      </c>
      <c r="Q301" s="271"/>
      <c r="R301" s="151"/>
      <c r="S301" s="151"/>
      <c r="T301" s="151"/>
    </row>
    <row r="302" spans="1:21" s="109" customFormat="1" ht="30" x14ac:dyDescent="0.2">
      <c r="A302" s="108" t="s">
        <v>331</v>
      </c>
      <c r="B302" s="119"/>
      <c r="C302" s="119"/>
      <c r="D302" s="118" t="s">
        <v>72</v>
      </c>
      <c r="E302" s="74">
        <f>E303+E306+E304+E305</f>
        <v>6397940</v>
      </c>
      <c r="F302" s="74">
        <f t="shared" ref="F302:P302" si="106">F303+F306+F304+F305</f>
        <v>6397940</v>
      </c>
      <c r="G302" s="74">
        <f t="shared" si="106"/>
        <v>4858230</v>
      </c>
      <c r="H302" s="74">
        <f t="shared" si="106"/>
        <v>89540</v>
      </c>
      <c r="I302" s="74">
        <f t="shared" si="106"/>
        <v>0</v>
      </c>
      <c r="J302" s="74">
        <f t="shared" si="106"/>
        <v>1263974.04</v>
      </c>
      <c r="K302" s="74">
        <f t="shared" si="106"/>
        <v>1123974.04</v>
      </c>
      <c r="L302" s="74">
        <f t="shared" si="106"/>
        <v>0</v>
      </c>
      <c r="M302" s="74">
        <f t="shared" si="106"/>
        <v>0</v>
      </c>
      <c r="N302" s="74">
        <f t="shared" si="106"/>
        <v>140000</v>
      </c>
      <c r="O302" s="74">
        <f t="shared" si="106"/>
        <v>140000</v>
      </c>
      <c r="P302" s="74">
        <f t="shared" si="106"/>
        <v>7661914.04</v>
      </c>
      <c r="Q302" s="271"/>
      <c r="R302" s="160"/>
      <c r="S302" s="160"/>
      <c r="T302" s="160"/>
      <c r="U302" s="144"/>
    </row>
    <row r="303" spans="1:21" s="4" customFormat="1" ht="45" x14ac:dyDescent="0.2">
      <c r="A303" s="75" t="s">
        <v>332</v>
      </c>
      <c r="B303" s="75" t="str">
        <f>'дод. 4'!A14</f>
        <v>0160</v>
      </c>
      <c r="C303" s="75" t="str">
        <f>'дод. 4'!B14</f>
        <v>0111</v>
      </c>
      <c r="D303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03" s="77">
        <f>F303+I303</f>
        <v>6197940</v>
      </c>
      <c r="F303" s="77">
        <f>6208400-28800+10000+8340</f>
        <v>6197940</v>
      </c>
      <c r="G303" s="77">
        <v>4858230</v>
      </c>
      <c r="H303" s="77">
        <f>81200+8340</f>
        <v>89540</v>
      </c>
      <c r="I303" s="77"/>
      <c r="J303" s="77">
        <f>K303+N303</f>
        <v>0</v>
      </c>
      <c r="K303" s="77"/>
      <c r="L303" s="77"/>
      <c r="M303" s="77"/>
      <c r="N303" s="77">
        <f>20000-20000</f>
        <v>0</v>
      </c>
      <c r="O303" s="77">
        <f>20000-20000</f>
        <v>0</v>
      </c>
      <c r="P303" s="77">
        <f>E303+J303</f>
        <v>6197940</v>
      </c>
      <c r="Q303" s="271"/>
      <c r="R303" s="153"/>
      <c r="S303" s="153"/>
      <c r="T303" s="153"/>
    </row>
    <row r="304" spans="1:21" s="4" customFormat="1" ht="32.25" customHeight="1" x14ac:dyDescent="0.2">
      <c r="A304" s="75" t="s">
        <v>489</v>
      </c>
      <c r="B304" s="132" t="str">
        <f>'дод. 4'!A181</f>
        <v>6090</v>
      </c>
      <c r="C304" s="132" t="str">
        <f>'дод. 4'!B181</f>
        <v>0640</v>
      </c>
      <c r="D304" s="104" t="str">
        <f>'дод. 4'!C181</f>
        <v>Інша діяльність у сфері житлово-комунального господарства</v>
      </c>
      <c r="E304" s="77">
        <f>F304+I304</f>
        <v>200000</v>
      </c>
      <c r="F304" s="77">
        <f>150000+50000</f>
        <v>200000</v>
      </c>
      <c r="G304" s="77"/>
      <c r="H304" s="77"/>
      <c r="I304" s="77"/>
      <c r="J304" s="77">
        <f>K304+N304</f>
        <v>0</v>
      </c>
      <c r="K304" s="77"/>
      <c r="L304" s="77"/>
      <c r="M304" s="77"/>
      <c r="N304" s="77"/>
      <c r="O304" s="77"/>
      <c r="P304" s="77">
        <f>E304+J304</f>
        <v>200000</v>
      </c>
      <c r="Q304" s="271"/>
      <c r="R304" s="153"/>
      <c r="S304" s="153"/>
      <c r="T304" s="153"/>
    </row>
    <row r="305" spans="1:20" s="4" customFormat="1" ht="32.25" customHeight="1" x14ac:dyDescent="0.2">
      <c r="A305" s="75" t="s">
        <v>632</v>
      </c>
      <c r="B305" s="132" t="str">
        <f>'дод. 4'!A194</f>
        <v>7350</v>
      </c>
      <c r="C305" s="132" t="str">
        <f>'дод. 4'!B194</f>
        <v>0443</v>
      </c>
      <c r="D305" s="104" t="str">
        <f>'дод. 4'!C194</f>
        <v>Розроблення схем планування та забудови територій (містобудівної документації)</v>
      </c>
      <c r="E305" s="77">
        <f>F305+I305</f>
        <v>0</v>
      </c>
      <c r="F305" s="77"/>
      <c r="G305" s="77"/>
      <c r="H305" s="77"/>
      <c r="I305" s="77"/>
      <c r="J305" s="77">
        <f>K305+N305</f>
        <v>140000</v>
      </c>
      <c r="K305" s="77"/>
      <c r="L305" s="77"/>
      <c r="M305" s="77"/>
      <c r="N305" s="77">
        <v>140000</v>
      </c>
      <c r="O305" s="77">
        <v>140000</v>
      </c>
      <c r="P305" s="77">
        <f>E305+J305</f>
        <v>140000</v>
      </c>
      <c r="Q305" s="271"/>
      <c r="R305" s="153"/>
      <c r="S305" s="153"/>
      <c r="T305" s="153"/>
    </row>
    <row r="306" spans="1:20" s="4" customFormat="1" ht="18.75" customHeight="1" x14ac:dyDescent="0.2">
      <c r="A306" s="85" t="s">
        <v>333</v>
      </c>
      <c r="B306" s="85" t="str">
        <f>'дод. 4'!A223</f>
        <v>7690</v>
      </c>
      <c r="C306" s="85">
        <f>'дод. 4'!B223</f>
        <v>0</v>
      </c>
      <c r="D306" s="103" t="str">
        <f>'дод. 4'!C223</f>
        <v>Інша економічна діяльність</v>
      </c>
      <c r="E306" s="77">
        <f>E307</f>
        <v>0</v>
      </c>
      <c r="F306" s="77">
        <f t="shared" ref="F306:P306" si="107">F307</f>
        <v>0</v>
      </c>
      <c r="G306" s="77">
        <f t="shared" si="107"/>
        <v>0</v>
      </c>
      <c r="H306" s="77">
        <f t="shared" si="107"/>
        <v>0</v>
      </c>
      <c r="I306" s="77">
        <f t="shared" si="107"/>
        <v>0</v>
      </c>
      <c r="J306" s="77">
        <f t="shared" si="107"/>
        <v>1123974.04</v>
      </c>
      <c r="K306" s="77">
        <f t="shared" si="107"/>
        <v>1123974.04</v>
      </c>
      <c r="L306" s="77">
        <f t="shared" si="107"/>
        <v>0</v>
      </c>
      <c r="M306" s="77">
        <f t="shared" si="107"/>
        <v>0</v>
      </c>
      <c r="N306" s="77">
        <f t="shared" si="107"/>
        <v>0</v>
      </c>
      <c r="O306" s="77">
        <f t="shared" si="107"/>
        <v>0</v>
      </c>
      <c r="P306" s="77">
        <f t="shared" si="107"/>
        <v>1123974.04</v>
      </c>
      <c r="Q306" s="271"/>
      <c r="R306" s="154"/>
      <c r="S306" s="154"/>
      <c r="T306" s="154"/>
    </row>
    <row r="307" spans="1:20" s="110" customFormat="1" ht="110.25" customHeight="1" x14ac:dyDescent="0.2">
      <c r="A307" s="111" t="s">
        <v>471</v>
      </c>
      <c r="B307" s="133" t="str">
        <f>'дод. 4'!A224</f>
        <v>7691</v>
      </c>
      <c r="C307" s="133" t="str">
        <f>'дод. 4'!B224</f>
        <v>0490</v>
      </c>
      <c r="D307" s="79" t="s">
        <v>499</v>
      </c>
      <c r="E307" s="80">
        <f>F307+I307</f>
        <v>0</v>
      </c>
      <c r="F307" s="80"/>
      <c r="G307" s="80"/>
      <c r="H307" s="80"/>
      <c r="I307" s="80"/>
      <c r="J307" s="80">
        <f>K307+N307</f>
        <v>1123974.04</v>
      </c>
      <c r="K307" s="80">
        <f>341539+752435.04+30000</f>
        <v>1123974.04</v>
      </c>
      <c r="L307" s="80"/>
      <c r="M307" s="80"/>
      <c r="N307" s="80"/>
      <c r="O307" s="80"/>
      <c r="P307" s="80">
        <f>E307+J307</f>
        <v>1123974.04</v>
      </c>
      <c r="Q307" s="271"/>
      <c r="R307" s="155"/>
      <c r="S307" s="155"/>
      <c r="T307" s="155"/>
    </row>
    <row r="308" spans="1:20" s="109" customFormat="1" ht="36.75" customHeight="1" x14ac:dyDescent="0.2">
      <c r="A308" s="106" t="s">
        <v>336</v>
      </c>
      <c r="B308" s="36"/>
      <c r="C308" s="36"/>
      <c r="D308" s="35" t="s">
        <v>75</v>
      </c>
      <c r="E308" s="46">
        <f>E309</f>
        <v>3660035</v>
      </c>
      <c r="F308" s="46">
        <f t="shared" ref="F308:P309" si="108">F309</f>
        <v>3660035</v>
      </c>
      <c r="G308" s="46">
        <f t="shared" si="108"/>
        <v>2745200</v>
      </c>
      <c r="H308" s="46">
        <f t="shared" si="108"/>
        <v>39635</v>
      </c>
      <c r="I308" s="46">
        <f t="shared" si="108"/>
        <v>0</v>
      </c>
      <c r="J308" s="46">
        <f t="shared" si="108"/>
        <v>40000</v>
      </c>
      <c r="K308" s="46">
        <f t="shared" si="108"/>
        <v>0</v>
      </c>
      <c r="L308" s="46">
        <f t="shared" si="108"/>
        <v>0</v>
      </c>
      <c r="M308" s="46">
        <f t="shared" si="108"/>
        <v>0</v>
      </c>
      <c r="N308" s="46">
        <f t="shared" si="108"/>
        <v>40000</v>
      </c>
      <c r="O308" s="46">
        <f t="shared" si="108"/>
        <v>40000</v>
      </c>
      <c r="P308" s="46">
        <f t="shared" si="108"/>
        <v>3700035</v>
      </c>
      <c r="Q308" s="271"/>
      <c r="R308" s="151"/>
      <c r="S308" s="151"/>
      <c r="T308" s="151"/>
    </row>
    <row r="309" spans="1:20" s="109" customFormat="1" ht="41.25" customHeight="1" x14ac:dyDescent="0.2">
      <c r="A309" s="108" t="s">
        <v>334</v>
      </c>
      <c r="B309" s="119"/>
      <c r="C309" s="119"/>
      <c r="D309" s="118" t="s">
        <v>75</v>
      </c>
      <c r="E309" s="74">
        <f>E310</f>
        <v>3660035</v>
      </c>
      <c r="F309" s="74">
        <f t="shared" si="108"/>
        <v>3660035</v>
      </c>
      <c r="G309" s="74">
        <f t="shared" si="108"/>
        <v>2745200</v>
      </c>
      <c r="H309" s="74">
        <f t="shared" si="108"/>
        <v>39635</v>
      </c>
      <c r="I309" s="74">
        <f t="shared" si="108"/>
        <v>0</v>
      </c>
      <c r="J309" s="74">
        <f t="shared" si="108"/>
        <v>40000</v>
      </c>
      <c r="K309" s="74">
        <f t="shared" si="108"/>
        <v>0</v>
      </c>
      <c r="L309" s="74">
        <f t="shared" si="108"/>
        <v>0</v>
      </c>
      <c r="M309" s="74">
        <f t="shared" si="108"/>
        <v>0</v>
      </c>
      <c r="N309" s="74">
        <f t="shared" si="108"/>
        <v>40000</v>
      </c>
      <c r="O309" s="74">
        <f t="shared" si="108"/>
        <v>40000</v>
      </c>
      <c r="P309" s="74">
        <f t="shared" si="108"/>
        <v>3700035</v>
      </c>
      <c r="Q309" s="271"/>
      <c r="R309" s="152"/>
      <c r="S309" s="152"/>
      <c r="T309" s="152"/>
    </row>
    <row r="310" spans="1:20" s="110" customFormat="1" ht="47.25" customHeight="1" x14ac:dyDescent="0.2">
      <c r="A310" s="75" t="s">
        <v>335</v>
      </c>
      <c r="B310" s="75" t="str">
        <f>'дод. 4'!A14</f>
        <v>0160</v>
      </c>
      <c r="C310" s="75" t="str">
        <f>'дод. 4'!B14</f>
        <v>0111</v>
      </c>
      <c r="D310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0" s="77">
        <f>F310+I310</f>
        <v>3660035</v>
      </c>
      <c r="F310" s="77">
        <f>3525900-19200+150000+3335</f>
        <v>3660035</v>
      </c>
      <c r="G310" s="77">
        <v>2745200</v>
      </c>
      <c r="H310" s="77">
        <f>36300+3335</f>
        <v>39635</v>
      </c>
      <c r="I310" s="77"/>
      <c r="J310" s="77">
        <f>K310+N310</f>
        <v>40000</v>
      </c>
      <c r="K310" s="77"/>
      <c r="L310" s="77"/>
      <c r="M310" s="77"/>
      <c r="N310" s="77">
        <v>40000</v>
      </c>
      <c r="O310" s="77">
        <v>40000</v>
      </c>
      <c r="P310" s="77">
        <f>E310+J310</f>
        <v>3700035</v>
      </c>
      <c r="Q310" s="271"/>
      <c r="R310" s="153"/>
      <c r="S310" s="153"/>
      <c r="T310" s="153"/>
    </row>
    <row r="311" spans="1:20" s="107" customFormat="1" ht="28.5" x14ac:dyDescent="0.2">
      <c r="A311" s="106" t="s">
        <v>337</v>
      </c>
      <c r="B311" s="36"/>
      <c r="C311" s="36"/>
      <c r="D311" s="35" t="s">
        <v>71</v>
      </c>
      <c r="E311" s="46">
        <f>E312</f>
        <v>18057876</v>
      </c>
      <c r="F311" s="46">
        <f t="shared" ref="F311:P311" si="109">F312</f>
        <v>16667206</v>
      </c>
      <c r="G311" s="46">
        <f t="shared" si="109"/>
        <v>11700000</v>
      </c>
      <c r="H311" s="46">
        <f t="shared" si="109"/>
        <v>328583.65000000002</v>
      </c>
      <c r="I311" s="46">
        <f t="shared" si="109"/>
        <v>1390670</v>
      </c>
      <c r="J311" s="46">
        <f t="shared" si="109"/>
        <v>287843.33</v>
      </c>
      <c r="K311" s="46">
        <f t="shared" si="109"/>
        <v>14343.33</v>
      </c>
      <c r="L311" s="46">
        <f t="shared" si="109"/>
        <v>0</v>
      </c>
      <c r="M311" s="46">
        <f t="shared" si="109"/>
        <v>0</v>
      </c>
      <c r="N311" s="46">
        <f t="shared" si="109"/>
        <v>273500</v>
      </c>
      <c r="O311" s="46">
        <f t="shared" si="109"/>
        <v>273500</v>
      </c>
      <c r="P311" s="46">
        <f t="shared" si="109"/>
        <v>18345719.329999998</v>
      </c>
      <c r="Q311" s="271"/>
      <c r="R311" s="151"/>
      <c r="S311" s="151"/>
      <c r="T311" s="151"/>
    </row>
    <row r="312" spans="1:20" s="109" customFormat="1" ht="30.75" customHeight="1" x14ac:dyDescent="0.2">
      <c r="A312" s="108" t="s">
        <v>338</v>
      </c>
      <c r="B312" s="119"/>
      <c r="C312" s="119"/>
      <c r="D312" s="118" t="s">
        <v>71</v>
      </c>
      <c r="E312" s="74">
        <f>E313+E314+E315+E316+E317+E318+E320</f>
        <v>18057876</v>
      </c>
      <c r="F312" s="74">
        <f>F313+F314+F315+F316+F317+F318+F320</f>
        <v>16667206</v>
      </c>
      <c r="G312" s="74">
        <f t="shared" ref="G312:O312" si="110">G313+G314+G315+G316+G317+G318+G320</f>
        <v>11700000</v>
      </c>
      <c r="H312" s="74">
        <f t="shared" si="110"/>
        <v>328583.65000000002</v>
      </c>
      <c r="I312" s="74">
        <f t="shared" si="110"/>
        <v>1390670</v>
      </c>
      <c r="J312" s="74">
        <f t="shared" si="110"/>
        <v>287843.33</v>
      </c>
      <c r="K312" s="74">
        <f t="shared" si="110"/>
        <v>14343.33</v>
      </c>
      <c r="L312" s="74">
        <f t="shared" si="110"/>
        <v>0</v>
      </c>
      <c r="M312" s="74">
        <f t="shared" si="110"/>
        <v>0</v>
      </c>
      <c r="N312" s="74">
        <f t="shared" si="110"/>
        <v>273500</v>
      </c>
      <c r="O312" s="74">
        <f t="shared" si="110"/>
        <v>273500</v>
      </c>
      <c r="P312" s="74">
        <f>P313+P314+P315+P316+P317+P318+P320</f>
        <v>18345719.329999998</v>
      </c>
      <c r="Q312" s="271"/>
      <c r="R312" s="160"/>
      <c r="S312" s="160"/>
      <c r="T312" s="160"/>
    </row>
    <row r="313" spans="1:20" s="107" customFormat="1" ht="54" customHeight="1" x14ac:dyDescent="0.2">
      <c r="A313" s="75" t="s">
        <v>339</v>
      </c>
      <c r="B313" s="75" t="str">
        <f>'дод. 4'!A14</f>
        <v>0160</v>
      </c>
      <c r="C313" s="75" t="str">
        <f>'дод. 4'!B14</f>
        <v>0111</v>
      </c>
      <c r="D313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13" s="77">
        <f>F313+I313</f>
        <v>15143300</v>
      </c>
      <c r="F313" s="77">
        <f>15102100-88800+130000</f>
        <v>15143300</v>
      </c>
      <c r="G313" s="77">
        <v>11700000</v>
      </c>
      <c r="H313" s="77">
        <v>250267</v>
      </c>
      <c r="I313" s="77"/>
      <c r="J313" s="77">
        <f>K313+N313</f>
        <v>19500</v>
      </c>
      <c r="K313" s="77"/>
      <c r="L313" s="77"/>
      <c r="M313" s="77"/>
      <c r="N313" s="77">
        <f>150000-130500</f>
        <v>19500</v>
      </c>
      <c r="O313" s="77">
        <f>150000-130500</f>
        <v>19500</v>
      </c>
      <c r="P313" s="77">
        <f>E313+J313</f>
        <v>15162800</v>
      </c>
      <c r="Q313" s="271"/>
      <c r="R313" s="153"/>
      <c r="S313" s="153"/>
      <c r="T313" s="153"/>
    </row>
    <row r="314" spans="1:20" s="124" customFormat="1" ht="29.25" customHeight="1" x14ac:dyDescent="0.2">
      <c r="A314" s="75" t="s">
        <v>340</v>
      </c>
      <c r="B314" s="75" t="str">
        <f>'дод. 4'!A184</f>
        <v>7130</v>
      </c>
      <c r="C314" s="75" t="str">
        <f>'дод. 4'!B184</f>
        <v>0421</v>
      </c>
      <c r="D314" s="104" t="str">
        <f>'дод. 4'!C184</f>
        <v>Здійснення  заходів із землеустрою</v>
      </c>
      <c r="E314" s="77">
        <f>F314+I314</f>
        <v>1010670</v>
      </c>
      <c r="F314" s="122">
        <f>50000+500000+50000+50000-130000</f>
        <v>520000</v>
      </c>
      <c r="G314" s="123"/>
      <c r="H314" s="123"/>
      <c r="I314" s="123">
        <v>490670</v>
      </c>
      <c r="J314" s="77">
        <f>K314+N314</f>
        <v>14343.33</v>
      </c>
      <c r="K314" s="123">
        <v>14343.33</v>
      </c>
      <c r="L314" s="123"/>
      <c r="M314" s="123"/>
      <c r="N314" s="123"/>
      <c r="O314" s="123"/>
      <c r="P314" s="77">
        <f>E314+J314</f>
        <v>1025013.33</v>
      </c>
      <c r="Q314" s="271"/>
      <c r="R314" s="153"/>
      <c r="S314" s="153"/>
      <c r="T314" s="153"/>
    </row>
    <row r="315" spans="1:20" s="4" customFormat="1" ht="15" customHeight="1" x14ac:dyDescent="0.2">
      <c r="A315" s="85" t="s">
        <v>341</v>
      </c>
      <c r="B315" s="85" t="str">
        <f>'дод. 4'!A217</f>
        <v>7610</v>
      </c>
      <c r="C315" s="85" t="str">
        <f>'дод. 4'!B217</f>
        <v>0411</v>
      </c>
      <c r="D315" s="103" t="str">
        <f>'дод. 4'!C217</f>
        <v>Сприяння розвитку малого та середнього підприємництва</v>
      </c>
      <c r="E315" s="77">
        <f>F315+I315</f>
        <v>1152000</v>
      </c>
      <c r="F315" s="77">
        <f>185000+67000</f>
        <v>252000</v>
      </c>
      <c r="G315" s="77"/>
      <c r="H315" s="77"/>
      <c r="I315" s="77">
        <v>900000</v>
      </c>
      <c r="J315" s="77">
        <f>K315+N315</f>
        <v>0</v>
      </c>
      <c r="K315" s="77"/>
      <c r="L315" s="77"/>
      <c r="M315" s="77"/>
      <c r="N315" s="77"/>
      <c r="O315" s="77"/>
      <c r="P315" s="77">
        <f>E315+J315</f>
        <v>1152000</v>
      </c>
      <c r="Q315" s="271"/>
      <c r="R315" s="153"/>
      <c r="S315" s="153"/>
      <c r="T315" s="153"/>
    </row>
    <row r="316" spans="1:20" s="113" customFormat="1" ht="37.5" customHeight="1" x14ac:dyDescent="0.2">
      <c r="A316" s="85" t="s">
        <v>417</v>
      </c>
      <c r="B316" s="85" t="str">
        <f>'дод. 4'!A219</f>
        <v>7650</v>
      </c>
      <c r="C316" s="85" t="str">
        <f>'дод. 4'!B219</f>
        <v>0490</v>
      </c>
      <c r="D316" s="103" t="str">
        <f>'дод. 4'!C219</f>
        <v>Проведення експертної  грошової  оцінки  земельної ділянки чи права на неї</v>
      </c>
      <c r="E316" s="77">
        <f>F316+I316</f>
        <v>0</v>
      </c>
      <c r="F316" s="77"/>
      <c r="G316" s="77"/>
      <c r="H316" s="77"/>
      <c r="I316" s="77"/>
      <c r="J316" s="77">
        <f>K316+N316</f>
        <v>50000</v>
      </c>
      <c r="K316" s="77"/>
      <c r="L316" s="77"/>
      <c r="M316" s="77"/>
      <c r="N316" s="77">
        <f>25000+25000</f>
        <v>50000</v>
      </c>
      <c r="O316" s="77">
        <f>25000+25000</f>
        <v>50000</v>
      </c>
      <c r="P316" s="77">
        <f>E316+J316</f>
        <v>50000</v>
      </c>
      <c r="Q316" s="271"/>
      <c r="R316" s="153"/>
      <c r="S316" s="153"/>
      <c r="T316" s="153"/>
    </row>
    <row r="317" spans="1:20" s="113" customFormat="1" ht="45" customHeight="1" x14ac:dyDescent="0.2">
      <c r="A317" s="85" t="s">
        <v>419</v>
      </c>
      <c r="B317" s="85" t="str">
        <f>'дод. 4'!A220</f>
        <v>7660</v>
      </c>
      <c r="C317" s="85" t="str">
        <f>'дод. 4'!B220</f>
        <v>0490</v>
      </c>
      <c r="D317" s="103" t="str">
        <f>'дод. 4'!C220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7" s="77">
        <f>F317+I317</f>
        <v>0</v>
      </c>
      <c r="F317" s="77"/>
      <c r="G317" s="77"/>
      <c r="H317" s="77"/>
      <c r="I317" s="77"/>
      <c r="J317" s="77">
        <f>K317+N317</f>
        <v>25000</v>
      </c>
      <c r="K317" s="77"/>
      <c r="L317" s="77"/>
      <c r="M317" s="77"/>
      <c r="N317" s="77">
        <v>25000</v>
      </c>
      <c r="O317" s="77">
        <v>25000</v>
      </c>
      <c r="P317" s="77">
        <f>E317+J317</f>
        <v>25000</v>
      </c>
      <c r="Q317" s="271"/>
      <c r="R317" s="153"/>
      <c r="S317" s="153"/>
      <c r="T317" s="153"/>
    </row>
    <row r="318" spans="1:20" s="4" customFormat="1" ht="22.5" customHeight="1" x14ac:dyDescent="0.2">
      <c r="A318" s="85" t="s">
        <v>411</v>
      </c>
      <c r="B318" s="85" t="str">
        <f>'дод. 4'!A223</f>
        <v>7690</v>
      </c>
      <c r="C318" s="85">
        <f>'дод. 4'!B223</f>
        <v>0</v>
      </c>
      <c r="D318" s="103" t="str">
        <f>'дод. 4'!C223</f>
        <v>Інша економічна діяльність</v>
      </c>
      <c r="E318" s="77">
        <f>E319</f>
        <v>731906</v>
      </c>
      <c r="F318" s="77">
        <f t="shared" ref="F318:P318" si="111">F319</f>
        <v>731906</v>
      </c>
      <c r="G318" s="77">
        <f t="shared" si="111"/>
        <v>0</v>
      </c>
      <c r="H318" s="77">
        <f t="shared" si="111"/>
        <v>78316.649999999994</v>
      </c>
      <c r="I318" s="77">
        <f t="shared" si="111"/>
        <v>0</v>
      </c>
      <c r="J318" s="77">
        <f t="shared" si="111"/>
        <v>0</v>
      </c>
      <c r="K318" s="77">
        <f t="shared" si="111"/>
        <v>0</v>
      </c>
      <c r="L318" s="77">
        <f t="shared" si="111"/>
        <v>0</v>
      </c>
      <c r="M318" s="77">
        <f t="shared" si="111"/>
        <v>0</v>
      </c>
      <c r="N318" s="77">
        <f t="shared" si="111"/>
        <v>0</v>
      </c>
      <c r="O318" s="77">
        <f t="shared" si="111"/>
        <v>0</v>
      </c>
      <c r="P318" s="77">
        <f t="shared" si="111"/>
        <v>731906</v>
      </c>
      <c r="Q318" s="271"/>
      <c r="R318" s="154">
        <f>R319</f>
        <v>0</v>
      </c>
      <c r="S318" s="154">
        <f>S319</f>
        <v>0</v>
      </c>
      <c r="T318" s="154"/>
    </row>
    <row r="319" spans="1:20" s="110" customFormat="1" ht="23.25" customHeight="1" x14ac:dyDescent="0.2">
      <c r="A319" s="111" t="s">
        <v>412</v>
      </c>
      <c r="B319" s="111" t="str">
        <f>'дод. 4'!A225</f>
        <v>7693</v>
      </c>
      <c r="C319" s="111" t="str">
        <f>'дод. 4'!B225</f>
        <v>0490</v>
      </c>
      <c r="D319" s="112" t="str">
        <f>'дод. 4'!C225</f>
        <v>Інші заходи, пов'язані з економічною діяльністю</v>
      </c>
      <c r="E319" s="80">
        <f>F319+I319</f>
        <v>731906</v>
      </c>
      <c r="F319" s="80">
        <f>642000+89906</f>
        <v>731906</v>
      </c>
      <c r="G319" s="80"/>
      <c r="H319" s="80">
        <v>78316.649999999994</v>
      </c>
      <c r="I319" s="80"/>
      <c r="J319" s="80">
        <f>K319+N319</f>
        <v>0</v>
      </c>
      <c r="K319" s="80"/>
      <c r="L319" s="80"/>
      <c r="M319" s="80"/>
      <c r="N319" s="80"/>
      <c r="O319" s="80"/>
      <c r="P319" s="80">
        <f>E319+J319</f>
        <v>731906</v>
      </c>
      <c r="Q319" s="271"/>
      <c r="R319" s="155"/>
      <c r="S319" s="155"/>
      <c r="T319" s="155"/>
    </row>
    <row r="320" spans="1:20" s="4" customFormat="1" ht="55.5" customHeight="1" x14ac:dyDescent="0.2">
      <c r="A320" s="85" t="s">
        <v>597</v>
      </c>
      <c r="B320" s="210" t="str">
        <f>'дод. 4'!A250</f>
        <v>9800</v>
      </c>
      <c r="C320" s="210" t="str">
        <f>'дод. 4'!B250</f>
        <v>0180</v>
      </c>
      <c r="D320" s="105" t="str">
        <f>'дод. 4'!C250</f>
        <v xml:space="preserve">Субвенція з місцевого бюджету державному бюджету на виконання програм соціально-економічного розвитку регіонів </v>
      </c>
      <c r="E320" s="77">
        <f>F320+I320</f>
        <v>20000</v>
      </c>
      <c r="F320" s="77">
        <v>20000</v>
      </c>
      <c r="G320" s="77"/>
      <c r="H320" s="77"/>
      <c r="I320" s="77"/>
      <c r="J320" s="77">
        <f>K320+N320</f>
        <v>179000</v>
      </c>
      <c r="K320" s="77"/>
      <c r="L320" s="77"/>
      <c r="M320" s="77"/>
      <c r="N320" s="77">
        <v>179000</v>
      </c>
      <c r="O320" s="77">
        <v>179000</v>
      </c>
      <c r="P320" s="77">
        <f>E320+J320</f>
        <v>199000</v>
      </c>
      <c r="Q320" s="271"/>
      <c r="R320" s="153"/>
      <c r="S320" s="153"/>
      <c r="T320" s="153"/>
    </row>
    <row r="321" spans="1:20" s="107" customFormat="1" ht="31.9" customHeight="1" x14ac:dyDescent="0.2">
      <c r="A321" s="106" t="s">
        <v>347</v>
      </c>
      <c r="B321" s="36"/>
      <c r="C321" s="36"/>
      <c r="D321" s="35" t="s">
        <v>350</v>
      </c>
      <c r="E321" s="46">
        <f>E322</f>
        <v>373312.49</v>
      </c>
      <c r="F321" s="46">
        <f t="shared" ref="F321:P322" si="112">F322</f>
        <v>373312.49</v>
      </c>
      <c r="G321" s="46">
        <f t="shared" si="112"/>
        <v>305993.63</v>
      </c>
      <c r="H321" s="46">
        <f t="shared" si="112"/>
        <v>0</v>
      </c>
      <c r="I321" s="46">
        <f t="shared" si="112"/>
        <v>0</v>
      </c>
      <c r="J321" s="46">
        <f t="shared" si="112"/>
        <v>0</v>
      </c>
      <c r="K321" s="46">
        <f t="shared" si="112"/>
        <v>0</v>
      </c>
      <c r="L321" s="46">
        <f t="shared" si="112"/>
        <v>0</v>
      </c>
      <c r="M321" s="46">
        <f t="shared" si="112"/>
        <v>0</v>
      </c>
      <c r="N321" s="46">
        <f t="shared" si="112"/>
        <v>0</v>
      </c>
      <c r="O321" s="46">
        <f t="shared" si="112"/>
        <v>0</v>
      </c>
      <c r="P321" s="46">
        <f t="shared" si="112"/>
        <v>373312.49</v>
      </c>
      <c r="Q321" s="271"/>
      <c r="R321" s="151">
        <f>R323</f>
        <v>0</v>
      </c>
      <c r="S321" s="151">
        <f>S323</f>
        <v>0</v>
      </c>
      <c r="T321" s="151">
        <f>T323</f>
        <v>0</v>
      </c>
    </row>
    <row r="322" spans="1:20" s="109" customFormat="1" ht="36.75" customHeight="1" x14ac:dyDescent="0.2">
      <c r="A322" s="108" t="s">
        <v>348</v>
      </c>
      <c r="B322" s="119"/>
      <c r="C322" s="119"/>
      <c r="D322" s="118" t="s">
        <v>350</v>
      </c>
      <c r="E322" s="74">
        <f>E323</f>
        <v>373312.49</v>
      </c>
      <c r="F322" s="74">
        <f t="shared" si="112"/>
        <v>373312.49</v>
      </c>
      <c r="G322" s="74">
        <f t="shared" si="112"/>
        <v>305993.63</v>
      </c>
      <c r="H322" s="74">
        <f t="shared" si="112"/>
        <v>0</v>
      </c>
      <c r="I322" s="74">
        <f t="shared" si="112"/>
        <v>0</v>
      </c>
      <c r="J322" s="74">
        <f t="shared" si="112"/>
        <v>0</v>
      </c>
      <c r="K322" s="74">
        <f t="shared" si="112"/>
        <v>0</v>
      </c>
      <c r="L322" s="74">
        <f t="shared" si="112"/>
        <v>0</v>
      </c>
      <c r="M322" s="74">
        <f t="shared" si="112"/>
        <v>0</v>
      </c>
      <c r="N322" s="74">
        <f t="shared" si="112"/>
        <v>0</v>
      </c>
      <c r="O322" s="74">
        <f t="shared" si="112"/>
        <v>0</v>
      </c>
      <c r="P322" s="74">
        <f t="shared" si="112"/>
        <v>373312.49</v>
      </c>
      <c r="Q322" s="271"/>
      <c r="R322" s="160">
        <f>R323</f>
        <v>0</v>
      </c>
      <c r="S322" s="160">
        <f>S323</f>
        <v>0</v>
      </c>
      <c r="T322" s="160">
        <f>T323</f>
        <v>0</v>
      </c>
    </row>
    <row r="323" spans="1:20" s="4" customFormat="1" ht="45" x14ac:dyDescent="0.2">
      <c r="A323" s="75" t="s">
        <v>349</v>
      </c>
      <c r="B323" s="75" t="str">
        <f>'дод. 4'!A14</f>
        <v>0160</v>
      </c>
      <c r="C323" s="75" t="str">
        <f>'дод. 4'!B14</f>
        <v>0111</v>
      </c>
      <c r="D323" s="76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23" s="77">
        <f>F323+I323</f>
        <v>373312.49</v>
      </c>
      <c r="F323" s="77">
        <f>146700+85670+140942.49</f>
        <v>373312.49</v>
      </c>
      <c r="G323" s="77">
        <f>120245+70222+115526.63</f>
        <v>305993.63</v>
      </c>
      <c r="H323" s="77"/>
      <c r="I323" s="77"/>
      <c r="J323" s="77">
        <f>K323+N323</f>
        <v>0</v>
      </c>
      <c r="K323" s="77"/>
      <c r="L323" s="77"/>
      <c r="M323" s="77"/>
      <c r="N323" s="77"/>
      <c r="O323" s="77"/>
      <c r="P323" s="77">
        <f>E323+J323</f>
        <v>373312.49</v>
      </c>
      <c r="Q323" s="271"/>
      <c r="R323" s="153"/>
      <c r="S323" s="153"/>
      <c r="T323" s="153"/>
    </row>
    <row r="324" spans="1:20" s="107" customFormat="1" ht="33" customHeight="1" x14ac:dyDescent="0.2">
      <c r="A324" s="106" t="s">
        <v>342</v>
      </c>
      <c r="B324" s="36"/>
      <c r="C324" s="36"/>
      <c r="D324" s="35" t="s">
        <v>73</v>
      </c>
      <c r="E324" s="46">
        <f>E325</f>
        <v>104440232.47999999</v>
      </c>
      <c r="F324" s="46">
        <f>F325</f>
        <v>104430495.41</v>
      </c>
      <c r="G324" s="46">
        <f t="shared" ref="G324:P324" si="113">G325</f>
        <v>13148077</v>
      </c>
      <c r="H324" s="46">
        <f t="shared" si="113"/>
        <v>193507</v>
      </c>
      <c r="I324" s="46">
        <f t="shared" si="113"/>
        <v>0</v>
      </c>
      <c r="J324" s="46">
        <f t="shared" si="113"/>
        <v>4633800</v>
      </c>
      <c r="K324" s="46">
        <f t="shared" si="113"/>
        <v>4020000</v>
      </c>
      <c r="L324" s="46">
        <f t="shared" si="113"/>
        <v>0</v>
      </c>
      <c r="M324" s="46">
        <f t="shared" si="113"/>
        <v>0</v>
      </c>
      <c r="N324" s="46">
        <f t="shared" si="113"/>
        <v>613800</v>
      </c>
      <c r="O324" s="46">
        <f t="shared" si="113"/>
        <v>613800</v>
      </c>
      <c r="P324" s="46">
        <f t="shared" si="113"/>
        <v>109074032.47999999</v>
      </c>
      <c r="Q324" s="271"/>
      <c r="R324" s="151"/>
      <c r="S324" s="151"/>
      <c r="T324" s="151"/>
    </row>
    <row r="325" spans="1:20" s="109" customFormat="1" ht="30.75" customHeight="1" x14ac:dyDescent="0.2">
      <c r="A325" s="108" t="s">
        <v>343</v>
      </c>
      <c r="B325" s="119"/>
      <c r="C325" s="119"/>
      <c r="D325" s="118" t="s">
        <v>73</v>
      </c>
      <c r="E325" s="74">
        <f>E327+E328+E329+E330+E331+E332+E333+E335</f>
        <v>104440232.47999999</v>
      </c>
      <c r="F325" s="74">
        <f>F327+F328+F329+F330+F331+F332+F333+F335</f>
        <v>104430495.41</v>
      </c>
      <c r="G325" s="74">
        <f>G327+G328+G329+G330+G331+G332+G333+G335</f>
        <v>13148077</v>
      </c>
      <c r="H325" s="74">
        <f t="shared" ref="H325:P325" si="114">H327+H328+H329+H330+H331+H332+H333+H335</f>
        <v>193507</v>
      </c>
      <c r="I325" s="74">
        <f t="shared" si="114"/>
        <v>0</v>
      </c>
      <c r="J325" s="74">
        <f t="shared" si="114"/>
        <v>4633800</v>
      </c>
      <c r="K325" s="74">
        <f t="shared" si="114"/>
        <v>4020000</v>
      </c>
      <c r="L325" s="74">
        <f t="shared" si="114"/>
        <v>0</v>
      </c>
      <c r="M325" s="74">
        <f t="shared" si="114"/>
        <v>0</v>
      </c>
      <c r="N325" s="74">
        <f t="shared" si="114"/>
        <v>613800</v>
      </c>
      <c r="O325" s="74">
        <f t="shared" si="114"/>
        <v>613800</v>
      </c>
      <c r="P325" s="74">
        <f t="shared" si="114"/>
        <v>109074032.47999999</v>
      </c>
      <c r="Q325" s="271"/>
      <c r="R325" s="157"/>
      <c r="S325" s="157"/>
      <c r="T325" s="157"/>
    </row>
    <row r="326" spans="1:20" s="109" customFormat="1" ht="19.899999999999999" customHeight="1" x14ac:dyDescent="0.2">
      <c r="A326" s="108"/>
      <c r="B326" s="119"/>
      <c r="C326" s="119"/>
      <c r="D326" s="79" t="s">
        <v>416</v>
      </c>
      <c r="E326" s="74"/>
      <c r="F326" s="74"/>
      <c r="G326" s="74"/>
      <c r="H326" s="74"/>
      <c r="I326" s="74"/>
      <c r="J326" s="74">
        <v>4000000</v>
      </c>
      <c r="K326" s="74">
        <v>4000000</v>
      </c>
      <c r="L326" s="74"/>
      <c r="M326" s="74"/>
      <c r="N326" s="74"/>
      <c r="O326" s="74"/>
      <c r="P326" s="74">
        <f>J326+E326</f>
        <v>4000000</v>
      </c>
      <c r="Q326" s="271"/>
      <c r="R326" s="157"/>
      <c r="S326" s="157"/>
      <c r="T326" s="157"/>
    </row>
    <row r="327" spans="1:20" s="4" customFormat="1" ht="45" x14ac:dyDescent="0.2">
      <c r="A327" s="75" t="s">
        <v>344</v>
      </c>
      <c r="B327" s="75" t="str">
        <f>'дод. 4'!A14</f>
        <v>0160</v>
      </c>
      <c r="C327" s="75" t="str">
        <f>'дод. 4'!B14</f>
        <v>0111</v>
      </c>
      <c r="D327" s="82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327" s="77">
        <f>F327+I327</f>
        <v>16861043</v>
      </c>
      <c r="F327" s="77">
        <f>16667200-105600+267991+21600+9852</f>
        <v>16861043</v>
      </c>
      <c r="G327" s="77">
        <f>12928412+219665</f>
        <v>13148077</v>
      </c>
      <c r="H327" s="77">
        <f>183655+9852</f>
        <v>193507</v>
      </c>
      <c r="I327" s="77"/>
      <c r="J327" s="77">
        <f t="shared" ref="J327:J335" si="115">K327+N327</f>
        <v>61000</v>
      </c>
      <c r="K327" s="77"/>
      <c r="L327" s="77"/>
      <c r="M327" s="77"/>
      <c r="N327" s="77">
        <f>184000-123000</f>
        <v>61000</v>
      </c>
      <c r="O327" s="77">
        <f>184000-123000</f>
        <v>61000</v>
      </c>
      <c r="P327" s="77">
        <f>E327+J327</f>
        <v>16922043</v>
      </c>
      <c r="Q327" s="271"/>
      <c r="R327" s="153"/>
      <c r="S327" s="153"/>
      <c r="T327" s="153"/>
    </row>
    <row r="328" spans="1:20" s="4" customFormat="1" ht="23.25" customHeight="1" x14ac:dyDescent="0.2">
      <c r="A328" s="75" t="s">
        <v>403</v>
      </c>
      <c r="B328" s="75" t="str">
        <f>'дод. 4'!A218</f>
        <v>7640</v>
      </c>
      <c r="C328" s="75" t="str">
        <f>'дод. 4'!B218</f>
        <v>0470</v>
      </c>
      <c r="D328" s="102" t="str">
        <f>'дод. 4'!C218</f>
        <v>Заходи з енергозбереження</v>
      </c>
      <c r="E328" s="77">
        <f>F328+I328</f>
        <v>75000</v>
      </c>
      <c r="F328" s="77">
        <v>75000</v>
      </c>
      <c r="G328" s="77"/>
      <c r="H328" s="77"/>
      <c r="I328" s="77"/>
      <c r="J328" s="77">
        <f>K328+N328</f>
        <v>0</v>
      </c>
      <c r="K328" s="77"/>
      <c r="L328" s="77"/>
      <c r="M328" s="77"/>
      <c r="N328" s="77"/>
      <c r="O328" s="77"/>
      <c r="P328" s="77">
        <f t="shared" ref="P328:P335" si="116">E328+J328</f>
        <v>75000</v>
      </c>
      <c r="Q328" s="271"/>
      <c r="R328" s="153"/>
      <c r="S328" s="153"/>
      <c r="T328" s="153"/>
    </row>
    <row r="329" spans="1:20" s="4" customFormat="1" ht="27" customHeight="1" x14ac:dyDescent="0.2">
      <c r="A329" s="75" t="s">
        <v>345</v>
      </c>
      <c r="B329" s="75" t="str">
        <f>'дод. 4'!A234</f>
        <v>8340</v>
      </c>
      <c r="C329" s="75" t="str">
        <f>'дод. 4'!B234</f>
        <v>0540</v>
      </c>
      <c r="D329" s="102" t="str">
        <f>'дод. 4'!C234</f>
        <v>Природоохоронні заходи за рахунок цільових фондів</v>
      </c>
      <c r="E329" s="77">
        <f>F329+I329</f>
        <v>0</v>
      </c>
      <c r="F329" s="77"/>
      <c r="G329" s="77"/>
      <c r="H329" s="77"/>
      <c r="I329" s="77"/>
      <c r="J329" s="77">
        <f t="shared" si="115"/>
        <v>20000</v>
      </c>
      <c r="K329" s="77">
        <v>20000</v>
      </c>
      <c r="L329" s="77"/>
      <c r="M329" s="77"/>
      <c r="N329" s="77"/>
      <c r="O329" s="77"/>
      <c r="P329" s="77">
        <f t="shared" si="116"/>
        <v>20000</v>
      </c>
      <c r="Q329" s="271"/>
      <c r="R329" s="153"/>
      <c r="S329" s="153"/>
      <c r="T329" s="153"/>
    </row>
    <row r="330" spans="1:20" s="4" customFormat="1" ht="22.5" customHeight="1" x14ac:dyDescent="0.2">
      <c r="A330" s="75" t="s">
        <v>346</v>
      </c>
      <c r="B330" s="75" t="str">
        <f>'дод. 4'!A237</f>
        <v>8600</v>
      </c>
      <c r="C330" s="75" t="str">
        <f>'дод. 4'!B237</f>
        <v>0170</v>
      </c>
      <c r="D330" s="102" t="str">
        <f>'дод. 4'!C237</f>
        <v>Обслуговування місцевого боргу</v>
      </c>
      <c r="E330" s="77">
        <f>F330+I330</f>
        <v>177952.41</v>
      </c>
      <c r="F330" s="77">
        <f>180850-2897.59</f>
        <v>177952.41</v>
      </c>
      <c r="G330" s="77"/>
      <c r="H330" s="77"/>
      <c r="I330" s="77"/>
      <c r="J330" s="77">
        <f t="shared" si="115"/>
        <v>0</v>
      </c>
      <c r="K330" s="77"/>
      <c r="L330" s="77"/>
      <c r="M330" s="77"/>
      <c r="N330" s="77"/>
      <c r="O330" s="77"/>
      <c r="P330" s="77">
        <f t="shared" si="116"/>
        <v>177952.41</v>
      </c>
      <c r="Q330" s="271"/>
      <c r="R330" s="153"/>
      <c r="S330" s="153"/>
      <c r="T330" s="153"/>
    </row>
    <row r="331" spans="1:20" s="4" customFormat="1" ht="21" customHeight="1" x14ac:dyDescent="0.2">
      <c r="A331" s="75" t="s">
        <v>374</v>
      </c>
      <c r="B331" s="75" t="str">
        <f>'дод. 4'!A238</f>
        <v>8700</v>
      </c>
      <c r="C331" s="75" t="str">
        <f>'дод. 4'!B238</f>
        <v>0133</v>
      </c>
      <c r="D331" s="102" t="str">
        <f>'дод. 4'!C238</f>
        <v>Резервний фонд</v>
      </c>
      <c r="E331" s="77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+2536000-2526266-3231250</f>
        <v>9737.0699999984354</v>
      </c>
      <c r="F331" s="77"/>
      <c r="G331" s="77"/>
      <c r="H331" s="77"/>
      <c r="I331" s="77"/>
      <c r="J331" s="77">
        <f t="shared" si="115"/>
        <v>0</v>
      </c>
      <c r="K331" s="77"/>
      <c r="L331" s="77"/>
      <c r="M331" s="77"/>
      <c r="N331" s="77"/>
      <c r="O331" s="77"/>
      <c r="P331" s="77">
        <f t="shared" si="116"/>
        <v>9737.0699999984354</v>
      </c>
      <c r="Q331" s="271"/>
      <c r="R331" s="153"/>
      <c r="S331" s="153"/>
      <c r="T331" s="153"/>
    </row>
    <row r="332" spans="1:20" s="4" customFormat="1" ht="21.75" customHeight="1" x14ac:dyDescent="0.2">
      <c r="A332" s="75" t="s">
        <v>375</v>
      </c>
      <c r="B332" s="75" t="str">
        <f>'дод. 4'!A242</f>
        <v>9110</v>
      </c>
      <c r="C332" s="75" t="str">
        <f>'дод. 4'!B242</f>
        <v>0180</v>
      </c>
      <c r="D332" s="102" t="str">
        <f>'дод. 4'!C242</f>
        <v>Реверсна дотація</v>
      </c>
      <c r="E332" s="77">
        <f>F332+I332</f>
        <v>87299600</v>
      </c>
      <c r="F332" s="77">
        <v>87299600</v>
      </c>
      <c r="G332" s="77"/>
      <c r="H332" s="77"/>
      <c r="I332" s="77"/>
      <c r="J332" s="77">
        <f t="shared" si="115"/>
        <v>0</v>
      </c>
      <c r="K332" s="77"/>
      <c r="L332" s="77"/>
      <c r="M332" s="77"/>
      <c r="N332" s="77"/>
      <c r="O332" s="77"/>
      <c r="P332" s="77">
        <f t="shared" si="116"/>
        <v>87299600</v>
      </c>
      <c r="Q332" s="271"/>
      <c r="R332" s="153"/>
      <c r="S332" s="153"/>
      <c r="T332" s="153"/>
    </row>
    <row r="333" spans="1:20" s="4" customFormat="1" ht="89.25" customHeight="1" x14ac:dyDescent="0.2">
      <c r="A333" s="75" t="s">
        <v>649</v>
      </c>
      <c r="B333" s="75" t="s">
        <v>651</v>
      </c>
      <c r="C333" s="75" t="s">
        <v>78</v>
      </c>
      <c r="D333" s="245" t="s">
        <v>650</v>
      </c>
      <c r="E333" s="77">
        <f>F333+I333</f>
        <v>0</v>
      </c>
      <c r="F333" s="77"/>
      <c r="G333" s="77"/>
      <c r="H333" s="77"/>
      <c r="I333" s="77"/>
      <c r="J333" s="77">
        <f>K333+N333</f>
        <v>4000000</v>
      </c>
      <c r="K333" s="77">
        <v>4000000</v>
      </c>
      <c r="L333" s="77"/>
      <c r="M333" s="77"/>
      <c r="N333" s="77"/>
      <c r="O333" s="77"/>
      <c r="P333" s="77">
        <f t="shared" si="116"/>
        <v>4000000</v>
      </c>
      <c r="Q333" s="271"/>
      <c r="R333" s="171"/>
      <c r="S333" s="171"/>
      <c r="T333" s="171"/>
    </row>
    <row r="334" spans="1:20" s="4" customFormat="1" ht="24" customHeight="1" x14ac:dyDescent="0.2">
      <c r="A334" s="75"/>
      <c r="B334" s="75"/>
      <c r="C334" s="75"/>
      <c r="D334" s="79" t="s">
        <v>416</v>
      </c>
      <c r="E334" s="77"/>
      <c r="F334" s="77"/>
      <c r="G334" s="77"/>
      <c r="H334" s="77"/>
      <c r="I334" s="77"/>
      <c r="J334" s="77">
        <v>4000000</v>
      </c>
      <c r="K334" s="77">
        <v>4000000</v>
      </c>
      <c r="L334" s="77"/>
      <c r="M334" s="77"/>
      <c r="N334" s="77"/>
      <c r="O334" s="77"/>
      <c r="P334" s="77">
        <f>J334+E334</f>
        <v>4000000</v>
      </c>
      <c r="Q334" s="271"/>
      <c r="R334" s="171"/>
      <c r="S334" s="171"/>
      <c r="T334" s="171"/>
    </row>
    <row r="335" spans="1:20" s="4" customFormat="1" ht="21.75" customHeight="1" x14ac:dyDescent="0.2">
      <c r="A335" s="75" t="s">
        <v>500</v>
      </c>
      <c r="B335" s="75" t="str">
        <f>'дод. 4'!A248</f>
        <v>9770</v>
      </c>
      <c r="C335" s="75" t="str">
        <f>'дод. 4'!B248</f>
        <v>0180</v>
      </c>
      <c r="D335" s="102" t="str">
        <f>'дод. 4'!C248</f>
        <v xml:space="preserve">Інші субвенції з місцевого бюджету </v>
      </c>
      <c r="E335" s="77">
        <f>F335+I335</f>
        <v>16900</v>
      </c>
      <c r="F335" s="77">
        <f>4900+12000</f>
        <v>16900</v>
      </c>
      <c r="G335" s="77"/>
      <c r="H335" s="77"/>
      <c r="I335" s="77"/>
      <c r="J335" s="77">
        <f t="shared" si="115"/>
        <v>552800</v>
      </c>
      <c r="K335" s="77"/>
      <c r="L335" s="77"/>
      <c r="M335" s="77"/>
      <c r="N335" s="77">
        <f>500000+14800+38000</f>
        <v>552800</v>
      </c>
      <c r="O335" s="77">
        <f>500000+14800+38000</f>
        <v>552800</v>
      </c>
      <c r="P335" s="77">
        <f t="shared" si="116"/>
        <v>569700</v>
      </c>
      <c r="Q335" s="270"/>
      <c r="R335" s="153"/>
      <c r="S335" s="153"/>
      <c r="T335" s="153"/>
    </row>
    <row r="336" spans="1:20" s="107" customFormat="1" ht="20.25" customHeight="1" x14ac:dyDescent="0.2">
      <c r="A336" s="37"/>
      <c r="B336" s="36"/>
      <c r="C336" s="36"/>
      <c r="D336" s="35" t="s">
        <v>39</v>
      </c>
      <c r="E336" s="46">
        <f t="shared" ref="E336:P336" si="117">E13+E62+E95+E132+E212+E220+E234+E267+E271+E301+E308+E311+E321+E324</f>
        <v>2947057828.2599998</v>
      </c>
      <c r="F336" s="46">
        <f t="shared" si="117"/>
        <v>2900064342.6899996</v>
      </c>
      <c r="G336" s="46">
        <f t="shared" si="117"/>
        <v>673264046.73000002</v>
      </c>
      <c r="H336" s="46">
        <f t="shared" si="117"/>
        <v>100370595.65000001</v>
      </c>
      <c r="I336" s="46">
        <f t="shared" si="117"/>
        <v>46983748.5</v>
      </c>
      <c r="J336" s="46">
        <f t="shared" si="117"/>
        <v>660293645.05000007</v>
      </c>
      <c r="K336" s="46">
        <f t="shared" si="117"/>
        <v>119352387.86</v>
      </c>
      <c r="L336" s="46">
        <f t="shared" si="117"/>
        <v>6315206</v>
      </c>
      <c r="M336" s="46">
        <f t="shared" si="117"/>
        <v>2472134</v>
      </c>
      <c r="N336" s="46">
        <f t="shared" si="117"/>
        <v>540941257.19000006</v>
      </c>
      <c r="O336" s="46">
        <f t="shared" si="117"/>
        <v>517984636.63999999</v>
      </c>
      <c r="P336" s="46">
        <f t="shared" si="117"/>
        <v>3607351473.3099999</v>
      </c>
      <c r="Q336" s="270"/>
      <c r="R336" s="151">
        <f>P336-E336-J336</f>
        <v>0</v>
      </c>
      <c r="S336" s="151"/>
      <c r="T336" s="151"/>
    </row>
    <row r="337" spans="1:25" s="107" customFormat="1" ht="27.75" customHeight="1" x14ac:dyDescent="0.2">
      <c r="A337" s="37"/>
      <c r="B337" s="36"/>
      <c r="C337" s="36"/>
      <c r="D337" s="35" t="s">
        <v>416</v>
      </c>
      <c r="E337" s="46">
        <f>E64+E97+E134+E236+E273</f>
        <v>1649767512.9000001</v>
      </c>
      <c r="F337" s="46">
        <f>F64+F97+F134+F236+F273</f>
        <v>1649767512.9000001</v>
      </c>
      <c r="G337" s="46">
        <f>G64+G97+G134+G236+G273</f>
        <v>213388985</v>
      </c>
      <c r="H337" s="46">
        <f>H64+H97+H134+H236+H273</f>
        <v>0</v>
      </c>
      <c r="I337" s="46">
        <f>I64+I97+I134+I236+I273</f>
        <v>0</v>
      </c>
      <c r="J337" s="46">
        <f t="shared" ref="J337:P337" si="118">J64+J97+J134+J236+J273+J333+J219+J222</f>
        <v>103346733.02000001</v>
      </c>
      <c r="K337" s="46">
        <f t="shared" si="118"/>
        <v>45900000</v>
      </c>
      <c r="L337" s="46">
        <f t="shared" si="118"/>
        <v>0</v>
      </c>
      <c r="M337" s="46">
        <f t="shared" si="118"/>
        <v>0</v>
      </c>
      <c r="N337" s="46">
        <f t="shared" si="118"/>
        <v>57446733.020000003</v>
      </c>
      <c r="O337" s="46">
        <f t="shared" si="118"/>
        <v>41161369.970000006</v>
      </c>
      <c r="P337" s="46">
        <f t="shared" si="118"/>
        <v>1753114245.9200001</v>
      </c>
      <c r="Q337" s="270"/>
      <c r="R337" s="91"/>
      <c r="S337" s="91"/>
      <c r="T337" s="91"/>
    </row>
    <row r="338" spans="1:25" s="163" customFormat="1" ht="36.75" customHeight="1" x14ac:dyDescent="0.2">
      <c r="A338" s="92"/>
      <c r="B338" s="89"/>
      <c r="C338" s="89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270"/>
    </row>
    <row r="339" spans="1:25" s="33" customFormat="1" ht="61.5" customHeight="1" x14ac:dyDescent="0.2">
      <c r="A339" s="273"/>
      <c r="B339" s="274"/>
      <c r="C339" s="274"/>
      <c r="D339" s="220"/>
      <c r="E339" s="195"/>
      <c r="F339" s="195"/>
      <c r="G339" s="195"/>
      <c r="H339" s="195"/>
      <c r="I339" s="195"/>
      <c r="J339" s="195"/>
      <c r="K339" s="195"/>
      <c r="L339" s="195"/>
      <c r="M339" s="219"/>
      <c r="N339" s="198"/>
      <c r="O339" s="234"/>
      <c r="P339" s="236"/>
      <c r="Q339" s="270"/>
      <c r="R339" s="236"/>
      <c r="S339" s="236"/>
      <c r="T339" s="91"/>
      <c r="U339" s="91"/>
      <c r="V339" s="235"/>
      <c r="W339" s="91">
        <f>W337-'дод. 4'!AL252</f>
        <v>0</v>
      </c>
      <c r="X339" s="91">
        <f>X337-'дод. 4'!AM252</f>
        <v>0</v>
      </c>
      <c r="Y339" s="91">
        <f>Y337-'дод. 4'!AN252</f>
        <v>0</v>
      </c>
    </row>
    <row r="340" spans="1:25" ht="32.25" customHeight="1" x14ac:dyDescent="0.4">
      <c r="A340" s="273" t="s">
        <v>680</v>
      </c>
      <c r="B340" s="273"/>
      <c r="C340" s="273"/>
      <c r="D340" s="273"/>
      <c r="E340" s="263"/>
      <c r="F340" s="263"/>
      <c r="G340" s="263"/>
      <c r="H340" s="263"/>
      <c r="I340" s="263"/>
      <c r="J340" s="263"/>
      <c r="K340" s="263"/>
      <c r="L340" s="263"/>
      <c r="M340" s="219" t="s">
        <v>681</v>
      </c>
      <c r="N340" s="198"/>
      <c r="O340" s="198"/>
      <c r="P340" s="238"/>
      <c r="Q340" s="270"/>
      <c r="R340" s="239"/>
      <c r="S340" s="239"/>
      <c r="T340" s="237"/>
      <c r="U340" s="237"/>
      <c r="V340" s="235"/>
    </row>
    <row r="341" spans="1:25" s="126" customFormat="1" ht="36" customHeight="1" x14ac:dyDescent="0.4">
      <c r="A341" s="196"/>
      <c r="B341" s="217"/>
      <c r="C341" s="217"/>
      <c r="D341" s="217"/>
      <c r="E341" s="217"/>
      <c r="F341" s="217"/>
      <c r="G341" s="217"/>
      <c r="H341" s="217"/>
      <c r="I341" s="263"/>
      <c r="J341" s="263"/>
      <c r="K341" s="197"/>
      <c r="L341" s="263"/>
      <c r="M341" s="198"/>
      <c r="N341" s="198"/>
      <c r="O341" s="198"/>
      <c r="P341" s="72"/>
      <c r="Q341" s="270"/>
      <c r="R341" s="141"/>
      <c r="S341" s="141"/>
      <c r="T341" s="141"/>
    </row>
    <row r="342" spans="1:25" s="126" customFormat="1" ht="22.5" customHeight="1" x14ac:dyDescent="0.4">
      <c r="A342" s="279" t="s">
        <v>682</v>
      </c>
      <c r="B342" s="279"/>
      <c r="C342" s="279"/>
      <c r="D342" s="199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98"/>
      <c r="P342" s="72"/>
      <c r="Q342" s="270"/>
      <c r="R342" s="141"/>
      <c r="S342" s="128"/>
      <c r="T342" s="142"/>
    </row>
    <row r="343" spans="1:25" s="126" customFormat="1" ht="22.5" customHeight="1" x14ac:dyDescent="0.4">
      <c r="A343" s="241"/>
      <c r="B343" s="242"/>
      <c r="C343" s="242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55">
        <f>O336-'дод. 4'!N251</f>
        <v>0</v>
      </c>
      <c r="P343" s="55">
        <f>P336-'дод. 4'!O251</f>
        <v>0</v>
      </c>
      <c r="Q343" s="270"/>
      <c r="R343" s="141"/>
      <c r="S343" s="128"/>
      <c r="T343" s="142"/>
    </row>
    <row r="344" spans="1:25" s="126" customFormat="1" ht="22.5" customHeight="1" x14ac:dyDescent="0.25">
      <c r="A344" s="17"/>
      <c r="B344" s="6"/>
      <c r="C344" s="43"/>
      <c r="D344" s="56"/>
      <c r="E344" s="56"/>
      <c r="F344" s="16"/>
      <c r="G344" s="16"/>
      <c r="H344" s="16"/>
      <c r="I344" s="16"/>
      <c r="J344" s="55"/>
      <c r="K344" s="55"/>
      <c r="L344" s="16"/>
      <c r="M344" s="16"/>
      <c r="N344" s="16"/>
      <c r="O344" s="55">
        <f>O337-'дод. 4'!N252</f>
        <v>0</v>
      </c>
      <c r="P344" s="55">
        <f>P337-'дод. 4'!O252</f>
        <v>0</v>
      </c>
      <c r="Q344" s="270"/>
      <c r="R344" s="141"/>
      <c r="S344" s="128"/>
      <c r="T344" s="142"/>
    </row>
    <row r="345" spans="1:25" s="126" customFormat="1" ht="22.5" customHeight="1" x14ac:dyDescent="0.4">
      <c r="A345" s="259"/>
      <c r="B345" s="217"/>
      <c r="C345" s="217"/>
      <c r="D345" s="217"/>
      <c r="E345" s="217"/>
      <c r="F345" s="217"/>
      <c r="G345" s="217"/>
      <c r="H345" s="217"/>
      <c r="I345" s="263"/>
      <c r="J345" s="263"/>
      <c r="K345" s="197"/>
      <c r="L345" s="263"/>
      <c r="M345" s="198"/>
      <c r="N345" s="260"/>
      <c r="O345" s="63"/>
      <c r="P345" s="72"/>
      <c r="Q345" s="270"/>
      <c r="R345" s="141"/>
      <c r="S345" s="128"/>
      <c r="T345" s="142"/>
    </row>
    <row r="346" spans="1:25" s="126" customFormat="1" ht="22.5" customHeight="1" x14ac:dyDescent="0.4">
      <c r="A346" s="278"/>
      <c r="B346" s="278"/>
      <c r="C346" s="278"/>
      <c r="D346" s="199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63"/>
      <c r="P346" s="72"/>
      <c r="Q346" s="270"/>
      <c r="R346" s="141"/>
      <c r="S346" s="128"/>
      <c r="T346" s="142"/>
    </row>
    <row r="347" spans="1:25" s="126" customFormat="1" ht="35.25" customHeight="1" x14ac:dyDescent="0.4">
      <c r="A347" s="241"/>
      <c r="B347" s="242"/>
      <c r="C347" s="242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63"/>
      <c r="P347" s="72"/>
      <c r="Q347" s="270"/>
      <c r="R347" s="141"/>
      <c r="T347" s="142"/>
    </row>
    <row r="348" spans="1:25" s="126" customFormat="1" ht="22.5" customHeight="1" x14ac:dyDescent="0.25">
      <c r="A348" s="17"/>
      <c r="B348" s="6"/>
      <c r="C348" s="43"/>
      <c r="D348" s="16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63"/>
      <c r="P348" s="72"/>
      <c r="Q348" s="270"/>
      <c r="R348" s="141"/>
      <c r="S348" s="128"/>
      <c r="T348" s="142"/>
    </row>
    <row r="349" spans="1:25" s="126" customFormat="1" ht="22.5" customHeight="1" x14ac:dyDescent="0.25">
      <c r="A349" s="61"/>
      <c r="B349" s="62"/>
      <c r="C349" s="62"/>
      <c r="D349" s="205"/>
      <c r="E349" s="55">
        <f>E337-'дод. 4'!D252</f>
        <v>0</v>
      </c>
      <c r="F349" s="55">
        <f>F337-'дод. 4'!E252</f>
        <v>0</v>
      </c>
      <c r="G349" s="55">
        <f>G337-'дод. 4'!F252</f>
        <v>0</v>
      </c>
      <c r="H349" s="55">
        <f>H337-'дод. 4'!G252</f>
        <v>0</v>
      </c>
      <c r="I349" s="55">
        <f>I337-'дод. 4'!H252</f>
        <v>0</v>
      </c>
      <c r="J349" s="55">
        <f>J337-'дод. 4'!I252</f>
        <v>0</v>
      </c>
      <c r="K349" s="55">
        <f>K337-'дод. 4'!J252</f>
        <v>0</v>
      </c>
      <c r="L349" s="55">
        <f>L337-'дод. 4'!K252</f>
        <v>0</v>
      </c>
      <c r="M349" s="55">
        <f>M337-'дод. 4'!L252</f>
        <v>0</v>
      </c>
      <c r="N349" s="55">
        <f>N337-'дод. 4'!M252</f>
        <v>0</v>
      </c>
      <c r="O349" s="63"/>
      <c r="P349" s="72"/>
      <c r="Q349" s="270"/>
      <c r="R349" s="141"/>
      <c r="S349" s="128"/>
      <c r="T349" s="142"/>
    </row>
    <row r="350" spans="1:25" s="126" customFormat="1" ht="22.5" customHeight="1" x14ac:dyDescent="0.25">
      <c r="A350" s="61"/>
      <c r="B350" s="62"/>
      <c r="C350" s="62"/>
      <c r="D350" s="205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72"/>
      <c r="Q350" s="270"/>
      <c r="R350" s="141"/>
      <c r="S350" s="128"/>
      <c r="T350" s="142"/>
    </row>
    <row r="351" spans="1:25" s="126" customFormat="1" ht="22.5" customHeight="1" x14ac:dyDescent="0.25">
      <c r="A351" s="61"/>
      <c r="B351" s="62"/>
      <c r="C351" s="62"/>
      <c r="D351" s="205"/>
      <c r="E351" s="63"/>
      <c r="F351" s="63"/>
      <c r="G351" s="63"/>
      <c r="H351" s="63"/>
      <c r="I351" s="63"/>
      <c r="J351" s="63"/>
      <c r="K351" s="63"/>
      <c r="L351" s="63"/>
      <c r="M351" s="63"/>
      <c r="N351" s="62"/>
      <c r="O351" s="63"/>
      <c r="P351" s="72"/>
      <c r="Q351" s="270"/>
      <c r="R351" s="141"/>
      <c r="S351" s="141"/>
      <c r="T351" s="141"/>
    </row>
    <row r="352" spans="1:25" s="29" customFormat="1" ht="24.75" customHeight="1" x14ac:dyDescent="0.25">
      <c r="A352" s="61"/>
      <c r="B352" s="62"/>
      <c r="C352" s="62"/>
      <c r="D352" s="205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73"/>
      <c r="Q352" s="270"/>
      <c r="R352" s="141"/>
      <c r="S352" s="141"/>
      <c r="T352" s="141"/>
    </row>
    <row r="353" spans="1:20" s="29" customFormat="1" ht="24.75" customHeight="1" x14ac:dyDescent="0.25">
      <c r="A353" s="61"/>
      <c r="B353" s="62"/>
      <c r="C353" s="62"/>
      <c r="D353" s="205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73"/>
      <c r="Q353" s="270"/>
      <c r="R353" s="141"/>
      <c r="S353" s="141"/>
      <c r="T353" s="141"/>
    </row>
    <row r="354" spans="1:20" s="29" customFormat="1" ht="24.75" customHeight="1" x14ac:dyDescent="0.25">
      <c r="A354" s="61"/>
      <c r="B354" s="62"/>
      <c r="C354" s="62"/>
      <c r="D354" s="205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73"/>
      <c r="Q354" s="270"/>
      <c r="R354" s="141"/>
      <c r="S354" s="141"/>
      <c r="T354" s="141"/>
    </row>
    <row r="355" spans="1:20" s="29" customFormat="1" ht="24.75" customHeight="1" x14ac:dyDescent="0.25">
      <c r="A355" s="61"/>
      <c r="B355" s="62"/>
      <c r="C355" s="62"/>
      <c r="D355" s="205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73"/>
      <c r="Q355" s="270"/>
      <c r="R355" s="141"/>
      <c r="S355" s="141"/>
      <c r="T355" s="141"/>
    </row>
    <row r="356" spans="1:20" s="29" customFormat="1" x14ac:dyDescent="0.25">
      <c r="A356" s="61"/>
      <c r="B356" s="62"/>
      <c r="C356" s="62"/>
      <c r="D356" s="205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2"/>
      <c r="P356" s="73"/>
      <c r="Q356" s="270"/>
      <c r="R356" s="141"/>
      <c r="S356" s="141"/>
      <c r="T356" s="141"/>
    </row>
    <row r="357" spans="1:20" s="29" customFormat="1" x14ac:dyDescent="0.25">
      <c r="A357" s="96"/>
      <c r="B357" s="272"/>
      <c r="C357" s="272"/>
      <c r="D357" s="272"/>
      <c r="E357" s="63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270"/>
      <c r="R357" s="141"/>
      <c r="S357" s="141"/>
      <c r="T357" s="141"/>
    </row>
    <row r="358" spans="1:20" s="29" customFormat="1" x14ac:dyDescent="0.25">
      <c r="A358" s="96"/>
      <c r="B358" s="71"/>
      <c r="C358" s="71"/>
      <c r="D358" s="71"/>
      <c r="E358" s="63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270"/>
      <c r="R358" s="141"/>
      <c r="S358" s="141"/>
      <c r="T358" s="141"/>
    </row>
    <row r="359" spans="1:20" s="29" customFormat="1" x14ac:dyDescent="0.25">
      <c r="A359" s="96"/>
      <c r="B359" s="71"/>
      <c r="C359" s="71"/>
      <c r="D359" s="71"/>
      <c r="E359" s="63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270"/>
      <c r="R359" s="141"/>
      <c r="S359" s="141"/>
      <c r="T359" s="141"/>
    </row>
    <row r="360" spans="1:20" s="29" customFormat="1" x14ac:dyDescent="0.25">
      <c r="A360" s="96"/>
      <c r="B360" s="71"/>
      <c r="C360" s="71"/>
      <c r="D360" s="71"/>
      <c r="E360" s="63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270"/>
      <c r="R360" s="141"/>
      <c r="S360" s="141"/>
      <c r="T360" s="141"/>
    </row>
    <row r="361" spans="1:20" s="29" customFormat="1" x14ac:dyDescent="0.25">
      <c r="A361" s="66"/>
      <c r="B361" s="68"/>
      <c r="C361" s="62"/>
      <c r="D361" s="206"/>
      <c r="E361" s="63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270"/>
      <c r="R361" s="141"/>
      <c r="S361" s="141"/>
      <c r="T361" s="141"/>
    </row>
    <row r="362" spans="1:20" s="29" customFormat="1" x14ac:dyDescent="0.25">
      <c r="A362" s="97"/>
      <c r="B362" s="62"/>
      <c r="C362" s="62"/>
      <c r="D362" s="205"/>
      <c r="E362" s="63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270"/>
      <c r="R362" s="141"/>
      <c r="S362" s="141"/>
      <c r="T362" s="141"/>
    </row>
    <row r="363" spans="1:20" s="29" customFormat="1" x14ac:dyDescent="0.25">
      <c r="A363" s="61"/>
      <c r="B363" s="67"/>
      <c r="C363" s="68"/>
      <c r="D363" s="206"/>
      <c r="E363" s="63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270"/>
      <c r="R363" s="141"/>
      <c r="S363" s="141"/>
      <c r="T363" s="141"/>
    </row>
    <row r="364" spans="1:20" s="29" customFormat="1" x14ac:dyDescent="0.25">
      <c r="A364" s="67"/>
      <c r="B364" s="68"/>
      <c r="C364" s="68"/>
      <c r="D364" s="207"/>
      <c r="E364" s="62"/>
      <c r="F364" s="62"/>
      <c r="G364" s="63"/>
      <c r="H364" s="63"/>
      <c r="I364" s="63"/>
      <c r="J364" s="62"/>
      <c r="K364" s="62"/>
      <c r="L364" s="62"/>
      <c r="M364" s="62"/>
      <c r="N364" s="62"/>
      <c r="O364" s="62"/>
      <c r="P364" s="62"/>
      <c r="Q364" s="270"/>
      <c r="R364" s="141"/>
      <c r="S364" s="141"/>
      <c r="T364" s="141"/>
    </row>
    <row r="365" spans="1:20" s="29" customFormat="1" x14ac:dyDescent="0.25">
      <c r="A365" s="96"/>
      <c r="B365" s="98"/>
      <c r="C365" s="98"/>
      <c r="D365" s="206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270"/>
      <c r="R365" s="141"/>
      <c r="S365" s="141"/>
      <c r="T365" s="141"/>
    </row>
    <row r="366" spans="1:20" s="29" customFormat="1" ht="26.25" customHeight="1" x14ac:dyDescent="0.25">
      <c r="A366" s="96"/>
      <c r="B366" s="98"/>
      <c r="C366" s="98"/>
      <c r="D366" s="206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270"/>
      <c r="R366" s="141"/>
      <c r="S366" s="141"/>
      <c r="T366" s="141"/>
    </row>
    <row r="367" spans="1:20" s="29" customFormat="1" ht="26.25" customHeight="1" x14ac:dyDescent="0.25">
      <c r="A367" s="96"/>
      <c r="B367" s="98"/>
      <c r="C367" s="98"/>
      <c r="D367" s="206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270"/>
      <c r="R367" s="141"/>
      <c r="S367" s="141"/>
      <c r="T367" s="141"/>
    </row>
    <row r="368" spans="1:20" s="29" customFormat="1" ht="26.25" customHeight="1" x14ac:dyDescent="0.25">
      <c r="A368" s="96"/>
      <c r="B368" s="98"/>
      <c r="C368" s="98"/>
      <c r="D368" s="206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270"/>
      <c r="R368" s="141"/>
      <c r="S368" s="141"/>
      <c r="T368" s="141"/>
    </row>
    <row r="369" spans="1:20" s="29" customFormat="1" ht="26.25" customHeight="1" x14ac:dyDescent="0.25">
      <c r="A369" s="96"/>
      <c r="B369" s="98"/>
      <c r="C369" s="98"/>
      <c r="D369" s="206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270"/>
      <c r="R369" s="141"/>
      <c r="S369" s="141"/>
      <c r="T369" s="141"/>
    </row>
    <row r="370" spans="1:20" s="29" customFormat="1" ht="26.25" customHeight="1" x14ac:dyDescent="0.25">
      <c r="A370" s="96"/>
      <c r="B370" s="98"/>
      <c r="C370" s="98"/>
      <c r="D370" s="206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270"/>
      <c r="R370" s="141"/>
      <c r="S370" s="141"/>
      <c r="T370" s="141"/>
    </row>
    <row r="371" spans="1:20" s="29" customFormat="1" x14ac:dyDescent="0.25">
      <c r="A371" s="96"/>
      <c r="B371" s="98"/>
      <c r="C371" s="98"/>
      <c r="D371" s="206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270"/>
      <c r="R371" s="141"/>
      <c r="S371" s="141"/>
      <c r="T371" s="141"/>
    </row>
    <row r="372" spans="1:20" s="29" customFormat="1" x14ac:dyDescent="0.25">
      <c r="A372" s="64"/>
      <c r="B372" s="65"/>
      <c r="C372" s="65"/>
      <c r="D372" s="20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270"/>
      <c r="R372" s="141"/>
      <c r="S372" s="141"/>
      <c r="T372" s="141"/>
    </row>
    <row r="373" spans="1:20" s="29" customFormat="1" x14ac:dyDescent="0.25">
      <c r="A373" s="64"/>
      <c r="B373" s="65"/>
      <c r="C373" s="65"/>
      <c r="D373" s="20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270"/>
      <c r="R373" s="141"/>
      <c r="S373" s="141"/>
      <c r="T373" s="141"/>
    </row>
    <row r="374" spans="1:20" s="29" customFormat="1" x14ac:dyDescent="0.25">
      <c r="A374" s="64"/>
      <c r="B374" s="65"/>
      <c r="C374" s="65"/>
      <c r="D374" s="20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270"/>
      <c r="R374" s="141"/>
      <c r="S374" s="141"/>
      <c r="T374" s="141"/>
    </row>
    <row r="375" spans="1:20" s="29" customFormat="1" x14ac:dyDescent="0.25">
      <c r="A375" s="64"/>
      <c r="B375" s="65"/>
      <c r="C375" s="65"/>
      <c r="D375" s="20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270"/>
      <c r="R375" s="141"/>
      <c r="S375" s="141"/>
      <c r="T375" s="141"/>
    </row>
    <row r="376" spans="1:20" s="29" customFormat="1" x14ac:dyDescent="0.25">
      <c r="A376" s="64"/>
      <c r="B376" s="65"/>
      <c r="C376" s="65"/>
      <c r="D376" s="20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270"/>
      <c r="R376" s="141"/>
      <c r="S376" s="141"/>
      <c r="T376" s="141"/>
    </row>
    <row r="377" spans="1:20" s="29" customFormat="1" x14ac:dyDescent="0.25">
      <c r="A377" s="64"/>
      <c r="B377" s="65"/>
      <c r="C377" s="65"/>
      <c r="D377" s="20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193"/>
      <c r="R377" s="141"/>
      <c r="S377" s="141"/>
      <c r="T377" s="141"/>
    </row>
    <row r="378" spans="1:20" s="29" customFormat="1" x14ac:dyDescent="0.25">
      <c r="A378" s="64"/>
      <c r="B378" s="65"/>
      <c r="C378" s="65"/>
      <c r="D378" s="20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193"/>
      <c r="R378" s="141"/>
      <c r="S378" s="141"/>
      <c r="T378" s="141"/>
    </row>
    <row r="379" spans="1:20" s="29" customFormat="1" x14ac:dyDescent="0.25">
      <c r="A379" s="64"/>
      <c r="B379" s="65"/>
      <c r="C379" s="65"/>
      <c r="D379" s="20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193"/>
      <c r="R379" s="141"/>
      <c r="S379" s="141"/>
      <c r="T379" s="141"/>
    </row>
    <row r="380" spans="1:20" s="29" customFormat="1" x14ac:dyDescent="0.25">
      <c r="A380" s="64"/>
      <c r="B380" s="65"/>
      <c r="C380" s="65"/>
      <c r="D380" s="20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193"/>
      <c r="R380" s="141"/>
      <c r="S380" s="141"/>
      <c r="T380" s="141"/>
    </row>
    <row r="381" spans="1:20" s="29" customFormat="1" x14ac:dyDescent="0.25">
      <c r="A381" s="64"/>
      <c r="B381" s="65"/>
      <c r="C381" s="65"/>
      <c r="D381" s="20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193"/>
      <c r="R381" s="141"/>
      <c r="S381" s="141"/>
      <c r="T381" s="141"/>
    </row>
    <row r="382" spans="1:20" s="29" customFormat="1" x14ac:dyDescent="0.25">
      <c r="A382" s="64"/>
      <c r="B382" s="65"/>
      <c r="C382" s="65"/>
      <c r="D382" s="20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193"/>
      <c r="R382" s="141"/>
      <c r="S382" s="141"/>
      <c r="T382" s="141"/>
    </row>
    <row r="383" spans="1:20" s="29" customFormat="1" x14ac:dyDescent="0.25">
      <c r="A383" s="64"/>
      <c r="B383" s="65"/>
      <c r="C383" s="65"/>
      <c r="D383" s="20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193"/>
      <c r="R383" s="141"/>
      <c r="S383" s="141"/>
      <c r="T383" s="141"/>
    </row>
    <row r="384" spans="1:20" s="29" customFormat="1" ht="27" customHeight="1" x14ac:dyDescent="0.25">
      <c r="A384" s="64"/>
      <c r="B384" s="65"/>
      <c r="C384" s="65"/>
      <c r="D384" s="20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193"/>
      <c r="R384" s="141"/>
      <c r="S384" s="141"/>
      <c r="T384" s="141"/>
    </row>
    <row r="385" spans="1:20" s="29" customFormat="1" x14ac:dyDescent="0.25">
      <c r="A385" s="64"/>
      <c r="B385" s="65"/>
      <c r="C385" s="65"/>
      <c r="D385" s="20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93"/>
      <c r="R385" s="141"/>
      <c r="S385" s="141"/>
      <c r="T385" s="141"/>
    </row>
    <row r="386" spans="1:20" s="29" customFormat="1" x14ac:dyDescent="0.25">
      <c r="A386" s="64"/>
      <c r="B386" s="65"/>
      <c r="C386" s="65"/>
      <c r="D386" s="20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193"/>
      <c r="R386" s="141"/>
      <c r="S386" s="141"/>
      <c r="T386" s="141"/>
    </row>
    <row r="387" spans="1:20" s="29" customFormat="1" x14ac:dyDescent="0.25">
      <c r="A387" s="64"/>
      <c r="B387" s="65"/>
      <c r="C387" s="65"/>
      <c r="D387" s="20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131"/>
      <c r="Q387" s="193"/>
      <c r="R387" s="141"/>
      <c r="S387" s="141"/>
      <c r="T387" s="141"/>
    </row>
    <row r="388" spans="1:20" s="29" customFormat="1" x14ac:dyDescent="0.25">
      <c r="A388" s="64"/>
      <c r="B388" s="65"/>
      <c r="C388" s="65"/>
      <c r="D388" s="20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129"/>
      <c r="Q388" s="193"/>
      <c r="R388" s="141"/>
      <c r="S388" s="141"/>
      <c r="T388" s="141"/>
    </row>
    <row r="389" spans="1:20" s="29" customFormat="1" x14ac:dyDescent="0.25">
      <c r="A389" s="64"/>
      <c r="B389" s="65"/>
      <c r="C389" s="65"/>
      <c r="D389" s="208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129"/>
      <c r="Q389" s="193"/>
      <c r="R389" s="141"/>
      <c r="S389" s="141"/>
      <c r="T389" s="141"/>
    </row>
    <row r="390" spans="1:20" s="29" customFormat="1" x14ac:dyDescent="0.25">
      <c r="A390" s="64"/>
      <c r="B390" s="65"/>
      <c r="C390" s="65"/>
      <c r="D390" s="208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129"/>
      <c r="Q390" s="193"/>
      <c r="R390" s="141"/>
      <c r="S390" s="141"/>
      <c r="T390" s="141"/>
    </row>
    <row r="391" spans="1:20" s="29" customFormat="1" x14ac:dyDescent="0.25">
      <c r="A391" s="64"/>
      <c r="B391" s="65"/>
      <c r="C391" s="65"/>
      <c r="D391" s="208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129"/>
      <c r="Q391" s="193"/>
      <c r="R391" s="141"/>
      <c r="S391" s="141"/>
      <c r="T391" s="141"/>
    </row>
    <row r="392" spans="1:20" s="29" customFormat="1" x14ac:dyDescent="0.25">
      <c r="A392" s="64"/>
      <c r="B392" s="65"/>
      <c r="C392" s="65"/>
      <c r="D392" s="208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129"/>
      <c r="Q392" s="193"/>
      <c r="R392" s="141"/>
      <c r="S392" s="141"/>
      <c r="T392" s="141"/>
    </row>
    <row r="393" spans="1:20" s="29" customFormat="1" x14ac:dyDescent="0.25">
      <c r="A393" s="64"/>
      <c r="B393" s="65"/>
      <c r="C393" s="65"/>
      <c r="D393" s="208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129"/>
      <c r="Q393" s="193"/>
      <c r="R393" s="141"/>
      <c r="S393" s="141"/>
      <c r="T393" s="141"/>
    </row>
    <row r="394" spans="1:20" x14ac:dyDescent="0.25">
      <c r="B394" s="65"/>
    </row>
    <row r="395" spans="1:20" x14ac:dyDescent="0.25">
      <c r="B395" s="65"/>
    </row>
    <row r="396" spans="1:20" x14ac:dyDescent="0.25">
      <c r="B396" s="65"/>
    </row>
    <row r="397" spans="1:20" x14ac:dyDescent="0.25">
      <c r="B397" s="65"/>
    </row>
    <row r="398" spans="1:20" x14ac:dyDescent="0.25">
      <c r="B398" s="65"/>
    </row>
    <row r="399" spans="1:20" x14ac:dyDescent="0.25">
      <c r="B399" s="65"/>
    </row>
    <row r="400" spans="1:20" x14ac:dyDescent="0.25">
      <c r="B400" s="65"/>
    </row>
    <row r="401" spans="2:2" x14ac:dyDescent="0.25">
      <c r="B401" s="65"/>
    </row>
    <row r="402" spans="2:2" x14ac:dyDescent="0.25">
      <c r="B402" s="65"/>
    </row>
    <row r="403" spans="2:2" x14ac:dyDescent="0.25">
      <c r="B403" s="65"/>
    </row>
    <row r="404" spans="2:2" x14ac:dyDescent="0.25">
      <c r="B404" s="65"/>
    </row>
    <row r="405" spans="2:2" x14ac:dyDescent="0.25">
      <c r="B405" s="65"/>
    </row>
    <row r="406" spans="2:2" x14ac:dyDescent="0.25">
      <c r="B406" s="65"/>
    </row>
    <row r="407" spans="2:2" x14ac:dyDescent="0.25">
      <c r="B407" s="65"/>
    </row>
    <row r="408" spans="2:2" x14ac:dyDescent="0.25">
      <c r="B408" s="65"/>
    </row>
    <row r="409" spans="2:2" x14ac:dyDescent="0.25">
      <c r="B409" s="65"/>
    </row>
    <row r="410" spans="2:2" x14ac:dyDescent="0.25">
      <c r="B410" s="65"/>
    </row>
    <row r="411" spans="2:2" x14ac:dyDescent="0.25">
      <c r="B411" s="65"/>
    </row>
    <row r="412" spans="2:2" x14ac:dyDescent="0.25">
      <c r="B412" s="65"/>
    </row>
    <row r="413" spans="2:2" x14ac:dyDescent="0.25">
      <c r="B413" s="65"/>
    </row>
    <row r="414" spans="2:2" x14ac:dyDescent="0.25">
      <c r="B414" s="65"/>
    </row>
    <row r="415" spans="2:2" x14ac:dyDescent="0.25">
      <c r="B415" s="65"/>
    </row>
    <row r="416" spans="2:2" x14ac:dyDescent="0.25">
      <c r="B416" s="65"/>
    </row>
    <row r="417" spans="2:2" x14ac:dyDescent="0.25">
      <c r="B417" s="65"/>
    </row>
    <row r="418" spans="2:2" x14ac:dyDescent="0.25">
      <c r="B418" s="65"/>
    </row>
    <row r="419" spans="2:2" x14ac:dyDescent="0.25">
      <c r="B419" s="65"/>
    </row>
    <row r="420" spans="2:2" x14ac:dyDescent="0.25">
      <c r="B420" s="65"/>
    </row>
    <row r="421" spans="2:2" x14ac:dyDescent="0.25">
      <c r="B421" s="65"/>
    </row>
    <row r="422" spans="2:2" x14ac:dyDescent="0.25">
      <c r="B422" s="65"/>
    </row>
    <row r="423" spans="2:2" x14ac:dyDescent="0.25">
      <c r="B423" s="65"/>
    </row>
    <row r="424" spans="2:2" x14ac:dyDescent="0.25">
      <c r="B424" s="65"/>
    </row>
    <row r="425" spans="2:2" x14ac:dyDescent="0.25">
      <c r="B425" s="65"/>
    </row>
    <row r="426" spans="2:2" x14ac:dyDescent="0.25">
      <c r="B426" s="65"/>
    </row>
    <row r="427" spans="2:2" x14ac:dyDescent="0.25">
      <c r="B427" s="65"/>
    </row>
    <row r="428" spans="2:2" x14ac:dyDescent="0.25">
      <c r="B428" s="65"/>
    </row>
    <row r="429" spans="2:2" x14ac:dyDescent="0.25">
      <c r="B429" s="65"/>
    </row>
    <row r="430" spans="2:2" x14ac:dyDescent="0.25">
      <c r="B430" s="65"/>
    </row>
    <row r="431" spans="2:2" x14ac:dyDescent="0.25">
      <c r="B431" s="65"/>
    </row>
    <row r="432" spans="2:2" x14ac:dyDescent="0.25">
      <c r="B432" s="65"/>
    </row>
    <row r="433" spans="2:2" x14ac:dyDescent="0.25">
      <c r="B433" s="65"/>
    </row>
    <row r="434" spans="2:2" x14ac:dyDescent="0.25">
      <c r="B434" s="65"/>
    </row>
    <row r="435" spans="2:2" x14ac:dyDescent="0.25">
      <c r="B435" s="65"/>
    </row>
    <row r="436" spans="2:2" x14ac:dyDescent="0.25">
      <c r="B436" s="65"/>
    </row>
    <row r="437" spans="2:2" x14ac:dyDescent="0.25">
      <c r="B437" s="65"/>
    </row>
    <row r="438" spans="2:2" x14ac:dyDescent="0.25">
      <c r="B438" s="65"/>
    </row>
    <row r="439" spans="2:2" x14ac:dyDescent="0.25">
      <c r="B439" s="65"/>
    </row>
    <row r="440" spans="2:2" x14ac:dyDescent="0.25">
      <c r="B440" s="65"/>
    </row>
    <row r="441" spans="2:2" x14ac:dyDescent="0.25">
      <c r="B441" s="65"/>
    </row>
    <row r="442" spans="2:2" x14ac:dyDescent="0.25">
      <c r="B442" s="65"/>
    </row>
    <row r="443" spans="2:2" x14ac:dyDescent="0.25">
      <c r="B443" s="65"/>
    </row>
    <row r="444" spans="2:2" x14ac:dyDescent="0.25">
      <c r="B444" s="65"/>
    </row>
    <row r="445" spans="2:2" x14ac:dyDescent="0.25">
      <c r="B445" s="65"/>
    </row>
    <row r="446" spans="2:2" x14ac:dyDescent="0.25">
      <c r="B446" s="65"/>
    </row>
    <row r="447" spans="2:2" x14ac:dyDescent="0.25">
      <c r="B447" s="65"/>
    </row>
    <row r="448" spans="2:2" x14ac:dyDescent="0.25">
      <c r="B448" s="65"/>
    </row>
    <row r="449" spans="2:2" x14ac:dyDescent="0.25">
      <c r="B449" s="65"/>
    </row>
    <row r="450" spans="2:2" x14ac:dyDescent="0.25">
      <c r="B450" s="65"/>
    </row>
    <row r="451" spans="2:2" x14ac:dyDescent="0.25">
      <c r="B451" s="65"/>
    </row>
    <row r="452" spans="2:2" x14ac:dyDescent="0.25">
      <c r="B452" s="65"/>
    </row>
    <row r="453" spans="2:2" x14ac:dyDescent="0.25">
      <c r="B453" s="65"/>
    </row>
    <row r="454" spans="2:2" x14ac:dyDescent="0.25">
      <c r="B454" s="65"/>
    </row>
    <row r="455" spans="2:2" x14ac:dyDescent="0.25">
      <c r="B455" s="65"/>
    </row>
    <row r="456" spans="2:2" x14ac:dyDescent="0.25">
      <c r="B456" s="65"/>
    </row>
    <row r="457" spans="2:2" x14ac:dyDescent="0.25">
      <c r="B457" s="65"/>
    </row>
    <row r="458" spans="2:2" x14ac:dyDescent="0.25">
      <c r="B458" s="65"/>
    </row>
    <row r="459" spans="2:2" x14ac:dyDescent="0.25">
      <c r="B459" s="65"/>
    </row>
    <row r="460" spans="2:2" x14ac:dyDescent="0.25">
      <c r="B460" s="65"/>
    </row>
    <row r="461" spans="2:2" x14ac:dyDescent="0.25">
      <c r="B461" s="65"/>
    </row>
    <row r="462" spans="2:2" x14ac:dyDescent="0.25">
      <c r="B462" s="65"/>
    </row>
    <row r="463" spans="2:2" x14ac:dyDescent="0.25">
      <c r="B463" s="65"/>
    </row>
    <row r="464" spans="2:2" x14ac:dyDescent="0.25">
      <c r="B464" s="65"/>
    </row>
    <row r="465" spans="2:2" x14ac:dyDescent="0.25">
      <c r="B465" s="65"/>
    </row>
    <row r="466" spans="2:2" x14ac:dyDescent="0.25">
      <c r="B466" s="65"/>
    </row>
    <row r="467" spans="2:2" x14ac:dyDescent="0.25">
      <c r="B467" s="65"/>
    </row>
    <row r="468" spans="2:2" x14ac:dyDescent="0.25">
      <c r="B468" s="65"/>
    </row>
    <row r="469" spans="2:2" x14ac:dyDescent="0.25">
      <c r="B469" s="65"/>
    </row>
    <row r="470" spans="2:2" x14ac:dyDescent="0.25">
      <c r="B470" s="65"/>
    </row>
    <row r="471" spans="2:2" x14ac:dyDescent="0.25">
      <c r="B471" s="65"/>
    </row>
    <row r="472" spans="2:2" x14ac:dyDescent="0.25">
      <c r="B472" s="65"/>
    </row>
    <row r="473" spans="2:2" x14ac:dyDescent="0.25">
      <c r="B473" s="65"/>
    </row>
    <row r="474" spans="2:2" x14ac:dyDescent="0.25">
      <c r="B474" s="65"/>
    </row>
    <row r="475" spans="2:2" x14ac:dyDescent="0.25">
      <c r="B475" s="65"/>
    </row>
    <row r="476" spans="2:2" x14ac:dyDescent="0.25">
      <c r="B476" s="65"/>
    </row>
    <row r="477" spans="2:2" x14ac:dyDescent="0.25">
      <c r="B477" s="65"/>
    </row>
    <row r="478" spans="2:2" x14ac:dyDescent="0.25">
      <c r="B478" s="65"/>
    </row>
    <row r="479" spans="2:2" x14ac:dyDescent="0.25">
      <c r="B479" s="65"/>
    </row>
    <row r="480" spans="2:2" x14ac:dyDescent="0.25">
      <c r="B480" s="65"/>
    </row>
    <row r="481" spans="2:2" x14ac:dyDescent="0.25">
      <c r="B481" s="65"/>
    </row>
    <row r="482" spans="2:2" x14ac:dyDescent="0.25">
      <c r="B482" s="65"/>
    </row>
    <row r="483" spans="2:2" x14ac:dyDescent="0.25">
      <c r="B483" s="65"/>
    </row>
    <row r="484" spans="2:2" x14ac:dyDescent="0.25">
      <c r="B484" s="65"/>
    </row>
    <row r="485" spans="2:2" x14ac:dyDescent="0.25">
      <c r="B485" s="65"/>
    </row>
    <row r="486" spans="2:2" x14ac:dyDescent="0.25">
      <c r="B486" s="65"/>
    </row>
    <row r="487" spans="2:2" x14ac:dyDescent="0.25">
      <c r="B487" s="65"/>
    </row>
    <row r="488" spans="2:2" x14ac:dyDescent="0.25">
      <c r="B488" s="65"/>
    </row>
    <row r="489" spans="2:2" x14ac:dyDescent="0.25">
      <c r="B489" s="65"/>
    </row>
    <row r="490" spans="2:2" x14ac:dyDescent="0.25">
      <c r="B490" s="65"/>
    </row>
    <row r="491" spans="2:2" x14ac:dyDescent="0.25">
      <c r="B491" s="65"/>
    </row>
    <row r="492" spans="2:2" x14ac:dyDescent="0.25">
      <c r="B492" s="65"/>
    </row>
    <row r="493" spans="2:2" x14ac:dyDescent="0.25">
      <c r="B493" s="65"/>
    </row>
    <row r="494" spans="2:2" x14ac:dyDescent="0.25">
      <c r="B494" s="65"/>
    </row>
    <row r="495" spans="2:2" x14ac:dyDescent="0.25">
      <c r="B495" s="65"/>
    </row>
    <row r="496" spans="2:2" x14ac:dyDescent="0.25">
      <c r="B496" s="65"/>
    </row>
    <row r="497" spans="2:2" x14ac:dyDescent="0.25">
      <c r="B497" s="65"/>
    </row>
    <row r="498" spans="2:2" x14ac:dyDescent="0.25">
      <c r="B498" s="65"/>
    </row>
    <row r="499" spans="2:2" x14ac:dyDescent="0.25">
      <c r="B499" s="65"/>
    </row>
    <row r="500" spans="2:2" x14ac:dyDescent="0.25">
      <c r="B500" s="65"/>
    </row>
    <row r="501" spans="2:2" x14ac:dyDescent="0.25">
      <c r="B501" s="65"/>
    </row>
    <row r="502" spans="2:2" x14ac:dyDescent="0.25">
      <c r="B502" s="65"/>
    </row>
    <row r="503" spans="2:2" x14ac:dyDescent="0.25">
      <c r="B503" s="65"/>
    </row>
    <row r="504" spans="2:2" x14ac:dyDescent="0.25">
      <c r="B504" s="65"/>
    </row>
    <row r="505" spans="2:2" x14ac:dyDescent="0.25">
      <c r="B505" s="65"/>
    </row>
    <row r="506" spans="2:2" x14ac:dyDescent="0.25">
      <c r="B506" s="65"/>
    </row>
    <row r="507" spans="2:2" x14ac:dyDescent="0.25">
      <c r="B507" s="65"/>
    </row>
    <row r="508" spans="2:2" x14ac:dyDescent="0.25">
      <c r="B508" s="65"/>
    </row>
    <row r="509" spans="2:2" x14ac:dyDescent="0.25">
      <c r="B509" s="65"/>
    </row>
  </sheetData>
  <mergeCells count="41">
    <mergeCell ref="L5:P5"/>
    <mergeCell ref="Q142:Q171"/>
    <mergeCell ref="Q173:Q197"/>
    <mergeCell ref="Q1:Q37"/>
    <mergeCell ref="Q38:Q70"/>
    <mergeCell ref="Q71:Q105"/>
    <mergeCell ref="Q106:Q141"/>
    <mergeCell ref="L6:P6"/>
    <mergeCell ref="L1:O1"/>
    <mergeCell ref="D7:O7"/>
    <mergeCell ref="P9:P12"/>
    <mergeCell ref="I10:I12"/>
    <mergeCell ref="K10:K12"/>
    <mergeCell ref="N10:N12"/>
    <mergeCell ref="M11:M12"/>
    <mergeCell ref="O11:O12"/>
    <mergeCell ref="B357:D357"/>
    <mergeCell ref="G10:H10"/>
    <mergeCell ref="E10:E12"/>
    <mergeCell ref="H11:H12"/>
    <mergeCell ref="G11:G12"/>
    <mergeCell ref="D9:D12"/>
    <mergeCell ref="C9:C12"/>
    <mergeCell ref="B9:B12"/>
    <mergeCell ref="A339:C339"/>
    <mergeCell ref="A9:A12"/>
    <mergeCell ref="A346:C346"/>
    <mergeCell ref="F10:F12"/>
    <mergeCell ref="E9:I9"/>
    <mergeCell ref="A342:C342"/>
    <mergeCell ref="A340:D340"/>
    <mergeCell ref="J9:O9"/>
    <mergeCell ref="L11:L12"/>
    <mergeCell ref="L10:M10"/>
    <mergeCell ref="J10:J12"/>
    <mergeCell ref="Q335:Q376"/>
    <mergeCell ref="Q198:Q215"/>
    <mergeCell ref="Q216:Q247"/>
    <mergeCell ref="Q248:Q273"/>
    <mergeCell ref="Q274:Q305"/>
    <mergeCell ref="Q306:Q334"/>
  </mergeCells>
  <phoneticPr fontId="3" type="noConversion"/>
  <printOptions horizontalCentered="1"/>
  <pageMargins left="0.31496062992125984" right="0.31496062992125984" top="0.62992125984251968" bottom="0.39370078740157483" header="0.19685039370078741" footer="0.19685039370078741"/>
  <pageSetup paperSize="9" scale="43" fitToHeight="100" orientation="landscape" useFirstPageNumber="1" verticalDpi="300" r:id="rId1"/>
  <headerFooter alignWithMargins="0">
    <oddFooter xml:space="preserve">&amp;R&amp;20Сторінка  &amp;P </oddFooter>
  </headerFooter>
  <rowBreaks count="1" manualBreakCount="1">
    <brk id="32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8"/>
  <sheetViews>
    <sheetView showGridLines="0" showZeros="0" view="pageBreakPreview" topLeftCell="A179" zoomScale="70" zoomScaleNormal="55" zoomScaleSheetLayoutView="70" workbookViewId="0">
      <selection activeCell="A184" sqref="A184:XFD184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2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18.8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193" customWidth="1"/>
    <col min="17" max="17" width="21.5" style="126" customWidth="1"/>
    <col min="18" max="18" width="23" style="126" customWidth="1"/>
    <col min="19" max="26" width="17.5" style="126" customWidth="1"/>
    <col min="27" max="27" width="20.83203125" style="126" customWidth="1"/>
    <col min="28" max="28" width="21.5" style="126" customWidth="1"/>
    <col min="29" max="29" width="17.5" style="126" customWidth="1"/>
    <col min="30" max="30" width="19.6640625" style="126" customWidth="1"/>
    <col min="31" max="34" width="17.5" style="126" customWidth="1"/>
    <col min="35" max="35" width="17.5" style="127" customWidth="1"/>
    <col min="36" max="16384" width="9.1640625" style="2"/>
  </cols>
  <sheetData>
    <row r="1" spans="1:35" ht="26.25" customHeight="1" x14ac:dyDescent="0.25">
      <c r="A1" s="17"/>
      <c r="K1" s="281" t="s">
        <v>677</v>
      </c>
      <c r="L1" s="281"/>
      <c r="M1" s="281"/>
      <c r="N1" s="281"/>
      <c r="O1" s="254"/>
      <c r="P1" s="270"/>
    </row>
    <row r="2" spans="1:35" ht="26.25" customHeight="1" x14ac:dyDescent="0.25">
      <c r="A2" s="17"/>
      <c r="K2" s="254" t="s">
        <v>674</v>
      </c>
      <c r="L2" s="254"/>
      <c r="M2" s="254"/>
      <c r="N2" s="254"/>
      <c r="O2" s="254"/>
      <c r="P2" s="270"/>
    </row>
    <row r="3" spans="1:35" ht="26.25" customHeight="1" x14ac:dyDescent="0.25">
      <c r="A3" s="17"/>
      <c r="K3" s="262" t="s">
        <v>675</v>
      </c>
      <c r="L3" s="262"/>
      <c r="M3" s="262"/>
      <c r="N3" s="262"/>
      <c r="O3" s="262"/>
      <c r="P3" s="270"/>
    </row>
    <row r="4" spans="1:35" ht="26.25" customHeight="1" x14ac:dyDescent="0.25">
      <c r="A4" s="17"/>
      <c r="K4" s="262" t="s">
        <v>676</v>
      </c>
      <c r="L4" s="262"/>
      <c r="M4" s="262"/>
      <c r="N4" s="262"/>
      <c r="O4" s="262"/>
      <c r="P4" s="270"/>
    </row>
    <row r="5" spans="1:35" ht="29.25" customHeight="1" x14ac:dyDescent="0.25">
      <c r="A5" s="17"/>
      <c r="K5" s="280" t="s">
        <v>683</v>
      </c>
      <c r="L5" s="280"/>
      <c r="M5" s="280"/>
      <c r="N5" s="280"/>
      <c r="O5" s="280"/>
      <c r="P5" s="270"/>
    </row>
    <row r="6" spans="1:35" ht="45.75" customHeight="1" x14ac:dyDescent="0.25">
      <c r="A6" s="17"/>
      <c r="K6" s="253"/>
      <c r="L6" s="253"/>
      <c r="M6" s="253"/>
      <c r="N6" s="253"/>
      <c r="O6" s="253"/>
      <c r="P6" s="270"/>
    </row>
    <row r="7" spans="1:35" ht="45.75" customHeight="1" x14ac:dyDescent="0.25">
      <c r="A7" s="282" t="s">
        <v>361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70"/>
    </row>
    <row r="8" spans="1:35" s="16" customFormat="1" ht="24" customHeight="1" x14ac:dyDescent="0.25">
      <c r="A8" s="17"/>
      <c r="B8" s="23"/>
      <c r="C8" s="44"/>
      <c r="O8" s="16" t="s">
        <v>373</v>
      </c>
      <c r="P8" s="270"/>
      <c r="Q8" s="184"/>
      <c r="R8" s="184"/>
      <c r="S8" s="184"/>
      <c r="T8" s="184"/>
      <c r="U8" s="184"/>
      <c r="V8" s="184"/>
      <c r="W8" s="184"/>
      <c r="X8" s="184"/>
      <c r="Y8" s="184"/>
      <c r="Z8" s="285"/>
      <c r="AA8" s="285"/>
      <c r="AB8" s="285"/>
      <c r="AC8" s="285"/>
      <c r="AD8" s="285"/>
      <c r="AE8" s="285"/>
      <c r="AF8" s="285"/>
      <c r="AG8" s="285"/>
      <c r="AH8" s="285"/>
      <c r="AI8" s="285"/>
    </row>
    <row r="9" spans="1:35" ht="21.75" customHeight="1" x14ac:dyDescent="0.25">
      <c r="A9" s="284" t="s">
        <v>165</v>
      </c>
      <c r="B9" s="284" t="s">
        <v>80</v>
      </c>
      <c r="C9" s="284" t="s">
        <v>178</v>
      </c>
      <c r="D9" s="283" t="s">
        <v>362</v>
      </c>
      <c r="E9" s="283"/>
      <c r="F9" s="283"/>
      <c r="G9" s="283"/>
      <c r="H9" s="283"/>
      <c r="I9" s="283" t="s">
        <v>363</v>
      </c>
      <c r="J9" s="283"/>
      <c r="K9" s="283"/>
      <c r="L9" s="283"/>
      <c r="M9" s="283"/>
      <c r="N9" s="283"/>
      <c r="O9" s="283" t="s">
        <v>364</v>
      </c>
      <c r="P9" s="270"/>
      <c r="Q9" s="184"/>
      <c r="R9" s="184"/>
      <c r="S9" s="184"/>
      <c r="T9" s="184"/>
      <c r="U9" s="184"/>
      <c r="V9" s="184"/>
      <c r="W9" s="184"/>
      <c r="X9" s="184"/>
      <c r="Y9" s="184"/>
      <c r="Z9" s="286"/>
      <c r="AA9" s="286"/>
      <c r="AB9" s="286"/>
      <c r="AC9" s="286"/>
      <c r="AD9" s="286"/>
      <c r="AE9" s="286"/>
      <c r="AF9" s="286"/>
      <c r="AG9" s="286"/>
      <c r="AH9" s="286"/>
      <c r="AI9" s="286"/>
    </row>
    <row r="10" spans="1:35" ht="29.25" customHeight="1" x14ac:dyDescent="0.25">
      <c r="A10" s="284"/>
      <c r="B10" s="284"/>
      <c r="C10" s="284"/>
      <c r="D10" s="283" t="s">
        <v>365</v>
      </c>
      <c r="E10" s="283" t="s">
        <v>366</v>
      </c>
      <c r="F10" s="283"/>
      <c r="G10" s="283"/>
      <c r="H10" s="283" t="s">
        <v>368</v>
      </c>
      <c r="I10" s="283" t="s">
        <v>365</v>
      </c>
      <c r="J10" s="283" t="s">
        <v>366</v>
      </c>
      <c r="K10" s="283" t="s">
        <v>367</v>
      </c>
      <c r="L10" s="283"/>
      <c r="M10" s="283" t="s">
        <v>368</v>
      </c>
      <c r="N10" s="38" t="s">
        <v>367</v>
      </c>
      <c r="O10" s="283"/>
      <c r="P10" s="270"/>
      <c r="Q10" s="184"/>
      <c r="R10" s="184"/>
      <c r="S10" s="184"/>
      <c r="T10" s="184"/>
      <c r="U10" s="184"/>
      <c r="V10" s="184"/>
      <c r="W10" s="184"/>
      <c r="X10" s="184"/>
      <c r="Y10" s="183"/>
      <c r="Z10" s="286"/>
      <c r="AA10" s="286"/>
      <c r="AB10" s="286"/>
      <c r="AC10" s="286"/>
      <c r="AD10" s="286"/>
      <c r="AE10" s="286"/>
      <c r="AF10" s="286"/>
      <c r="AG10" s="164"/>
      <c r="AH10" s="164"/>
      <c r="AI10" s="165"/>
    </row>
    <row r="11" spans="1:35" ht="20.25" customHeight="1" x14ac:dyDescent="0.25">
      <c r="A11" s="284"/>
      <c r="B11" s="284"/>
      <c r="C11" s="284"/>
      <c r="D11" s="283"/>
      <c r="E11" s="283"/>
      <c r="F11" s="283" t="s">
        <v>369</v>
      </c>
      <c r="G11" s="283" t="s">
        <v>370</v>
      </c>
      <c r="H11" s="283"/>
      <c r="I11" s="283"/>
      <c r="J11" s="283"/>
      <c r="K11" s="283" t="s">
        <v>369</v>
      </c>
      <c r="L11" s="283" t="s">
        <v>370</v>
      </c>
      <c r="M11" s="283"/>
      <c r="N11" s="283" t="s">
        <v>371</v>
      </c>
      <c r="O11" s="283"/>
      <c r="P11" s="270"/>
      <c r="Q11" s="185"/>
      <c r="R11" s="186"/>
      <c r="S11" s="186"/>
      <c r="T11" s="184"/>
      <c r="U11" s="184"/>
      <c r="V11" s="184"/>
      <c r="W11" s="186"/>
      <c r="X11" s="186"/>
      <c r="Y11" s="186"/>
      <c r="Z11" s="188"/>
      <c r="AA11" s="189"/>
      <c r="AB11" s="167"/>
      <c r="AC11" s="167"/>
      <c r="AD11" s="286"/>
      <c r="AE11" s="286"/>
      <c r="AF11" s="286"/>
      <c r="AG11" s="167"/>
      <c r="AH11" s="167"/>
      <c r="AI11" s="168"/>
    </row>
    <row r="12" spans="1:35" ht="71.25" customHeight="1" x14ac:dyDescent="0.25">
      <c r="A12" s="284"/>
      <c r="B12" s="284"/>
      <c r="C12" s="284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70"/>
      <c r="Q12" s="183"/>
      <c r="R12" s="183"/>
      <c r="S12" s="187"/>
      <c r="T12" s="184"/>
      <c r="U12" s="184"/>
      <c r="V12" s="184"/>
      <c r="W12" s="184"/>
      <c r="X12" s="184"/>
      <c r="Y12" s="187"/>
      <c r="Z12" s="188"/>
      <c r="AA12" s="190"/>
      <c r="AB12" s="164"/>
      <c r="AC12" s="166"/>
      <c r="AD12" s="286"/>
      <c r="AE12" s="286"/>
      <c r="AF12" s="286"/>
      <c r="AG12" s="164"/>
      <c r="AH12" s="164"/>
      <c r="AI12" s="169"/>
    </row>
    <row r="13" spans="1:35" s="21" customFormat="1" ht="27.75" customHeight="1" x14ac:dyDescent="0.25">
      <c r="A13" s="22" t="s">
        <v>76</v>
      </c>
      <c r="B13" s="34"/>
      <c r="C13" s="39" t="s">
        <v>77</v>
      </c>
      <c r="D13" s="54">
        <f>D14+D15</f>
        <v>180275633.49000001</v>
      </c>
      <c r="E13" s="54">
        <f t="shared" ref="E13:N13" si="0">E14+E15</f>
        <v>180275633.49000001</v>
      </c>
      <c r="F13" s="54">
        <f t="shared" si="0"/>
        <v>135421655.63</v>
      </c>
      <c r="G13" s="54">
        <f t="shared" si="0"/>
        <v>3776048</v>
      </c>
      <c r="H13" s="54">
        <f t="shared" si="0"/>
        <v>0</v>
      </c>
      <c r="I13" s="54">
        <f t="shared" si="0"/>
        <v>6618154</v>
      </c>
      <c r="J13" s="54">
        <f t="shared" si="0"/>
        <v>2250000</v>
      </c>
      <c r="K13" s="54">
        <f t="shared" si="0"/>
        <v>1725540</v>
      </c>
      <c r="L13" s="54">
        <f t="shared" si="0"/>
        <v>46200</v>
      </c>
      <c r="M13" s="54">
        <f t="shared" si="0"/>
        <v>4368154</v>
      </c>
      <c r="N13" s="54">
        <f t="shared" si="0"/>
        <v>4018154</v>
      </c>
      <c r="O13" s="54">
        <f>O14+O15</f>
        <v>186893787.49000001</v>
      </c>
      <c r="P13" s="2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</row>
    <row r="14" spans="1:35" ht="57.75" customHeight="1" x14ac:dyDescent="0.25">
      <c r="A14" s="5" t="s">
        <v>180</v>
      </c>
      <c r="B14" s="5" t="s">
        <v>79</v>
      </c>
      <c r="C14" s="18" t="s">
        <v>181</v>
      </c>
      <c r="D14" s="50">
        <f>'дод 3'!E15+'дод 3'!E65+'дод 3'!E98+'дод 3'!E135+'дод 3'!E214+'дод 3'!E223+'дод 3'!E237+'дод 3'!E269+'дод 3'!E274+'дод 3'!E303+'дод 3'!E310+'дод 3'!E313+'дод 3'!E323+'дод 3'!E327</f>
        <v>180137993.49000001</v>
      </c>
      <c r="E14" s="50">
        <f>'дод 3'!F15+'дод 3'!F65+'дод 3'!F98+'дод 3'!F135+'дод 3'!F214+'дод 3'!F223+'дод 3'!F237+'дод 3'!F269+'дод 3'!F274+'дод 3'!F303+'дод 3'!F310+'дод 3'!F313+'дод 3'!F323+'дод 3'!F327</f>
        <v>180137993.49000001</v>
      </c>
      <c r="F14" s="50">
        <f>'дод 3'!G15+'дод 3'!G65+'дод 3'!G98+'дод 3'!G135+'дод 3'!G214+'дод 3'!G223+'дод 3'!G237+'дод 3'!G269+'дод 3'!G274+'дод 3'!G303+'дод 3'!G310+'дод 3'!G313+'дод 3'!G323+'дод 3'!G327</f>
        <v>135421655.63</v>
      </c>
      <c r="G14" s="50">
        <f>'дод 3'!H15+'дод 3'!H65+'дод 3'!H98+'дод 3'!H135+'дод 3'!H214+'дод 3'!H223+'дод 3'!H237+'дод 3'!H269+'дод 3'!H274+'дод 3'!H303+'дод 3'!H310+'дод 3'!H313+'дод 3'!H323+'дод 3'!H327</f>
        <v>3776048</v>
      </c>
      <c r="H14" s="50">
        <f>'дод 3'!I15+'дод 3'!I65+'дод 3'!I98+'дод 3'!I135+'дод 3'!I214+'дод 3'!I223+'дод 3'!I237+'дод 3'!I269+'дод 3'!I274+'дод 3'!I303+'дод 3'!I310+'дод 3'!I313+'дод 3'!I323+'дод 3'!I327</f>
        <v>0</v>
      </c>
      <c r="I14" s="50">
        <f>'дод 3'!J15+'дод 3'!J65+'дод 3'!J98+'дод 3'!J135+'дод 3'!J214+'дод 3'!J223+'дод 3'!J237+'дод 3'!J269+'дод 3'!J274+'дод 3'!J303+'дод 3'!J310+'дод 3'!J313+'дод 3'!J323+'дод 3'!J327</f>
        <v>6618154</v>
      </c>
      <c r="J14" s="50">
        <f>'дод 3'!K15+'дод 3'!K65+'дод 3'!K98+'дод 3'!K135+'дод 3'!K214+'дод 3'!K223+'дод 3'!K237+'дод 3'!K269+'дод 3'!K274+'дод 3'!K303+'дод 3'!K310+'дод 3'!K313+'дод 3'!K323+'дод 3'!K327</f>
        <v>2250000</v>
      </c>
      <c r="K14" s="50">
        <f>'дод 3'!L15+'дод 3'!L65+'дод 3'!L98+'дод 3'!L135+'дод 3'!L214+'дод 3'!L223+'дод 3'!L237+'дод 3'!L269+'дод 3'!L274+'дод 3'!L303+'дод 3'!L310+'дод 3'!L313+'дод 3'!L323+'дод 3'!L327</f>
        <v>1725540</v>
      </c>
      <c r="L14" s="50">
        <f>'дод 3'!M15+'дод 3'!M65+'дод 3'!M98+'дод 3'!M135+'дод 3'!M214+'дод 3'!M223+'дод 3'!M237+'дод 3'!M269+'дод 3'!M274+'дод 3'!M303+'дод 3'!M310+'дод 3'!M313+'дод 3'!M323+'дод 3'!M327</f>
        <v>46200</v>
      </c>
      <c r="M14" s="50">
        <f>'дод 3'!N15+'дод 3'!N65+'дод 3'!N98+'дод 3'!N135+'дод 3'!N214+'дод 3'!N223+'дод 3'!N237+'дод 3'!N269+'дод 3'!N274+'дод 3'!N303+'дод 3'!N310+'дод 3'!N313+'дод 3'!N323+'дод 3'!N327</f>
        <v>4368154</v>
      </c>
      <c r="N14" s="50">
        <f>'дод 3'!O15+'дод 3'!O65+'дод 3'!O98+'дод 3'!O135+'дод 3'!O214+'дод 3'!O223+'дод 3'!O237+'дод 3'!O269+'дод 3'!O274+'дод 3'!O303+'дод 3'!O310+'дод 3'!O313+'дод 3'!O323+'дод 3'!O327</f>
        <v>4018154</v>
      </c>
      <c r="O14" s="50">
        <f>'дод 3'!P15+'дод 3'!P65+'дод 3'!P98+'дод 3'!P135+'дод 3'!P214+'дод 3'!P223+'дод 3'!P237+'дод 3'!P269+'дод 3'!P274+'дод 3'!P303+'дод 3'!P310+'дод 3'!P313+'дод 3'!P323+'дод 3'!P327</f>
        <v>186756147.49000001</v>
      </c>
      <c r="P14" s="2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5" ht="27" customHeight="1" x14ac:dyDescent="0.25">
      <c r="A15" s="5" t="s">
        <v>78</v>
      </c>
      <c r="B15" s="5" t="s">
        <v>140</v>
      </c>
      <c r="C15" s="18" t="s">
        <v>386</v>
      </c>
      <c r="D15" s="50">
        <f>'дод 3'!E16</f>
        <v>137640</v>
      </c>
      <c r="E15" s="50">
        <f>'дод 3'!F16</f>
        <v>137640</v>
      </c>
      <c r="F15" s="50">
        <f>'дод 3'!G16</f>
        <v>0</v>
      </c>
      <c r="G15" s="50">
        <f>'дод 3'!H16</f>
        <v>0</v>
      </c>
      <c r="H15" s="50">
        <f>'дод 3'!I16</f>
        <v>0</v>
      </c>
      <c r="I15" s="50">
        <f>'дод 3'!J16</f>
        <v>0</v>
      </c>
      <c r="J15" s="50">
        <f>'дод 3'!K16</f>
        <v>0</v>
      </c>
      <c r="K15" s="50">
        <f>'дод 3'!L16</f>
        <v>0</v>
      </c>
      <c r="L15" s="50">
        <f>'дод 3'!M16</f>
        <v>0</v>
      </c>
      <c r="M15" s="50">
        <f>'дод 3'!N16</f>
        <v>0</v>
      </c>
      <c r="N15" s="50">
        <f>'дод 3'!O16</f>
        <v>0</v>
      </c>
      <c r="O15" s="50">
        <f>'дод 3'!P16</f>
        <v>137640</v>
      </c>
      <c r="P15" s="2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5" s="21" customFormat="1" ht="24" customHeight="1" x14ac:dyDescent="0.25">
      <c r="A16" s="22" t="s">
        <v>81</v>
      </c>
      <c r="B16" s="34"/>
      <c r="C16" s="39" t="s">
        <v>82</v>
      </c>
      <c r="D16" s="54">
        <f t="shared" ref="D16:O16" si="1">D18+D19+D21+D23+D25+D26+D27+D29+D30</f>
        <v>775023417.25</v>
      </c>
      <c r="E16" s="54">
        <f t="shared" si="1"/>
        <v>775023417.25</v>
      </c>
      <c r="F16" s="54">
        <f t="shared" si="1"/>
        <v>499525045</v>
      </c>
      <c r="G16" s="54">
        <f t="shared" si="1"/>
        <v>73574424</v>
      </c>
      <c r="H16" s="54">
        <f t="shared" si="1"/>
        <v>0</v>
      </c>
      <c r="I16" s="54">
        <f t="shared" si="1"/>
        <v>79190022.650000006</v>
      </c>
      <c r="J16" s="54">
        <f t="shared" si="1"/>
        <v>50066378</v>
      </c>
      <c r="K16" s="54">
        <f t="shared" si="1"/>
        <v>4398944</v>
      </c>
      <c r="L16" s="54">
        <f t="shared" si="1"/>
        <v>2371330</v>
      </c>
      <c r="M16" s="54">
        <f t="shared" si="1"/>
        <v>29123644.649999999</v>
      </c>
      <c r="N16" s="54">
        <f t="shared" si="1"/>
        <v>28924224.649999999</v>
      </c>
      <c r="O16" s="54">
        <f t="shared" si="1"/>
        <v>854213439.89999998</v>
      </c>
      <c r="P16" s="270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</row>
    <row r="17" spans="1:35" s="28" customFormat="1" ht="24" customHeight="1" x14ac:dyDescent="0.25">
      <c r="A17" s="22"/>
      <c r="B17" s="34"/>
      <c r="C17" s="11" t="s">
        <v>416</v>
      </c>
      <c r="D17" s="54">
        <f>D20+D22+D24+D28+D31</f>
        <v>267908342.90000001</v>
      </c>
      <c r="E17" s="54">
        <f t="shared" ref="E17:O17" si="2">E20+E22+E24+E28+E31</f>
        <v>267908342.90000001</v>
      </c>
      <c r="F17" s="54">
        <f t="shared" si="2"/>
        <v>213388985</v>
      </c>
      <c r="G17" s="54">
        <f t="shared" si="2"/>
        <v>0</v>
      </c>
      <c r="H17" s="54">
        <f t="shared" si="2"/>
        <v>0</v>
      </c>
      <c r="I17" s="54">
        <f t="shared" si="2"/>
        <v>6154492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6154492</v>
      </c>
      <c r="N17" s="54">
        <f t="shared" si="2"/>
        <v>6154492</v>
      </c>
      <c r="O17" s="54">
        <f t="shared" si="2"/>
        <v>274062834.89999998</v>
      </c>
      <c r="P17" s="2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</row>
    <row r="18" spans="1:35" ht="27" customHeight="1" x14ac:dyDescent="0.25">
      <c r="A18" s="5" t="s">
        <v>83</v>
      </c>
      <c r="B18" s="5" t="s">
        <v>84</v>
      </c>
      <c r="C18" s="18" t="s">
        <v>222</v>
      </c>
      <c r="D18" s="50">
        <f>'дод 3'!E66</f>
        <v>192237758.34999999</v>
      </c>
      <c r="E18" s="50">
        <f>'дод 3'!F66</f>
        <v>192237758.34999999</v>
      </c>
      <c r="F18" s="50">
        <f>'дод 3'!G66</f>
        <v>119291300</v>
      </c>
      <c r="G18" s="50">
        <f>'дод 3'!H66</f>
        <v>23371670</v>
      </c>
      <c r="H18" s="50">
        <f>'дод 3'!I66</f>
        <v>0</v>
      </c>
      <c r="I18" s="50">
        <f>'дод 3'!J66</f>
        <v>21113896.649999999</v>
      </c>
      <c r="J18" s="50">
        <f>'дод 3'!K66</f>
        <v>16065511</v>
      </c>
      <c r="K18" s="50">
        <f>'дод 3'!L66</f>
        <v>0</v>
      </c>
      <c r="L18" s="50">
        <f>'дод 3'!M66</f>
        <v>0</v>
      </c>
      <c r="M18" s="50">
        <f>'дод 3'!N66</f>
        <v>5048385.6500000004</v>
      </c>
      <c r="N18" s="50">
        <f>'дод 3'!O66</f>
        <v>5048385.6500000004</v>
      </c>
      <c r="O18" s="50">
        <f>'дод 3'!P66</f>
        <v>213351655</v>
      </c>
      <c r="P18" s="270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</row>
    <row r="19" spans="1:35" ht="71.25" customHeight="1" x14ac:dyDescent="0.25">
      <c r="A19" s="5" t="s">
        <v>85</v>
      </c>
      <c r="B19" s="5" t="s">
        <v>86</v>
      </c>
      <c r="C19" s="18" t="s">
        <v>580</v>
      </c>
      <c r="D19" s="50">
        <f>'дод 3'!E67</f>
        <v>416926452.89999998</v>
      </c>
      <c r="E19" s="50">
        <f>'дод 3'!F67</f>
        <v>416926452.89999998</v>
      </c>
      <c r="F19" s="50">
        <f>'дод 3'!G67</f>
        <v>275064439</v>
      </c>
      <c r="G19" s="50">
        <f>'дод 3'!H67</f>
        <v>36537670</v>
      </c>
      <c r="H19" s="50">
        <f>'дод 3'!I67</f>
        <v>0</v>
      </c>
      <c r="I19" s="50">
        <f>'дод 3'!J67</f>
        <v>43577036</v>
      </c>
      <c r="J19" s="50">
        <f>'дод 3'!K67</f>
        <v>25377767</v>
      </c>
      <c r="K19" s="50">
        <f>'дод 3'!L67</f>
        <v>624000</v>
      </c>
      <c r="L19" s="50">
        <f>'дод 3'!M67</f>
        <v>36920</v>
      </c>
      <c r="M19" s="50">
        <f>'дод 3'!N67</f>
        <v>18199269</v>
      </c>
      <c r="N19" s="50">
        <f>'дод 3'!O67</f>
        <v>18199269</v>
      </c>
      <c r="O19" s="50">
        <f>'дод 3'!P67</f>
        <v>460503488.89999998</v>
      </c>
      <c r="P19" s="270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35" ht="28.5" customHeight="1" x14ac:dyDescent="0.25">
      <c r="B20" s="5"/>
      <c r="C20" s="13" t="s">
        <v>416</v>
      </c>
      <c r="D20" s="50">
        <f>'дод 3'!E68</f>
        <v>252059507.90000001</v>
      </c>
      <c r="E20" s="50">
        <f>'дод 3'!F68</f>
        <v>252059507.90000001</v>
      </c>
      <c r="F20" s="50">
        <f>'дод 3'!G68</f>
        <v>200782985</v>
      </c>
      <c r="G20" s="50">
        <f>'дод 3'!H68</f>
        <v>0</v>
      </c>
      <c r="H20" s="50">
        <f>'дод 3'!I68</f>
        <v>0</v>
      </c>
      <c r="I20" s="50">
        <f>'дод 3'!J68</f>
        <v>1416542</v>
      </c>
      <c r="J20" s="50">
        <f>'дод 3'!K68</f>
        <v>0</v>
      </c>
      <c r="K20" s="50">
        <f>'дод 3'!L68</f>
        <v>0</v>
      </c>
      <c r="L20" s="50">
        <f>'дод 3'!M68</f>
        <v>0</v>
      </c>
      <c r="M20" s="50">
        <f>'дод 3'!N68</f>
        <v>1416542</v>
      </c>
      <c r="N20" s="50">
        <f>'дод 3'!O68</f>
        <v>1416542</v>
      </c>
      <c r="O20" s="50">
        <f>'дод 3'!P68</f>
        <v>253476049.90000001</v>
      </c>
      <c r="P20" s="270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</row>
    <row r="21" spans="1:35" ht="42.75" customHeight="1" x14ac:dyDescent="0.25">
      <c r="A21" s="5" t="s">
        <v>87</v>
      </c>
      <c r="B21" s="5" t="s">
        <v>86</v>
      </c>
      <c r="C21" s="18" t="s">
        <v>49</v>
      </c>
      <c r="D21" s="50">
        <f>'дод 3'!E69</f>
        <v>829640</v>
      </c>
      <c r="E21" s="50">
        <f>'дод 3'!F69</f>
        <v>829640</v>
      </c>
      <c r="F21" s="50">
        <f>'дод 3'!G69</f>
        <v>679100</v>
      </c>
      <c r="G21" s="50">
        <f>'дод 3'!H69</f>
        <v>0</v>
      </c>
      <c r="H21" s="50">
        <f>'дод 3'!I69</f>
        <v>0</v>
      </c>
      <c r="I21" s="50">
        <f>'дод 3'!J69</f>
        <v>0</v>
      </c>
      <c r="J21" s="50">
        <f>'дод 3'!K69</f>
        <v>0</v>
      </c>
      <c r="K21" s="50">
        <f>'дод 3'!L69</f>
        <v>0</v>
      </c>
      <c r="L21" s="50">
        <f>'дод 3'!M69</f>
        <v>0</v>
      </c>
      <c r="M21" s="50">
        <f>'дод 3'!N69</f>
        <v>0</v>
      </c>
      <c r="N21" s="50">
        <f>'дод 3'!O69</f>
        <v>0</v>
      </c>
      <c r="O21" s="50">
        <f>'дод 3'!P69</f>
        <v>829640</v>
      </c>
      <c r="P21" s="270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</row>
    <row r="22" spans="1:35" ht="24.75" customHeight="1" x14ac:dyDescent="0.25">
      <c r="B22" s="5"/>
      <c r="C22" s="13" t="s">
        <v>416</v>
      </c>
      <c r="D22" s="50">
        <f>'дод 3'!E70</f>
        <v>777140</v>
      </c>
      <c r="E22" s="50">
        <f>'дод 3'!F70</f>
        <v>777140</v>
      </c>
      <c r="F22" s="50">
        <f>'дод 3'!G70</f>
        <v>637000</v>
      </c>
      <c r="G22" s="50">
        <f>'дод 3'!H70</f>
        <v>0</v>
      </c>
      <c r="H22" s="50">
        <f>'дод 3'!I70</f>
        <v>0</v>
      </c>
      <c r="I22" s="50">
        <f>'дод 3'!J70</f>
        <v>0</v>
      </c>
      <c r="J22" s="50">
        <f>'дод 3'!K70</f>
        <v>0</v>
      </c>
      <c r="K22" s="50">
        <f>'дод 3'!L70</f>
        <v>0</v>
      </c>
      <c r="L22" s="50">
        <f>'дод 3'!M70</f>
        <v>0</v>
      </c>
      <c r="M22" s="50">
        <f>'дод 3'!N70</f>
        <v>0</v>
      </c>
      <c r="N22" s="50">
        <f>'дод 3'!O70</f>
        <v>0</v>
      </c>
      <c r="O22" s="50">
        <f>'дод 3'!P70</f>
        <v>777140</v>
      </c>
      <c r="P22" s="270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1:35" ht="87" customHeight="1" x14ac:dyDescent="0.25">
      <c r="A23" s="5" t="s">
        <v>89</v>
      </c>
      <c r="B23" s="5" t="s">
        <v>90</v>
      </c>
      <c r="C23" s="18" t="s">
        <v>182</v>
      </c>
      <c r="D23" s="50">
        <f>'дод 3'!E71</f>
        <v>7751025</v>
      </c>
      <c r="E23" s="50">
        <f>'дод 3'!F71</f>
        <v>7751025</v>
      </c>
      <c r="F23" s="50">
        <f>'дод 3'!G71</f>
        <v>5333230</v>
      </c>
      <c r="G23" s="50">
        <f>'дод 3'!H71</f>
        <v>720630</v>
      </c>
      <c r="H23" s="50">
        <f>'дод 3'!I71</f>
        <v>0</v>
      </c>
      <c r="I23" s="50">
        <f>'дод 3'!J71</f>
        <v>103611</v>
      </c>
      <c r="J23" s="50">
        <f>'дод 3'!K71</f>
        <v>0</v>
      </c>
      <c r="K23" s="50">
        <f>'дод 3'!L71</f>
        <v>0</v>
      </c>
      <c r="L23" s="50">
        <f>'дод 3'!M71</f>
        <v>0</v>
      </c>
      <c r="M23" s="50">
        <f>'дод 3'!N71</f>
        <v>103611</v>
      </c>
      <c r="N23" s="50">
        <f>'дод 3'!O71</f>
        <v>103611</v>
      </c>
      <c r="O23" s="50">
        <f>'дод 3'!P71</f>
        <v>7854636</v>
      </c>
      <c r="P23" s="2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21.75" customHeight="1" x14ac:dyDescent="0.25">
      <c r="B24" s="5"/>
      <c r="C24" s="13" t="s">
        <v>416</v>
      </c>
      <c r="D24" s="50">
        <f>'дод 3'!E72</f>
        <v>4964695</v>
      </c>
      <c r="E24" s="50">
        <f>'дод 3'!F72</f>
        <v>4964695</v>
      </c>
      <c r="F24" s="50">
        <f>'дод 3'!G72</f>
        <v>4070000</v>
      </c>
      <c r="G24" s="50">
        <f>'дод 3'!H72</f>
        <v>0</v>
      </c>
      <c r="H24" s="50">
        <f>'дод 3'!I72</f>
        <v>0</v>
      </c>
      <c r="I24" s="50">
        <f>'дод 3'!J72</f>
        <v>0</v>
      </c>
      <c r="J24" s="50">
        <f>'дод 3'!K72</f>
        <v>0</v>
      </c>
      <c r="K24" s="50">
        <f>'дод 3'!L72</f>
        <v>0</v>
      </c>
      <c r="L24" s="50">
        <f>'дод 3'!M72</f>
        <v>0</v>
      </c>
      <c r="M24" s="50">
        <f>'дод 3'!N72</f>
        <v>0</v>
      </c>
      <c r="N24" s="50">
        <f>'дод 3'!O72</f>
        <v>0</v>
      </c>
      <c r="O24" s="50">
        <f>'дод 3'!P72</f>
        <v>4964695</v>
      </c>
      <c r="P24" s="270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 spans="1:35" ht="33" customHeight="1" x14ac:dyDescent="0.25">
      <c r="A25" s="5" t="s">
        <v>91</v>
      </c>
      <c r="B25" s="5" t="s">
        <v>92</v>
      </c>
      <c r="C25" s="18" t="s">
        <v>223</v>
      </c>
      <c r="D25" s="50">
        <f>'дод 3'!E73</f>
        <v>21926359</v>
      </c>
      <c r="E25" s="50">
        <f>'дод 3'!F73</f>
        <v>21926359</v>
      </c>
      <c r="F25" s="50">
        <f>'дод 3'!G73</f>
        <v>15425500</v>
      </c>
      <c r="G25" s="50">
        <f>'дод 3'!H73</f>
        <v>2538300</v>
      </c>
      <c r="H25" s="50">
        <f>'дод 3'!I73</f>
        <v>0</v>
      </c>
      <c r="I25" s="50">
        <f>'дод 3'!J73</f>
        <v>383298</v>
      </c>
      <c r="J25" s="50">
        <f>'дод 3'!K73</f>
        <v>0</v>
      </c>
      <c r="K25" s="50">
        <f>'дод 3'!L73</f>
        <v>0</v>
      </c>
      <c r="L25" s="50">
        <f>'дод 3'!M73</f>
        <v>0</v>
      </c>
      <c r="M25" s="50">
        <f>'дод 3'!N73</f>
        <v>383298</v>
      </c>
      <c r="N25" s="50">
        <f>'дод 3'!O73</f>
        <v>383298</v>
      </c>
      <c r="O25" s="50">
        <f>'дод 3'!P73</f>
        <v>22309657</v>
      </c>
      <c r="P25" s="270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 spans="1:35" ht="57.75" customHeight="1" x14ac:dyDescent="0.25">
      <c r="A26" s="5" t="s">
        <v>93</v>
      </c>
      <c r="B26" s="5" t="s">
        <v>92</v>
      </c>
      <c r="C26" s="18" t="s">
        <v>30</v>
      </c>
      <c r="D26" s="50">
        <f>'дод 3'!E224</f>
        <v>29930652</v>
      </c>
      <c r="E26" s="50">
        <f>'дод 3'!F224</f>
        <v>29930652</v>
      </c>
      <c r="F26" s="50">
        <f>'дод 3'!G224</f>
        <v>23498774</v>
      </c>
      <c r="G26" s="50">
        <f>'дод 3'!H224</f>
        <v>735284</v>
      </c>
      <c r="H26" s="50">
        <f>'дод 3'!I224</f>
        <v>0</v>
      </c>
      <c r="I26" s="50">
        <f>'дод 3'!J224</f>
        <v>2310850</v>
      </c>
      <c r="J26" s="50">
        <f>'дод 3'!K224</f>
        <v>2108830</v>
      </c>
      <c r="K26" s="50">
        <f>'дод 3'!L224</f>
        <v>1721450</v>
      </c>
      <c r="L26" s="50">
        <f>'дод 3'!M224</f>
        <v>0</v>
      </c>
      <c r="M26" s="50">
        <f>'дод 3'!N224</f>
        <v>202020</v>
      </c>
      <c r="N26" s="50">
        <f>'дод 3'!O224</f>
        <v>197300</v>
      </c>
      <c r="O26" s="50">
        <f>'дод 3'!P224</f>
        <v>32241502</v>
      </c>
      <c r="P26" s="270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</row>
    <row r="27" spans="1:35" ht="39.75" customHeight="1" x14ac:dyDescent="0.25">
      <c r="A27" s="5" t="s">
        <v>352</v>
      </c>
      <c r="B27" s="5" t="s">
        <v>94</v>
      </c>
      <c r="C27" s="18" t="s">
        <v>183</v>
      </c>
      <c r="D27" s="50">
        <f>'дод 3'!E74</f>
        <v>94960900</v>
      </c>
      <c r="E27" s="50">
        <f>'дод 3'!F74</f>
        <v>94960900</v>
      </c>
      <c r="F27" s="50">
        <f>'дод 3'!G74</f>
        <v>52999200</v>
      </c>
      <c r="G27" s="50">
        <f>'дод 3'!H74</f>
        <v>9089100</v>
      </c>
      <c r="H27" s="50">
        <f>'дод 3'!I74</f>
        <v>0</v>
      </c>
      <c r="I27" s="50">
        <f>'дод 3'!J74</f>
        <v>11338970</v>
      </c>
      <c r="J27" s="50">
        <f>'дод 3'!K74</f>
        <v>6514270</v>
      </c>
      <c r="K27" s="50">
        <f>'дод 3'!L74</f>
        <v>2053494</v>
      </c>
      <c r="L27" s="50">
        <f>'дод 3'!M74</f>
        <v>2334410</v>
      </c>
      <c r="M27" s="50">
        <f>'дод 3'!N74</f>
        <v>4824700</v>
      </c>
      <c r="N27" s="50">
        <f>'дод 3'!O74</f>
        <v>4630000</v>
      </c>
      <c r="O27" s="50">
        <f>'дод 3'!P74</f>
        <v>106299870</v>
      </c>
      <c r="P27" s="270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</row>
    <row r="28" spans="1:35" ht="21" customHeight="1" x14ac:dyDescent="0.25">
      <c r="B28" s="5"/>
      <c r="C28" s="13" t="s">
        <v>416</v>
      </c>
      <c r="D28" s="50">
        <f>'дод 3'!E75</f>
        <v>10107000</v>
      </c>
      <c r="E28" s="50">
        <f>'дод 3'!F75</f>
        <v>10107000</v>
      </c>
      <c r="F28" s="50">
        <f>'дод 3'!G75</f>
        <v>7899000</v>
      </c>
      <c r="G28" s="50">
        <f>'дод 3'!H75</f>
        <v>0</v>
      </c>
      <c r="H28" s="50">
        <f>'дод 3'!I75</f>
        <v>0</v>
      </c>
      <c r="I28" s="50">
        <f>'дод 3'!J75</f>
        <v>4630000</v>
      </c>
      <c r="J28" s="50">
        <f>'дод 3'!K75</f>
        <v>0</v>
      </c>
      <c r="K28" s="50">
        <f>'дод 3'!L75</f>
        <v>0</v>
      </c>
      <c r="L28" s="50">
        <f>'дод 3'!M75</f>
        <v>0</v>
      </c>
      <c r="M28" s="50">
        <f>'дод 3'!N75</f>
        <v>4630000</v>
      </c>
      <c r="N28" s="50">
        <f>'дод 3'!O75</f>
        <v>4630000</v>
      </c>
      <c r="O28" s="50">
        <f>'дод 3'!P75</f>
        <v>14737000</v>
      </c>
      <c r="P28" s="270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</row>
    <row r="29" spans="1:35" ht="33" customHeight="1" x14ac:dyDescent="0.25">
      <c r="A29" s="5" t="s">
        <v>184</v>
      </c>
      <c r="B29" s="5" t="s">
        <v>95</v>
      </c>
      <c r="C29" s="18" t="s">
        <v>581</v>
      </c>
      <c r="D29" s="50">
        <f>'дод 3'!E76</f>
        <v>2824007</v>
      </c>
      <c r="E29" s="50">
        <f>'дод 3'!F76</f>
        <v>2824007</v>
      </c>
      <c r="F29" s="50">
        <f>'дод 3'!G76</f>
        <v>2181762</v>
      </c>
      <c r="G29" s="50">
        <f>'дод 3'!H76</f>
        <v>121300</v>
      </c>
      <c r="H29" s="50">
        <f>'дод 3'!I76</f>
        <v>0</v>
      </c>
      <c r="I29" s="50">
        <f>'дод 3'!J76</f>
        <v>13000</v>
      </c>
      <c r="J29" s="50">
        <f>'дод 3'!K76</f>
        <v>0</v>
      </c>
      <c r="K29" s="50">
        <f>'дод 3'!L76</f>
        <v>0</v>
      </c>
      <c r="L29" s="50">
        <f>'дод 3'!M76</f>
        <v>0</v>
      </c>
      <c r="M29" s="50">
        <f>'дод 3'!N76</f>
        <v>13000</v>
      </c>
      <c r="N29" s="50">
        <f>'дод 3'!O76</f>
        <v>13000</v>
      </c>
      <c r="O29" s="50">
        <f>'дод 3'!P76</f>
        <v>2837007</v>
      </c>
      <c r="P29" s="270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</row>
    <row r="30" spans="1:35" ht="25.5" customHeight="1" x14ac:dyDescent="0.25">
      <c r="A30" s="5" t="s">
        <v>358</v>
      </c>
      <c r="B30" s="5"/>
      <c r="C30" s="18" t="s">
        <v>356</v>
      </c>
      <c r="D30" s="50">
        <f>D32+D34</f>
        <v>7636623</v>
      </c>
      <c r="E30" s="50">
        <f t="shared" ref="E30:O30" si="3">E32+E34</f>
        <v>7636623</v>
      </c>
      <c r="F30" s="50">
        <f t="shared" si="3"/>
        <v>5051740</v>
      </c>
      <c r="G30" s="50">
        <f t="shared" si="3"/>
        <v>460470</v>
      </c>
      <c r="H30" s="50">
        <f t="shared" si="3"/>
        <v>0</v>
      </c>
      <c r="I30" s="50">
        <f t="shared" si="3"/>
        <v>349361</v>
      </c>
      <c r="J30" s="50">
        <f t="shared" si="3"/>
        <v>0</v>
      </c>
      <c r="K30" s="50">
        <f t="shared" si="3"/>
        <v>0</v>
      </c>
      <c r="L30" s="50">
        <f t="shared" si="3"/>
        <v>0</v>
      </c>
      <c r="M30" s="50">
        <f t="shared" si="3"/>
        <v>349361</v>
      </c>
      <c r="N30" s="50">
        <f t="shared" si="3"/>
        <v>349361</v>
      </c>
      <c r="O30" s="50">
        <f t="shared" si="3"/>
        <v>7985984</v>
      </c>
      <c r="P30" s="270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</row>
    <row r="31" spans="1:35" ht="25.5" customHeight="1" x14ac:dyDescent="0.25">
      <c r="B31" s="5"/>
      <c r="C31" s="13" t="s">
        <v>416</v>
      </c>
      <c r="D31" s="50">
        <f>D33</f>
        <v>0</v>
      </c>
      <c r="E31" s="50">
        <f t="shared" ref="E31:O31" si="4">E33</f>
        <v>0</v>
      </c>
      <c r="F31" s="50">
        <f t="shared" si="4"/>
        <v>0</v>
      </c>
      <c r="G31" s="50">
        <f t="shared" si="4"/>
        <v>0</v>
      </c>
      <c r="H31" s="50">
        <f t="shared" si="4"/>
        <v>0</v>
      </c>
      <c r="I31" s="50">
        <f t="shared" si="4"/>
        <v>107950</v>
      </c>
      <c r="J31" s="50">
        <f t="shared" si="4"/>
        <v>0</v>
      </c>
      <c r="K31" s="50">
        <f t="shared" si="4"/>
        <v>0</v>
      </c>
      <c r="L31" s="50">
        <f t="shared" si="4"/>
        <v>0</v>
      </c>
      <c r="M31" s="50">
        <f t="shared" si="4"/>
        <v>107950</v>
      </c>
      <c r="N31" s="50">
        <f t="shared" si="4"/>
        <v>107950</v>
      </c>
      <c r="O31" s="50">
        <f t="shared" si="4"/>
        <v>107950</v>
      </c>
      <c r="P31" s="270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</row>
    <row r="32" spans="1:35" s="8" customFormat="1" ht="36" customHeight="1" x14ac:dyDescent="0.25">
      <c r="A32" s="7" t="s">
        <v>444</v>
      </c>
      <c r="B32" s="7" t="s">
        <v>95</v>
      </c>
      <c r="C32" s="40" t="s">
        <v>446</v>
      </c>
      <c r="D32" s="51">
        <f>'дод 3'!E79</f>
        <v>7560823</v>
      </c>
      <c r="E32" s="51">
        <f>'дод 3'!F79</f>
        <v>7560823</v>
      </c>
      <c r="F32" s="51">
        <f>'дод 3'!G79</f>
        <v>5051740</v>
      </c>
      <c r="G32" s="51">
        <f>'дод 3'!H79</f>
        <v>460470</v>
      </c>
      <c r="H32" s="51">
        <f>'дод 3'!I79</f>
        <v>0</v>
      </c>
      <c r="I32" s="51">
        <f>'дод 3'!J79</f>
        <v>349361</v>
      </c>
      <c r="J32" s="51">
        <f>'дод 3'!K79</f>
        <v>0</v>
      </c>
      <c r="K32" s="51">
        <f>'дод 3'!L79</f>
        <v>0</v>
      </c>
      <c r="L32" s="51">
        <f>'дод 3'!M79</f>
        <v>0</v>
      </c>
      <c r="M32" s="51">
        <f>'дод 3'!N79</f>
        <v>349361</v>
      </c>
      <c r="N32" s="51">
        <f>'дод 3'!O79</f>
        <v>349361</v>
      </c>
      <c r="O32" s="51">
        <f>'дод 3'!P79</f>
        <v>7910184</v>
      </c>
      <c r="P32" s="270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</row>
    <row r="33" spans="1:35" s="8" customFormat="1" ht="21" customHeight="1" x14ac:dyDescent="0.25">
      <c r="A33" s="7"/>
      <c r="B33" s="7"/>
      <c r="C33" s="14" t="s">
        <v>416</v>
      </c>
      <c r="D33" s="51">
        <f>'дод 3'!E80</f>
        <v>0</v>
      </c>
      <c r="E33" s="51">
        <f>'дод 3'!F80</f>
        <v>0</v>
      </c>
      <c r="F33" s="51">
        <f>'дод 3'!G80</f>
        <v>0</v>
      </c>
      <c r="G33" s="51">
        <f>'дод 3'!H80</f>
        <v>0</v>
      </c>
      <c r="H33" s="51">
        <f>'дод 3'!I80</f>
        <v>0</v>
      </c>
      <c r="I33" s="51">
        <f>'дод 3'!J80</f>
        <v>107950</v>
      </c>
      <c r="J33" s="51">
        <f>'дод 3'!K80</f>
        <v>0</v>
      </c>
      <c r="K33" s="51">
        <f>'дод 3'!L80</f>
        <v>0</v>
      </c>
      <c r="L33" s="51">
        <f>'дод 3'!M80</f>
        <v>0</v>
      </c>
      <c r="M33" s="51">
        <f>'дод 3'!N80</f>
        <v>107950</v>
      </c>
      <c r="N33" s="51">
        <f>'дод 3'!O80</f>
        <v>107950</v>
      </c>
      <c r="O33" s="51">
        <f>'дод 3'!P80</f>
        <v>107950</v>
      </c>
      <c r="P33" s="270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</row>
    <row r="34" spans="1:35" s="8" customFormat="1" ht="25.5" customHeight="1" x14ac:dyDescent="0.25">
      <c r="A34" s="7" t="s">
        <v>445</v>
      </c>
      <c r="B34" s="7" t="s">
        <v>95</v>
      </c>
      <c r="C34" s="40" t="s">
        <v>447</v>
      </c>
      <c r="D34" s="51">
        <f>'дод 3'!E81</f>
        <v>75800</v>
      </c>
      <c r="E34" s="51">
        <f>'дод 3'!F81</f>
        <v>75800</v>
      </c>
      <c r="F34" s="51">
        <f>'дод 3'!G81</f>
        <v>0</v>
      </c>
      <c r="G34" s="51">
        <f>'дод 3'!H81</f>
        <v>0</v>
      </c>
      <c r="H34" s="51">
        <f>'дод 3'!I81</f>
        <v>0</v>
      </c>
      <c r="I34" s="51">
        <f>'дод 3'!J81</f>
        <v>0</v>
      </c>
      <c r="J34" s="51">
        <f>'дод 3'!K81</f>
        <v>0</v>
      </c>
      <c r="K34" s="51">
        <f>'дод 3'!L81</f>
        <v>0</v>
      </c>
      <c r="L34" s="51">
        <f>'дод 3'!M81</f>
        <v>0</v>
      </c>
      <c r="M34" s="51">
        <f>'дод 3'!N81</f>
        <v>0</v>
      </c>
      <c r="N34" s="51">
        <f>'дод 3'!O81</f>
        <v>0</v>
      </c>
      <c r="O34" s="51">
        <f>'дод 3'!P81</f>
        <v>75800</v>
      </c>
      <c r="P34" s="270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</row>
    <row r="35" spans="1:35" s="21" customFormat="1" ht="23.25" customHeight="1" x14ac:dyDescent="0.25">
      <c r="A35" s="22" t="s">
        <v>96</v>
      </c>
      <c r="B35" s="34"/>
      <c r="C35" s="39" t="s">
        <v>97</v>
      </c>
      <c r="D35" s="54">
        <f>D37+D39+D41+D43+D45+D51+D57</f>
        <v>350179284</v>
      </c>
      <c r="E35" s="54">
        <f t="shared" ref="E35:O35" si="5">E37+E39+E41+E43+E45+E51+E57</f>
        <v>350179284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52545569</v>
      </c>
      <c r="J35" s="54">
        <f t="shared" si="5"/>
        <v>16983749</v>
      </c>
      <c r="K35" s="54">
        <f t="shared" si="5"/>
        <v>0</v>
      </c>
      <c r="L35" s="54">
        <f t="shared" si="5"/>
        <v>0</v>
      </c>
      <c r="M35" s="54">
        <f t="shared" si="5"/>
        <v>35561820</v>
      </c>
      <c r="N35" s="54">
        <f t="shared" si="5"/>
        <v>35561820</v>
      </c>
      <c r="O35" s="54">
        <f t="shared" si="5"/>
        <v>402724853</v>
      </c>
      <c r="P35" s="2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</row>
    <row r="36" spans="1:35" s="21" customFormat="1" ht="23.25" customHeight="1" x14ac:dyDescent="0.25">
      <c r="A36" s="22"/>
      <c r="B36" s="34"/>
      <c r="C36" s="11" t="s">
        <v>416</v>
      </c>
      <c r="D36" s="54">
        <f t="shared" ref="D36:O36" si="6">D38+D40+D42+D44+D46+D58+D52</f>
        <v>257802270</v>
      </c>
      <c r="E36" s="54">
        <f t="shared" si="6"/>
        <v>257802270</v>
      </c>
      <c r="F36" s="54">
        <f t="shared" si="6"/>
        <v>0</v>
      </c>
      <c r="G36" s="54">
        <f t="shared" si="6"/>
        <v>0</v>
      </c>
      <c r="H36" s="54">
        <f t="shared" si="6"/>
        <v>0</v>
      </c>
      <c r="I36" s="54">
        <f t="shared" si="6"/>
        <v>0</v>
      </c>
      <c r="J36" s="54">
        <f t="shared" si="6"/>
        <v>0</v>
      </c>
      <c r="K36" s="54">
        <f t="shared" si="6"/>
        <v>0</v>
      </c>
      <c r="L36" s="54">
        <f t="shared" si="6"/>
        <v>0</v>
      </c>
      <c r="M36" s="54">
        <f t="shared" si="6"/>
        <v>0</v>
      </c>
      <c r="N36" s="54">
        <f t="shared" si="6"/>
        <v>0</v>
      </c>
      <c r="O36" s="54">
        <f t="shared" si="6"/>
        <v>257802270</v>
      </c>
      <c r="P36" s="270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</row>
    <row r="37" spans="1:35" ht="31.5" x14ac:dyDescent="0.25">
      <c r="A37" s="5" t="s">
        <v>98</v>
      </c>
      <c r="B37" s="5" t="s">
        <v>99</v>
      </c>
      <c r="C37" s="18" t="s">
        <v>53</v>
      </c>
      <c r="D37" s="50">
        <f>'дод 3'!E99</f>
        <v>231478771.13</v>
      </c>
      <c r="E37" s="50">
        <f>'дод 3'!F99</f>
        <v>231478771.13</v>
      </c>
      <c r="F37" s="50">
        <f>'дод 3'!G99</f>
        <v>0</v>
      </c>
      <c r="G37" s="50">
        <f>'дод 3'!H99</f>
        <v>0</v>
      </c>
      <c r="H37" s="50">
        <f>'дод 3'!I99</f>
        <v>0</v>
      </c>
      <c r="I37" s="50">
        <f>'дод 3'!J99</f>
        <v>43274084</v>
      </c>
      <c r="J37" s="50">
        <f>'дод 3'!K99</f>
        <v>11318360</v>
      </c>
      <c r="K37" s="50">
        <f>'дод 3'!L99</f>
        <v>0</v>
      </c>
      <c r="L37" s="50">
        <f>'дод 3'!M99</f>
        <v>0</v>
      </c>
      <c r="M37" s="50">
        <f>'дод 3'!N99</f>
        <v>31955724</v>
      </c>
      <c r="N37" s="50">
        <f>'дод 3'!O99</f>
        <v>31955724</v>
      </c>
      <c r="O37" s="50">
        <f>'дод 3'!P99</f>
        <v>274752855.13</v>
      </c>
      <c r="P37" s="270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</row>
    <row r="38" spans="1:35" ht="15.75" customHeight="1" x14ac:dyDescent="0.25">
      <c r="B38" s="5"/>
      <c r="C38" s="13" t="s">
        <v>416</v>
      </c>
      <c r="D38" s="50">
        <f>'дод 3'!E100</f>
        <v>155959026.13</v>
      </c>
      <c r="E38" s="50">
        <f>'дод 3'!F100</f>
        <v>155959026.13</v>
      </c>
      <c r="F38" s="50">
        <f>'дод 3'!G100</f>
        <v>0</v>
      </c>
      <c r="G38" s="50">
        <f>'дод 3'!H100</f>
        <v>0</v>
      </c>
      <c r="H38" s="50">
        <f>'дод 3'!I100</f>
        <v>0</v>
      </c>
      <c r="I38" s="50">
        <f>'дод 3'!J100</f>
        <v>0</v>
      </c>
      <c r="J38" s="50">
        <f>'дод 3'!K100</f>
        <v>0</v>
      </c>
      <c r="K38" s="50">
        <f>'дод 3'!L100</f>
        <v>0</v>
      </c>
      <c r="L38" s="50">
        <f>'дод 3'!M100</f>
        <v>0</v>
      </c>
      <c r="M38" s="50">
        <f>'дод 3'!N100</f>
        <v>0</v>
      </c>
      <c r="N38" s="50">
        <f>'дод 3'!O100</f>
        <v>0</v>
      </c>
      <c r="O38" s="50">
        <f>'дод 3'!P100</f>
        <v>155959026.13</v>
      </c>
      <c r="P38" s="270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</row>
    <row r="39" spans="1:35" ht="42.75" customHeight="1" x14ac:dyDescent="0.25">
      <c r="A39" s="5" t="s">
        <v>185</v>
      </c>
      <c r="B39" s="5" t="s">
        <v>100</v>
      </c>
      <c r="C39" s="18" t="s">
        <v>186</v>
      </c>
      <c r="D39" s="50">
        <f>'дод 3'!E101</f>
        <v>33901542</v>
      </c>
      <c r="E39" s="50">
        <f>'дод 3'!F101</f>
        <v>33901542</v>
      </c>
      <c r="F39" s="50">
        <f>'дод 3'!G101</f>
        <v>0</v>
      </c>
      <c r="G39" s="50">
        <f>'дод 3'!H101</f>
        <v>0</v>
      </c>
      <c r="H39" s="50">
        <f>'дод 3'!I101</f>
        <v>0</v>
      </c>
      <c r="I39" s="50">
        <f>'дод 3'!J101</f>
        <v>157300</v>
      </c>
      <c r="J39" s="50">
        <f>'дод 3'!K101</f>
        <v>27300</v>
      </c>
      <c r="K39" s="50">
        <f>'дод 3'!L101</f>
        <v>0</v>
      </c>
      <c r="L39" s="50">
        <f>'дод 3'!M101</f>
        <v>0</v>
      </c>
      <c r="M39" s="50">
        <f>'дод 3'!N101</f>
        <v>130000</v>
      </c>
      <c r="N39" s="50">
        <f>'дод 3'!O101</f>
        <v>130000</v>
      </c>
      <c r="O39" s="50">
        <f>'дод 3'!P101</f>
        <v>34058842</v>
      </c>
      <c r="P39" s="2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</row>
    <row r="40" spans="1:35" ht="24" customHeight="1" x14ac:dyDescent="0.25">
      <c r="B40" s="5"/>
      <c r="C40" s="13" t="s">
        <v>416</v>
      </c>
      <c r="D40" s="50">
        <f>'дод 3'!E102</f>
        <v>24253709</v>
      </c>
      <c r="E40" s="50">
        <f>'дод 3'!F102</f>
        <v>24253709</v>
      </c>
      <c r="F40" s="50">
        <f>'дод 3'!G102</f>
        <v>0</v>
      </c>
      <c r="G40" s="50">
        <f>'дод 3'!H102</f>
        <v>0</v>
      </c>
      <c r="H40" s="50">
        <f>'дод 3'!I102</f>
        <v>0</v>
      </c>
      <c r="I40" s="50">
        <f>'дод 3'!J102</f>
        <v>0</v>
      </c>
      <c r="J40" s="50">
        <f>'дод 3'!K102</f>
        <v>0</v>
      </c>
      <c r="K40" s="50">
        <f>'дод 3'!L102</f>
        <v>0</v>
      </c>
      <c r="L40" s="50">
        <f>'дод 3'!M102</f>
        <v>0</v>
      </c>
      <c r="M40" s="50">
        <f>'дод 3'!N102</f>
        <v>0</v>
      </c>
      <c r="N40" s="50">
        <f>'дод 3'!O102</f>
        <v>0</v>
      </c>
      <c r="O40" s="50">
        <f>'дод 3'!P102</f>
        <v>24253709</v>
      </c>
      <c r="P40" s="2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</row>
    <row r="41" spans="1:35" ht="33" customHeight="1" x14ac:dyDescent="0.25">
      <c r="A41" s="5" t="s">
        <v>187</v>
      </c>
      <c r="B41" s="5" t="s">
        <v>101</v>
      </c>
      <c r="C41" s="18" t="s">
        <v>495</v>
      </c>
      <c r="D41" s="50">
        <f>'дод 3'!E103</f>
        <v>935838</v>
      </c>
      <c r="E41" s="50">
        <f>'дод 3'!F103</f>
        <v>935838</v>
      </c>
      <c r="F41" s="50">
        <f>'дод 3'!G103</f>
        <v>0</v>
      </c>
      <c r="G41" s="50">
        <f>'дод 3'!H103</f>
        <v>0</v>
      </c>
      <c r="H41" s="50">
        <f>'дод 3'!I103</f>
        <v>0</v>
      </c>
      <c r="I41" s="50">
        <f>'дод 3'!J103</f>
        <v>412100</v>
      </c>
      <c r="J41" s="50">
        <f>'дод 3'!K103</f>
        <v>412100</v>
      </c>
      <c r="K41" s="50">
        <f>'дод 3'!L103</f>
        <v>0</v>
      </c>
      <c r="L41" s="50">
        <f>'дод 3'!M103</f>
        <v>0</v>
      </c>
      <c r="M41" s="50">
        <f>'дод 3'!N103</f>
        <v>0</v>
      </c>
      <c r="N41" s="50">
        <f>'дод 3'!O103</f>
        <v>0</v>
      </c>
      <c r="O41" s="50">
        <f>'дод 3'!P103</f>
        <v>1347938</v>
      </c>
      <c r="P41" s="2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</row>
    <row r="42" spans="1:35" ht="27" customHeight="1" x14ac:dyDescent="0.25">
      <c r="B42" s="5"/>
      <c r="C42" s="13" t="s">
        <v>416</v>
      </c>
      <c r="D42" s="50">
        <f>'дод 3'!E104</f>
        <v>846006.87</v>
      </c>
      <c r="E42" s="50">
        <f>'дод 3'!F104</f>
        <v>846006.87</v>
      </c>
      <c r="F42" s="50">
        <f>'дод 3'!G104</f>
        <v>0</v>
      </c>
      <c r="G42" s="50">
        <f>'дод 3'!H104</f>
        <v>0</v>
      </c>
      <c r="H42" s="50">
        <f>'дод 3'!I104</f>
        <v>0</v>
      </c>
      <c r="I42" s="50">
        <f>'дод 3'!J104</f>
        <v>0</v>
      </c>
      <c r="J42" s="50">
        <f>'дод 3'!K104</f>
        <v>0</v>
      </c>
      <c r="K42" s="50">
        <f>'дод 3'!L104</f>
        <v>0</v>
      </c>
      <c r="L42" s="50">
        <f>'дод 3'!M104</f>
        <v>0</v>
      </c>
      <c r="M42" s="50">
        <f>'дод 3'!N104</f>
        <v>0</v>
      </c>
      <c r="N42" s="50">
        <f>'дод 3'!O104</f>
        <v>0</v>
      </c>
      <c r="O42" s="50">
        <f>'дод 3'!P104</f>
        <v>846006.87</v>
      </c>
      <c r="P42" s="2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</row>
    <row r="43" spans="1:35" ht="25.5" customHeight="1" x14ac:dyDescent="0.25">
      <c r="A43" s="5" t="s">
        <v>188</v>
      </c>
      <c r="B43" s="5" t="s">
        <v>102</v>
      </c>
      <c r="C43" s="18" t="s">
        <v>189</v>
      </c>
      <c r="D43" s="50">
        <f>'дод 3'!E105</f>
        <v>6400304</v>
      </c>
      <c r="E43" s="50">
        <f>'дод 3'!F105</f>
        <v>6400304</v>
      </c>
      <c r="F43" s="50">
        <f>'дод 3'!G105</f>
        <v>0</v>
      </c>
      <c r="G43" s="50">
        <f>'дод 3'!H105</f>
        <v>0</v>
      </c>
      <c r="H43" s="50">
        <f>'дод 3'!I105</f>
        <v>0</v>
      </c>
      <c r="I43" s="50">
        <f>'дод 3'!J105</f>
        <v>5058989</v>
      </c>
      <c r="J43" s="50">
        <f>'дод 3'!K105</f>
        <v>5058989</v>
      </c>
      <c r="K43" s="50">
        <f>'дод 3'!L105</f>
        <v>0</v>
      </c>
      <c r="L43" s="50">
        <f>'дод 3'!M105</f>
        <v>0</v>
      </c>
      <c r="M43" s="50">
        <f>'дод 3'!N105</f>
        <v>0</v>
      </c>
      <c r="N43" s="50">
        <f>'дод 3'!O105</f>
        <v>0</v>
      </c>
      <c r="O43" s="50">
        <f>'дод 3'!P105</f>
        <v>11459293</v>
      </c>
      <c r="P43" s="2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</row>
    <row r="44" spans="1:35" ht="25.5" customHeight="1" x14ac:dyDescent="0.25">
      <c r="B44" s="5"/>
      <c r="C44" s="13" t="s">
        <v>416</v>
      </c>
      <c r="D44" s="50">
        <f>'дод 3'!E106</f>
        <v>5240025</v>
      </c>
      <c r="E44" s="50">
        <f>'дод 3'!F106</f>
        <v>5240025</v>
      </c>
      <c r="F44" s="50">
        <f>'дод 3'!G106</f>
        <v>0</v>
      </c>
      <c r="G44" s="50">
        <f>'дод 3'!H106</f>
        <v>0</v>
      </c>
      <c r="H44" s="50">
        <f>'дод 3'!I106</f>
        <v>0</v>
      </c>
      <c r="I44" s="50">
        <f>'дод 3'!J106</f>
        <v>0</v>
      </c>
      <c r="J44" s="50">
        <f>'дод 3'!K106</f>
        <v>0</v>
      </c>
      <c r="K44" s="50">
        <f>'дод 3'!L106</f>
        <v>0</v>
      </c>
      <c r="L44" s="50">
        <f>'дод 3'!M106</f>
        <v>0</v>
      </c>
      <c r="M44" s="50">
        <f>'дод 3'!N106</f>
        <v>0</v>
      </c>
      <c r="N44" s="50">
        <f>'дод 3'!O106</f>
        <v>0</v>
      </c>
      <c r="O44" s="50">
        <f>'дод 3'!P106</f>
        <v>5240025</v>
      </c>
      <c r="P44" s="2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</row>
    <row r="45" spans="1:35" ht="22.5" customHeight="1" x14ac:dyDescent="0.25">
      <c r="A45" s="5" t="s">
        <v>190</v>
      </c>
      <c r="B45" s="5"/>
      <c r="C45" s="41" t="s">
        <v>496</v>
      </c>
      <c r="D45" s="50">
        <f>D47+D49</f>
        <v>56447380.870000005</v>
      </c>
      <c r="E45" s="50">
        <f t="shared" ref="E45:O45" si="7">E47+E49</f>
        <v>56447380.870000005</v>
      </c>
      <c r="F45" s="50">
        <f t="shared" si="7"/>
        <v>0</v>
      </c>
      <c r="G45" s="50">
        <f t="shared" si="7"/>
        <v>0</v>
      </c>
      <c r="H45" s="50">
        <f t="shared" si="7"/>
        <v>0</v>
      </c>
      <c r="I45" s="50">
        <f t="shared" si="7"/>
        <v>236600</v>
      </c>
      <c r="J45" s="50">
        <f t="shared" si="7"/>
        <v>167000</v>
      </c>
      <c r="K45" s="50">
        <f t="shared" si="7"/>
        <v>0</v>
      </c>
      <c r="L45" s="50">
        <f t="shared" si="7"/>
        <v>0</v>
      </c>
      <c r="M45" s="50">
        <f t="shared" si="7"/>
        <v>69600</v>
      </c>
      <c r="N45" s="50">
        <f t="shared" si="7"/>
        <v>69600</v>
      </c>
      <c r="O45" s="50">
        <f t="shared" si="7"/>
        <v>56683980.870000005</v>
      </c>
      <c r="P45" s="2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</row>
    <row r="46" spans="1:35" ht="22.5" customHeight="1" x14ac:dyDescent="0.25">
      <c r="B46" s="5"/>
      <c r="C46" s="13" t="s">
        <v>416</v>
      </c>
      <c r="D46" s="50">
        <f>D48+D50</f>
        <v>53666300</v>
      </c>
      <c r="E46" s="50">
        <f t="shared" ref="E46:O46" si="8">E48+E50</f>
        <v>53666300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53666300</v>
      </c>
      <c r="P46" s="2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</row>
    <row r="47" spans="1:35" s="8" customFormat="1" ht="54" customHeight="1" x14ac:dyDescent="0.25">
      <c r="A47" s="7" t="s">
        <v>191</v>
      </c>
      <c r="B47" s="7" t="s">
        <v>497</v>
      </c>
      <c r="C47" s="40" t="s">
        <v>192</v>
      </c>
      <c r="D47" s="51">
        <f>'дод 3'!E109</f>
        <v>25226642.84</v>
      </c>
      <c r="E47" s="51">
        <f>'дод 3'!F109</f>
        <v>25226642.84</v>
      </c>
      <c r="F47" s="51">
        <f>'дод 3'!G109</f>
        <v>0</v>
      </c>
      <c r="G47" s="51">
        <f>'дод 3'!H109</f>
        <v>0</v>
      </c>
      <c r="H47" s="51">
        <f>'дод 3'!I109</f>
        <v>0</v>
      </c>
      <c r="I47" s="51">
        <f>'дод 3'!J109</f>
        <v>236600</v>
      </c>
      <c r="J47" s="51">
        <f>'дод 3'!K109</f>
        <v>167000</v>
      </c>
      <c r="K47" s="51">
        <f>'дод 3'!L109</f>
        <v>0</v>
      </c>
      <c r="L47" s="51">
        <f>'дод 3'!M109</f>
        <v>0</v>
      </c>
      <c r="M47" s="51">
        <f>'дод 3'!N109</f>
        <v>69600</v>
      </c>
      <c r="N47" s="51">
        <f>'дод 3'!O109</f>
        <v>69600</v>
      </c>
      <c r="O47" s="51">
        <f>'дод 3'!P109</f>
        <v>25463242.84</v>
      </c>
      <c r="P47" s="271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</row>
    <row r="48" spans="1:35" s="8" customFormat="1" ht="21.75" customHeight="1" x14ac:dyDescent="0.25">
      <c r="A48" s="7"/>
      <c r="B48" s="7"/>
      <c r="C48" s="14" t="s">
        <v>416</v>
      </c>
      <c r="D48" s="51">
        <f>'дод 3'!E110</f>
        <v>23412499.449999999</v>
      </c>
      <c r="E48" s="51">
        <f>'дод 3'!F110</f>
        <v>23412499.449999999</v>
      </c>
      <c r="F48" s="51">
        <f>'дод 3'!G110</f>
        <v>0</v>
      </c>
      <c r="G48" s="51">
        <f>'дод 3'!H110</f>
        <v>0</v>
      </c>
      <c r="H48" s="51">
        <f>'дод 3'!I110</f>
        <v>0</v>
      </c>
      <c r="I48" s="51">
        <f>'дод 3'!J110</f>
        <v>0</v>
      </c>
      <c r="J48" s="51">
        <f>'дод 3'!K110</f>
        <v>0</v>
      </c>
      <c r="K48" s="51">
        <f>'дод 3'!L110</f>
        <v>0</v>
      </c>
      <c r="L48" s="51">
        <f>'дод 3'!M110</f>
        <v>0</v>
      </c>
      <c r="M48" s="51">
        <f>'дод 3'!N110</f>
        <v>0</v>
      </c>
      <c r="N48" s="51">
        <f>'дод 3'!O110</f>
        <v>0</v>
      </c>
      <c r="O48" s="51">
        <f>'дод 3'!P110</f>
        <v>23412499.449999999</v>
      </c>
      <c r="P48" s="271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</row>
    <row r="49" spans="1:35" s="8" customFormat="1" ht="52.5" customHeight="1" x14ac:dyDescent="0.25">
      <c r="A49" s="7" t="s">
        <v>584</v>
      </c>
      <c r="B49" s="7" t="s">
        <v>101</v>
      </c>
      <c r="C49" s="40" t="s">
        <v>582</v>
      </c>
      <c r="D49" s="51">
        <f>'дод 3'!E111</f>
        <v>31220738.030000001</v>
      </c>
      <c r="E49" s="51">
        <f>'дод 3'!F111</f>
        <v>31220738.030000001</v>
      </c>
      <c r="F49" s="51">
        <f>'дод 3'!G111</f>
        <v>0</v>
      </c>
      <c r="G49" s="51">
        <f>'дод 3'!H111</f>
        <v>0</v>
      </c>
      <c r="H49" s="51">
        <f>'дод 3'!I111</f>
        <v>0</v>
      </c>
      <c r="I49" s="51">
        <f>'дод 3'!J111</f>
        <v>0</v>
      </c>
      <c r="J49" s="51">
        <f>'дод 3'!K111</f>
        <v>0</v>
      </c>
      <c r="K49" s="51">
        <f>'дод 3'!L111</f>
        <v>0</v>
      </c>
      <c r="L49" s="51">
        <f>'дод 3'!M111</f>
        <v>0</v>
      </c>
      <c r="M49" s="51">
        <f>'дод 3'!N111</f>
        <v>0</v>
      </c>
      <c r="N49" s="51">
        <f>'дод 3'!O111</f>
        <v>0</v>
      </c>
      <c r="O49" s="51">
        <f>'дод 3'!P111</f>
        <v>31220738.030000001</v>
      </c>
      <c r="P49" s="271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</row>
    <row r="50" spans="1:35" s="8" customFormat="1" ht="21.75" customHeight="1" x14ac:dyDescent="0.25">
      <c r="A50" s="7"/>
      <c r="B50" s="7"/>
      <c r="C50" s="14" t="s">
        <v>416</v>
      </c>
      <c r="D50" s="51">
        <f>'дод 3'!E112</f>
        <v>30253800.550000001</v>
      </c>
      <c r="E50" s="51">
        <f>'дод 3'!F112</f>
        <v>30253800.550000001</v>
      </c>
      <c r="F50" s="51">
        <f>'дод 3'!G112</f>
        <v>0</v>
      </c>
      <c r="G50" s="51">
        <f>'дод 3'!H112</f>
        <v>0</v>
      </c>
      <c r="H50" s="51">
        <f>'дод 3'!I112</f>
        <v>0</v>
      </c>
      <c r="I50" s="51">
        <f>'дод 3'!J112</f>
        <v>0</v>
      </c>
      <c r="J50" s="51">
        <f>'дод 3'!K112</f>
        <v>0</v>
      </c>
      <c r="K50" s="51">
        <f>'дод 3'!L112</f>
        <v>0</v>
      </c>
      <c r="L50" s="51">
        <f>'дод 3'!M112</f>
        <v>0</v>
      </c>
      <c r="M50" s="51">
        <f>'дод 3'!N112</f>
        <v>0</v>
      </c>
      <c r="N50" s="51">
        <f>'дод 3'!O112</f>
        <v>0</v>
      </c>
      <c r="O50" s="51">
        <f>'дод 3'!P112</f>
        <v>30253800.550000001</v>
      </c>
      <c r="P50" s="271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</row>
    <row r="51" spans="1:35" ht="40.5" customHeight="1" x14ac:dyDescent="0.25">
      <c r="A51" s="24">
        <v>2140</v>
      </c>
      <c r="B51" s="24"/>
      <c r="C51" s="41" t="s">
        <v>167</v>
      </c>
      <c r="D51" s="50">
        <f t="shared" ref="D51:O51" si="9">D53+D55</f>
        <v>14043000</v>
      </c>
      <c r="E51" s="50">
        <f t="shared" si="9"/>
        <v>14043000</v>
      </c>
      <c r="F51" s="50">
        <f t="shared" si="9"/>
        <v>0</v>
      </c>
      <c r="G51" s="50">
        <f t="shared" si="9"/>
        <v>0</v>
      </c>
      <c r="H51" s="50">
        <f t="shared" si="9"/>
        <v>0</v>
      </c>
      <c r="I51" s="50">
        <f t="shared" si="9"/>
        <v>0</v>
      </c>
      <c r="J51" s="50">
        <f t="shared" si="9"/>
        <v>0</v>
      </c>
      <c r="K51" s="50">
        <f t="shared" si="9"/>
        <v>0</v>
      </c>
      <c r="L51" s="50">
        <f t="shared" si="9"/>
        <v>0</v>
      </c>
      <c r="M51" s="50">
        <f t="shared" si="9"/>
        <v>0</v>
      </c>
      <c r="N51" s="50">
        <f t="shared" si="9"/>
        <v>0</v>
      </c>
      <c r="O51" s="50">
        <f t="shared" si="9"/>
        <v>14043000</v>
      </c>
      <c r="P51" s="271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</row>
    <row r="52" spans="1:35" ht="22.5" customHeight="1" x14ac:dyDescent="0.25">
      <c r="A52" s="24"/>
      <c r="B52" s="24"/>
      <c r="C52" s="13" t="s">
        <v>416</v>
      </c>
      <c r="D52" s="50">
        <f t="shared" ref="D52:O52" si="10">D53+D56</f>
        <v>14043000</v>
      </c>
      <c r="E52" s="50">
        <f t="shared" si="10"/>
        <v>14043000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14043000</v>
      </c>
      <c r="P52" s="271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</row>
    <row r="53" spans="1:35" s="8" customFormat="1" ht="36.75" customHeight="1" x14ac:dyDescent="0.25">
      <c r="A53" s="25">
        <v>2144</v>
      </c>
      <c r="B53" s="7" t="s">
        <v>103</v>
      </c>
      <c r="C53" s="45" t="s">
        <v>193</v>
      </c>
      <c r="D53" s="51">
        <f>'дод 3'!E115</f>
        <v>7131500</v>
      </c>
      <c r="E53" s="51">
        <f>'дод 3'!F115</f>
        <v>7131500</v>
      </c>
      <c r="F53" s="51">
        <f>'дод 3'!G115</f>
        <v>0</v>
      </c>
      <c r="G53" s="51">
        <f>'дод 3'!H115</f>
        <v>0</v>
      </c>
      <c r="H53" s="51">
        <f>'дод 3'!I115</f>
        <v>0</v>
      </c>
      <c r="I53" s="51">
        <f>'дод 3'!J115</f>
        <v>0</v>
      </c>
      <c r="J53" s="51">
        <f>'дод 3'!K115</f>
        <v>0</v>
      </c>
      <c r="K53" s="51">
        <f>'дод 3'!L115</f>
        <v>0</v>
      </c>
      <c r="L53" s="51">
        <f>'дод 3'!M115</f>
        <v>0</v>
      </c>
      <c r="M53" s="51">
        <f>'дод 3'!N115</f>
        <v>0</v>
      </c>
      <c r="N53" s="51">
        <f>'дод 3'!O115</f>
        <v>0</v>
      </c>
      <c r="O53" s="51">
        <f>'дод 3'!P115</f>
        <v>7131500</v>
      </c>
      <c r="P53" s="271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</row>
    <row r="54" spans="1:35" s="8" customFormat="1" ht="24.75" customHeight="1" x14ac:dyDescent="0.25">
      <c r="A54" s="25"/>
      <c r="B54" s="7"/>
      <c r="C54" s="14" t="s">
        <v>416</v>
      </c>
      <c r="D54" s="51">
        <f>'дод 3'!E116</f>
        <v>7131500</v>
      </c>
      <c r="E54" s="51">
        <f>'дод 3'!F116</f>
        <v>7131500</v>
      </c>
      <c r="F54" s="51">
        <f>'дод 3'!G116</f>
        <v>0</v>
      </c>
      <c r="G54" s="51">
        <f>'дод 3'!H116</f>
        <v>0</v>
      </c>
      <c r="H54" s="51">
        <f>'дод 3'!I116</f>
        <v>0</v>
      </c>
      <c r="I54" s="51">
        <f>'дод 3'!J116</f>
        <v>0</v>
      </c>
      <c r="J54" s="51">
        <f>'дод 3'!K116</f>
        <v>0</v>
      </c>
      <c r="K54" s="51">
        <f>'дод 3'!L116</f>
        <v>0</v>
      </c>
      <c r="L54" s="51">
        <f>'дод 3'!M116</f>
        <v>0</v>
      </c>
      <c r="M54" s="51">
        <f>'дод 3'!N116</f>
        <v>0</v>
      </c>
      <c r="N54" s="51">
        <f>'дод 3'!O116</f>
        <v>0</v>
      </c>
      <c r="O54" s="51">
        <f>'дод 3'!P116</f>
        <v>7131500</v>
      </c>
      <c r="P54" s="271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</row>
    <row r="55" spans="1:35" s="8" customFormat="1" ht="32.25" customHeight="1" x14ac:dyDescent="0.25">
      <c r="A55" s="25">
        <v>2146</v>
      </c>
      <c r="B55" s="7" t="s">
        <v>103</v>
      </c>
      <c r="C55" s="45" t="s">
        <v>513</v>
      </c>
      <c r="D55" s="51">
        <f>'дод 3'!E117</f>
        <v>6911500</v>
      </c>
      <c r="E55" s="51">
        <f>'дод 3'!F117</f>
        <v>6911500</v>
      </c>
      <c r="F55" s="51">
        <f>'дод 3'!G117</f>
        <v>0</v>
      </c>
      <c r="G55" s="51">
        <f>'дод 3'!H117</f>
        <v>0</v>
      </c>
      <c r="H55" s="51">
        <f>'дод 3'!I117</f>
        <v>0</v>
      </c>
      <c r="I55" s="51">
        <f>'дод 3'!J117</f>
        <v>0</v>
      </c>
      <c r="J55" s="51">
        <f>'дод 3'!K117</f>
        <v>0</v>
      </c>
      <c r="K55" s="51">
        <f>'дод 3'!L117</f>
        <v>0</v>
      </c>
      <c r="L55" s="51">
        <f>'дод 3'!M117</f>
        <v>0</v>
      </c>
      <c r="M55" s="51">
        <f>'дод 3'!N117</f>
        <v>0</v>
      </c>
      <c r="N55" s="51">
        <f>'дод 3'!O117</f>
        <v>0</v>
      </c>
      <c r="O55" s="51">
        <f>'дод 3'!P117</f>
        <v>6911500</v>
      </c>
      <c r="P55" s="271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</row>
    <row r="56" spans="1:35" s="8" customFormat="1" ht="24.75" customHeight="1" x14ac:dyDescent="0.25">
      <c r="A56" s="25"/>
      <c r="B56" s="7"/>
      <c r="C56" s="14" t="s">
        <v>416</v>
      </c>
      <c r="D56" s="51">
        <f>'дод 3'!E118</f>
        <v>6911500</v>
      </c>
      <c r="E56" s="51">
        <f>'дод 3'!F118</f>
        <v>6911500</v>
      </c>
      <c r="F56" s="51">
        <f>'дод 3'!G118</f>
        <v>0</v>
      </c>
      <c r="G56" s="51">
        <f>'дод 3'!H118</f>
        <v>0</v>
      </c>
      <c r="H56" s="51">
        <f>'дод 3'!I118</f>
        <v>0</v>
      </c>
      <c r="I56" s="51">
        <f>'дод 3'!J118</f>
        <v>0</v>
      </c>
      <c r="J56" s="51">
        <f>'дод 3'!K118</f>
        <v>0</v>
      </c>
      <c r="K56" s="51">
        <f>'дод 3'!L118</f>
        <v>0</v>
      </c>
      <c r="L56" s="51">
        <f>'дод 3'!M118</f>
        <v>0</v>
      </c>
      <c r="M56" s="51">
        <f>'дод 3'!N118</f>
        <v>0</v>
      </c>
      <c r="N56" s="51">
        <f>'дод 3'!O118</f>
        <v>0</v>
      </c>
      <c r="O56" s="51">
        <f>'дод 3'!P118</f>
        <v>6911500</v>
      </c>
      <c r="P56" s="271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</row>
    <row r="57" spans="1:35" ht="35.25" customHeight="1" x14ac:dyDescent="0.25">
      <c r="A57" s="5" t="s">
        <v>194</v>
      </c>
      <c r="B57" s="5"/>
      <c r="C57" s="18" t="s">
        <v>359</v>
      </c>
      <c r="D57" s="50">
        <f>D59+D61</f>
        <v>6972448</v>
      </c>
      <c r="E57" s="50">
        <f t="shared" ref="E57:O57" si="11">E59+E61</f>
        <v>6972448</v>
      </c>
      <c r="F57" s="50">
        <f t="shared" si="11"/>
        <v>0</v>
      </c>
      <c r="G57" s="50">
        <f t="shared" si="11"/>
        <v>0</v>
      </c>
      <c r="H57" s="50">
        <f t="shared" si="11"/>
        <v>0</v>
      </c>
      <c r="I57" s="50">
        <f t="shared" si="11"/>
        <v>3406496</v>
      </c>
      <c r="J57" s="50">
        <f t="shared" si="11"/>
        <v>0</v>
      </c>
      <c r="K57" s="50">
        <f t="shared" si="11"/>
        <v>0</v>
      </c>
      <c r="L57" s="50">
        <f t="shared" si="11"/>
        <v>0</v>
      </c>
      <c r="M57" s="50">
        <f t="shared" si="11"/>
        <v>3406496</v>
      </c>
      <c r="N57" s="50">
        <f t="shared" si="11"/>
        <v>3406496</v>
      </c>
      <c r="O57" s="50">
        <f t="shared" si="11"/>
        <v>10378944</v>
      </c>
      <c r="P57" s="2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</row>
    <row r="58" spans="1:35" ht="21.75" customHeight="1" x14ac:dyDescent="0.25">
      <c r="B58" s="5"/>
      <c r="C58" s="13" t="s">
        <v>416</v>
      </c>
      <c r="D58" s="50">
        <f>D60+D62</f>
        <v>3794203</v>
      </c>
      <c r="E58" s="50">
        <f t="shared" ref="E58:O58" si="12">E60+E62</f>
        <v>3794203</v>
      </c>
      <c r="F58" s="50">
        <f t="shared" si="12"/>
        <v>0</v>
      </c>
      <c r="G58" s="50">
        <f t="shared" si="12"/>
        <v>0</v>
      </c>
      <c r="H58" s="50">
        <f t="shared" si="12"/>
        <v>0</v>
      </c>
      <c r="I58" s="50">
        <f t="shared" si="12"/>
        <v>0</v>
      </c>
      <c r="J58" s="50">
        <f t="shared" si="12"/>
        <v>0</v>
      </c>
      <c r="K58" s="50">
        <f t="shared" si="12"/>
        <v>0</v>
      </c>
      <c r="L58" s="50">
        <f t="shared" si="12"/>
        <v>0</v>
      </c>
      <c r="M58" s="50">
        <f t="shared" si="12"/>
        <v>0</v>
      </c>
      <c r="N58" s="50">
        <f t="shared" si="12"/>
        <v>0</v>
      </c>
      <c r="O58" s="50">
        <f t="shared" si="12"/>
        <v>3794203</v>
      </c>
      <c r="P58" s="2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</row>
    <row r="59" spans="1:35" s="8" customFormat="1" ht="37.5" customHeight="1" x14ac:dyDescent="0.25">
      <c r="A59" s="7" t="s">
        <v>448</v>
      </c>
      <c r="B59" s="7" t="s">
        <v>103</v>
      </c>
      <c r="C59" s="14" t="s">
        <v>450</v>
      </c>
      <c r="D59" s="51">
        <f>'дод 3'!E121</f>
        <v>1975455</v>
      </c>
      <c r="E59" s="51">
        <f>'дод 3'!F121</f>
        <v>1975455</v>
      </c>
      <c r="F59" s="51">
        <f>'дод 3'!G121</f>
        <v>0</v>
      </c>
      <c r="G59" s="51">
        <f>'дод 3'!H121</f>
        <v>0</v>
      </c>
      <c r="H59" s="51">
        <f>'дод 3'!I121</f>
        <v>0</v>
      </c>
      <c r="I59" s="51">
        <f>'дод 3'!J121</f>
        <v>0</v>
      </c>
      <c r="J59" s="51">
        <f>'дод 3'!K121</f>
        <v>0</v>
      </c>
      <c r="K59" s="51">
        <f>'дод 3'!L121</f>
        <v>0</v>
      </c>
      <c r="L59" s="51">
        <f>'дод 3'!M121</f>
        <v>0</v>
      </c>
      <c r="M59" s="51">
        <f>'дод 3'!N121</f>
        <v>0</v>
      </c>
      <c r="N59" s="51">
        <f>'дод 3'!O121</f>
        <v>0</v>
      </c>
      <c r="O59" s="51">
        <f>'дод 3'!P121</f>
        <v>1975455</v>
      </c>
      <c r="P59" s="271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</row>
    <row r="60" spans="1:35" s="8" customFormat="1" ht="21.75" customHeight="1" x14ac:dyDescent="0.25">
      <c r="A60" s="7"/>
      <c r="B60" s="7"/>
      <c r="C60" s="14" t="s">
        <v>416</v>
      </c>
      <c r="D60" s="51">
        <f>'дод 3'!E122</f>
        <v>1938677</v>
      </c>
      <c r="E60" s="51">
        <f>'дод 3'!F122</f>
        <v>1938677</v>
      </c>
      <c r="F60" s="51">
        <f>'дод 3'!G122</f>
        <v>0</v>
      </c>
      <c r="G60" s="51">
        <f>'дод 3'!H122</f>
        <v>0</v>
      </c>
      <c r="H60" s="51">
        <f>'дод 3'!I122</f>
        <v>0</v>
      </c>
      <c r="I60" s="51">
        <f>'дод 3'!J122</f>
        <v>0</v>
      </c>
      <c r="J60" s="51">
        <f>'дод 3'!K122</f>
        <v>0</v>
      </c>
      <c r="K60" s="51">
        <f>'дод 3'!L122</f>
        <v>0</v>
      </c>
      <c r="L60" s="51">
        <f>'дод 3'!M122</f>
        <v>0</v>
      </c>
      <c r="M60" s="51">
        <f>'дод 3'!N122</f>
        <v>0</v>
      </c>
      <c r="N60" s="51">
        <f>'дод 3'!O122</f>
        <v>0</v>
      </c>
      <c r="O60" s="51">
        <f>'дод 3'!P122</f>
        <v>1938677</v>
      </c>
      <c r="P60" s="271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</row>
    <row r="61" spans="1:35" s="8" customFormat="1" ht="21.75" customHeight="1" x14ac:dyDescent="0.25">
      <c r="A61" s="7" t="s">
        <v>449</v>
      </c>
      <c r="B61" s="7" t="s">
        <v>103</v>
      </c>
      <c r="C61" s="14" t="s">
        <v>451</v>
      </c>
      <c r="D61" s="51">
        <f>'дод 3'!E123</f>
        <v>4996993</v>
      </c>
      <c r="E61" s="51">
        <f>'дод 3'!F123</f>
        <v>4996993</v>
      </c>
      <c r="F61" s="51">
        <f>'дод 3'!G123</f>
        <v>0</v>
      </c>
      <c r="G61" s="51">
        <f>'дод 3'!H123</f>
        <v>0</v>
      </c>
      <c r="H61" s="51">
        <f>'дод 3'!I123</f>
        <v>0</v>
      </c>
      <c r="I61" s="51">
        <f>'дод 3'!J123</f>
        <v>3406496</v>
      </c>
      <c r="J61" s="51">
        <f>'дод 3'!K123</f>
        <v>0</v>
      </c>
      <c r="K61" s="51">
        <f>'дод 3'!L123</f>
        <v>0</v>
      </c>
      <c r="L61" s="51">
        <f>'дод 3'!M123</f>
        <v>0</v>
      </c>
      <c r="M61" s="51">
        <f>'дод 3'!N123</f>
        <v>3406496</v>
      </c>
      <c r="N61" s="51">
        <f>'дод 3'!O123</f>
        <v>3406496</v>
      </c>
      <c r="O61" s="51">
        <f>'дод 3'!P123</f>
        <v>8403489</v>
      </c>
      <c r="P61" s="271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</row>
    <row r="62" spans="1:35" s="8" customFormat="1" ht="21.75" customHeight="1" x14ac:dyDescent="0.25">
      <c r="A62" s="7"/>
      <c r="B62" s="7"/>
      <c r="C62" s="14" t="s">
        <v>416</v>
      </c>
      <c r="D62" s="51">
        <f>'дод 3'!E124</f>
        <v>1855526</v>
      </c>
      <c r="E62" s="51">
        <f>'дод 3'!F124</f>
        <v>1855526</v>
      </c>
      <c r="F62" s="51">
        <f>'дод 3'!G124</f>
        <v>0</v>
      </c>
      <c r="G62" s="51">
        <f>'дод 3'!H124</f>
        <v>0</v>
      </c>
      <c r="H62" s="51">
        <f>'дод 3'!I124</f>
        <v>0</v>
      </c>
      <c r="I62" s="51">
        <f>'дод 3'!J124</f>
        <v>0</v>
      </c>
      <c r="J62" s="51">
        <f>'дод 3'!K124</f>
        <v>0</v>
      </c>
      <c r="K62" s="51">
        <f>'дод 3'!L124</f>
        <v>0</v>
      </c>
      <c r="L62" s="51">
        <f>'дод 3'!M124</f>
        <v>0</v>
      </c>
      <c r="M62" s="51">
        <f>'дод 3'!N124</f>
        <v>0</v>
      </c>
      <c r="N62" s="51">
        <f>'дод 3'!O124</f>
        <v>0</v>
      </c>
      <c r="O62" s="51">
        <f>'дод 3'!P124</f>
        <v>1855526</v>
      </c>
      <c r="P62" s="271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</row>
    <row r="63" spans="1:35" s="21" customFormat="1" ht="34.5" customHeight="1" x14ac:dyDescent="0.25">
      <c r="A63" s="22" t="s">
        <v>104</v>
      </c>
      <c r="B63" s="11"/>
      <c r="C63" s="11" t="s">
        <v>105</v>
      </c>
      <c r="D63" s="54">
        <f>D77+D99+D113+D115+D117+D119+D121+D122+D126+D127+D130+D131+D142+D112+D123+D65+D71+D83+D100+D140+D132</f>
        <v>1252981579.5900002</v>
      </c>
      <c r="E63" s="54">
        <f t="shared" ref="E63:O63" si="13">E77+E99+E113+E115+E117+E119+E121+E122+E126+E127+E130+E131+E142+E112+E123+E65+E71+E83+E100+E140+E132</f>
        <v>1252981579.5900002</v>
      </c>
      <c r="F63" s="54">
        <f t="shared" si="13"/>
        <v>11813689.1</v>
      </c>
      <c r="G63" s="54">
        <f t="shared" si="13"/>
        <v>1027783</v>
      </c>
      <c r="H63" s="54">
        <f t="shared" si="13"/>
        <v>0</v>
      </c>
      <c r="I63" s="54">
        <f t="shared" si="13"/>
        <v>14106741.68</v>
      </c>
      <c r="J63" s="54">
        <f t="shared" si="13"/>
        <v>57900</v>
      </c>
      <c r="K63" s="54">
        <f t="shared" si="13"/>
        <v>44700</v>
      </c>
      <c r="L63" s="54">
        <f t="shared" si="13"/>
        <v>0</v>
      </c>
      <c r="M63" s="54">
        <f t="shared" si="13"/>
        <v>14048841.68</v>
      </c>
      <c r="N63" s="54">
        <f t="shared" si="13"/>
        <v>14048841.68</v>
      </c>
      <c r="O63" s="54">
        <f t="shared" si="13"/>
        <v>1267088321.2700002</v>
      </c>
      <c r="P63" s="271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</row>
    <row r="64" spans="1:35" s="21" customFormat="1" ht="21.75" customHeight="1" x14ac:dyDescent="0.25">
      <c r="A64" s="22"/>
      <c r="B64" s="11"/>
      <c r="C64" s="11" t="s">
        <v>416</v>
      </c>
      <c r="D64" s="54">
        <f>D66+D72+D84+D101+D133+D141</f>
        <v>1124056900</v>
      </c>
      <c r="E64" s="54">
        <f t="shared" ref="E64:O64" si="14">E66+E72+E84+E101+E133+E141</f>
        <v>1124056900</v>
      </c>
      <c r="F64" s="54">
        <f t="shared" si="14"/>
        <v>0</v>
      </c>
      <c r="G64" s="54">
        <f t="shared" si="14"/>
        <v>0</v>
      </c>
      <c r="H64" s="54">
        <f t="shared" si="14"/>
        <v>0</v>
      </c>
      <c r="I64" s="54">
        <f t="shared" si="14"/>
        <v>12613549.68</v>
      </c>
      <c r="J64" s="54">
        <f t="shared" si="14"/>
        <v>0</v>
      </c>
      <c r="K64" s="54">
        <f t="shared" si="14"/>
        <v>0</v>
      </c>
      <c r="L64" s="54">
        <f t="shared" si="14"/>
        <v>0</v>
      </c>
      <c r="M64" s="54">
        <f t="shared" si="14"/>
        <v>12613549.68</v>
      </c>
      <c r="N64" s="54">
        <f t="shared" si="14"/>
        <v>12613549.68</v>
      </c>
      <c r="O64" s="54">
        <f t="shared" si="14"/>
        <v>1136670449.6800001</v>
      </c>
      <c r="P64" s="271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</row>
    <row r="65" spans="1:35" ht="67.5" customHeight="1" x14ac:dyDescent="0.25">
      <c r="A65" s="5" t="s">
        <v>515</v>
      </c>
      <c r="B65" s="13"/>
      <c r="C65" s="13" t="s">
        <v>521</v>
      </c>
      <c r="D65" s="50">
        <f t="shared" ref="D65:O65" si="15">D67+D69</f>
        <v>772232100</v>
      </c>
      <c r="E65" s="50">
        <f t="shared" si="15"/>
        <v>772232100</v>
      </c>
      <c r="F65" s="50">
        <f t="shared" si="15"/>
        <v>0</v>
      </c>
      <c r="G65" s="50">
        <f t="shared" si="15"/>
        <v>0</v>
      </c>
      <c r="H65" s="50">
        <f t="shared" si="15"/>
        <v>0</v>
      </c>
      <c r="I65" s="50">
        <f t="shared" si="15"/>
        <v>0</v>
      </c>
      <c r="J65" s="50">
        <f t="shared" si="15"/>
        <v>0</v>
      </c>
      <c r="K65" s="50">
        <f t="shared" si="15"/>
        <v>0</v>
      </c>
      <c r="L65" s="50">
        <f t="shared" si="15"/>
        <v>0</v>
      </c>
      <c r="M65" s="50">
        <f t="shared" si="15"/>
        <v>0</v>
      </c>
      <c r="N65" s="50">
        <f t="shared" si="15"/>
        <v>0</v>
      </c>
      <c r="O65" s="50">
        <f t="shared" si="15"/>
        <v>772232100</v>
      </c>
      <c r="P65" s="271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</row>
    <row r="66" spans="1:35" ht="21.75" customHeight="1" x14ac:dyDescent="0.25">
      <c r="B66" s="13"/>
      <c r="C66" s="13" t="s">
        <v>416</v>
      </c>
      <c r="D66" s="50">
        <f>D68+D70</f>
        <v>772232100</v>
      </c>
      <c r="E66" s="50">
        <f t="shared" ref="E66:O66" si="16">E68+E70</f>
        <v>772232100</v>
      </c>
      <c r="F66" s="50">
        <f t="shared" si="16"/>
        <v>0</v>
      </c>
      <c r="G66" s="50">
        <f t="shared" si="16"/>
        <v>0</v>
      </c>
      <c r="H66" s="50">
        <f t="shared" si="16"/>
        <v>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16"/>
        <v>0</v>
      </c>
      <c r="M66" s="50">
        <f t="shared" si="16"/>
        <v>0</v>
      </c>
      <c r="N66" s="50">
        <f t="shared" si="16"/>
        <v>0</v>
      </c>
      <c r="O66" s="50">
        <f t="shared" si="16"/>
        <v>772232100</v>
      </c>
      <c r="P66" s="271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</row>
    <row r="67" spans="1:35" s="8" customFormat="1" ht="49.5" customHeight="1" x14ac:dyDescent="0.25">
      <c r="A67" s="7" t="s">
        <v>516</v>
      </c>
      <c r="B67" s="138">
        <v>1030</v>
      </c>
      <c r="C67" s="14" t="s">
        <v>522</v>
      </c>
      <c r="D67" s="51">
        <f>'дод 3'!E138</f>
        <v>66261200</v>
      </c>
      <c r="E67" s="51">
        <f>'дод 3'!F138</f>
        <v>66261200</v>
      </c>
      <c r="F67" s="51">
        <f>'дод 3'!G138</f>
        <v>0</v>
      </c>
      <c r="G67" s="51">
        <f>'дод 3'!H138</f>
        <v>0</v>
      </c>
      <c r="H67" s="51">
        <f>'дод 3'!I138</f>
        <v>0</v>
      </c>
      <c r="I67" s="51">
        <f>'дод 3'!J138</f>
        <v>0</v>
      </c>
      <c r="J67" s="51">
        <f>'дод 3'!K138</f>
        <v>0</v>
      </c>
      <c r="K67" s="51">
        <f>'дод 3'!L138</f>
        <v>0</v>
      </c>
      <c r="L67" s="51">
        <f>'дод 3'!M138</f>
        <v>0</v>
      </c>
      <c r="M67" s="51">
        <f>'дод 3'!N138</f>
        <v>0</v>
      </c>
      <c r="N67" s="51">
        <f>'дод 3'!O138</f>
        <v>0</v>
      </c>
      <c r="O67" s="51">
        <f>'дод 3'!P138</f>
        <v>66261200</v>
      </c>
      <c r="P67" s="271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35" s="8" customFormat="1" ht="21.75" customHeight="1" x14ac:dyDescent="0.25">
      <c r="A68" s="7"/>
      <c r="B68" s="138"/>
      <c r="C68" s="14" t="s">
        <v>416</v>
      </c>
      <c r="D68" s="51">
        <f>'дод 3'!E139</f>
        <v>66261200</v>
      </c>
      <c r="E68" s="51">
        <f>'дод 3'!F139</f>
        <v>66261200</v>
      </c>
      <c r="F68" s="51">
        <f>'дод 3'!G139</f>
        <v>0</v>
      </c>
      <c r="G68" s="51">
        <f>'дод 3'!H139</f>
        <v>0</v>
      </c>
      <c r="H68" s="51">
        <f>'дод 3'!I139</f>
        <v>0</v>
      </c>
      <c r="I68" s="51">
        <f>'дод 3'!J139</f>
        <v>0</v>
      </c>
      <c r="J68" s="51">
        <f>'дод 3'!K139</f>
        <v>0</v>
      </c>
      <c r="K68" s="51">
        <f>'дод 3'!L139</f>
        <v>0</v>
      </c>
      <c r="L68" s="51">
        <f>'дод 3'!M139</f>
        <v>0</v>
      </c>
      <c r="M68" s="51">
        <f>'дод 3'!N139</f>
        <v>0</v>
      </c>
      <c r="N68" s="51">
        <f>'дод 3'!O139</f>
        <v>0</v>
      </c>
      <c r="O68" s="51">
        <f>'дод 3'!P139</f>
        <v>66261200</v>
      </c>
      <c r="P68" s="271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</row>
    <row r="69" spans="1:35" s="8" customFormat="1" ht="33" customHeight="1" x14ac:dyDescent="0.25">
      <c r="A69" s="7" t="s">
        <v>517</v>
      </c>
      <c r="B69" s="138">
        <v>1060</v>
      </c>
      <c r="C69" s="14" t="s">
        <v>523</v>
      </c>
      <c r="D69" s="51">
        <f>'дод 3'!E140</f>
        <v>705970900</v>
      </c>
      <c r="E69" s="51">
        <f>'дод 3'!F140</f>
        <v>705970900</v>
      </c>
      <c r="F69" s="51">
        <f>'дод 3'!G140</f>
        <v>0</v>
      </c>
      <c r="G69" s="51">
        <f>'дод 3'!H140</f>
        <v>0</v>
      </c>
      <c r="H69" s="51">
        <f>'дод 3'!I140</f>
        <v>0</v>
      </c>
      <c r="I69" s="51">
        <f>'дод 3'!J140</f>
        <v>0</v>
      </c>
      <c r="J69" s="51">
        <f>'дод 3'!K140</f>
        <v>0</v>
      </c>
      <c r="K69" s="51">
        <f>'дод 3'!L140</f>
        <v>0</v>
      </c>
      <c r="L69" s="51">
        <f>'дод 3'!M140</f>
        <v>0</v>
      </c>
      <c r="M69" s="51">
        <f>'дод 3'!N140</f>
        <v>0</v>
      </c>
      <c r="N69" s="51">
        <f>'дод 3'!O140</f>
        <v>0</v>
      </c>
      <c r="O69" s="51">
        <f>'дод 3'!P140</f>
        <v>705970900</v>
      </c>
      <c r="P69" s="271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</row>
    <row r="70" spans="1:35" s="8" customFormat="1" ht="21.75" customHeight="1" x14ac:dyDescent="0.25">
      <c r="A70" s="7"/>
      <c r="B70" s="14"/>
      <c r="C70" s="14" t="s">
        <v>416</v>
      </c>
      <c r="D70" s="51">
        <f>'дод 3'!E141</f>
        <v>705970900</v>
      </c>
      <c r="E70" s="51">
        <f>'дод 3'!F141</f>
        <v>705970900</v>
      </c>
      <c r="F70" s="51">
        <f>'дод 3'!G141</f>
        <v>0</v>
      </c>
      <c r="G70" s="51">
        <f>'дод 3'!H141</f>
        <v>0</v>
      </c>
      <c r="H70" s="51">
        <f>'дод 3'!I141</f>
        <v>0</v>
      </c>
      <c r="I70" s="51">
        <f>'дод 3'!J141</f>
        <v>0</v>
      </c>
      <c r="J70" s="51">
        <f>'дод 3'!K141</f>
        <v>0</v>
      </c>
      <c r="K70" s="51">
        <f>'дод 3'!L141</f>
        <v>0</v>
      </c>
      <c r="L70" s="51">
        <f>'дод 3'!M141</f>
        <v>0</v>
      </c>
      <c r="M70" s="51">
        <f>'дод 3'!N141</f>
        <v>0</v>
      </c>
      <c r="N70" s="51">
        <f>'дод 3'!O141</f>
        <v>0</v>
      </c>
      <c r="O70" s="51">
        <f>'дод 3'!P141</f>
        <v>705970900</v>
      </c>
      <c r="P70" s="271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</row>
    <row r="71" spans="1:35" ht="52.5" customHeight="1" x14ac:dyDescent="0.25">
      <c r="A71" s="5" t="s">
        <v>518</v>
      </c>
      <c r="B71" s="13"/>
      <c r="C71" s="13" t="s">
        <v>524</v>
      </c>
      <c r="D71" s="50">
        <f t="shared" ref="D71:O71" si="17">D73+D75</f>
        <v>375400</v>
      </c>
      <c r="E71" s="50">
        <f t="shared" si="17"/>
        <v>375400</v>
      </c>
      <c r="F71" s="50">
        <f t="shared" si="17"/>
        <v>0</v>
      </c>
      <c r="G71" s="50">
        <f t="shared" si="17"/>
        <v>0</v>
      </c>
      <c r="H71" s="50">
        <f t="shared" si="17"/>
        <v>0</v>
      </c>
      <c r="I71" s="50">
        <f t="shared" si="17"/>
        <v>0</v>
      </c>
      <c r="J71" s="50">
        <f t="shared" si="17"/>
        <v>0</v>
      </c>
      <c r="K71" s="50">
        <f t="shared" si="17"/>
        <v>0</v>
      </c>
      <c r="L71" s="50">
        <f t="shared" si="17"/>
        <v>0</v>
      </c>
      <c r="M71" s="50">
        <f t="shared" si="17"/>
        <v>0</v>
      </c>
      <c r="N71" s="50">
        <f t="shared" si="17"/>
        <v>0</v>
      </c>
      <c r="O71" s="50">
        <f t="shared" si="17"/>
        <v>375400</v>
      </c>
      <c r="P71" s="271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</row>
    <row r="72" spans="1:35" ht="21.75" customHeight="1" x14ac:dyDescent="0.25">
      <c r="B72" s="13"/>
      <c r="C72" s="13" t="s">
        <v>416</v>
      </c>
      <c r="D72" s="50">
        <f>D74+D76</f>
        <v>375400</v>
      </c>
      <c r="E72" s="50">
        <f t="shared" ref="E72:O72" si="18">E74+E76</f>
        <v>375400</v>
      </c>
      <c r="F72" s="50">
        <f t="shared" si="18"/>
        <v>0</v>
      </c>
      <c r="G72" s="50">
        <f t="shared" si="18"/>
        <v>0</v>
      </c>
      <c r="H72" s="50">
        <f t="shared" si="18"/>
        <v>0</v>
      </c>
      <c r="I72" s="50">
        <f t="shared" si="18"/>
        <v>0</v>
      </c>
      <c r="J72" s="50">
        <f t="shared" si="18"/>
        <v>0</v>
      </c>
      <c r="K72" s="50">
        <f t="shared" si="18"/>
        <v>0</v>
      </c>
      <c r="L72" s="50">
        <f t="shared" si="18"/>
        <v>0</v>
      </c>
      <c r="M72" s="50">
        <f t="shared" si="18"/>
        <v>0</v>
      </c>
      <c r="N72" s="50">
        <f t="shared" si="18"/>
        <v>0</v>
      </c>
      <c r="O72" s="50">
        <f t="shared" si="18"/>
        <v>375400</v>
      </c>
      <c r="P72" s="271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</row>
    <row r="73" spans="1:35" s="8" customFormat="1" ht="64.5" customHeight="1" x14ac:dyDescent="0.25">
      <c r="A73" s="7" t="s">
        <v>519</v>
      </c>
      <c r="B73" s="138">
        <v>1030</v>
      </c>
      <c r="C73" s="14" t="s">
        <v>525</v>
      </c>
      <c r="D73" s="51">
        <f>'дод 3'!E144</f>
        <v>57630</v>
      </c>
      <c r="E73" s="51">
        <f>'дод 3'!F144</f>
        <v>57630</v>
      </c>
      <c r="F73" s="51">
        <f>'дод 3'!G144</f>
        <v>0</v>
      </c>
      <c r="G73" s="51">
        <f>'дод 3'!H144</f>
        <v>0</v>
      </c>
      <c r="H73" s="51">
        <f>'дод 3'!I144</f>
        <v>0</v>
      </c>
      <c r="I73" s="51">
        <f>'дод 3'!J144</f>
        <v>0</v>
      </c>
      <c r="J73" s="51">
        <f>'дод 3'!K144</f>
        <v>0</v>
      </c>
      <c r="K73" s="51">
        <f>'дод 3'!L144</f>
        <v>0</v>
      </c>
      <c r="L73" s="51">
        <f>'дод 3'!M144</f>
        <v>0</v>
      </c>
      <c r="M73" s="51">
        <f>'дод 3'!N144</f>
        <v>0</v>
      </c>
      <c r="N73" s="51">
        <f>'дод 3'!O144</f>
        <v>0</v>
      </c>
      <c r="O73" s="51">
        <f>'дод 3'!P144</f>
        <v>57630</v>
      </c>
      <c r="P73" s="271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</row>
    <row r="74" spans="1:35" s="8" customFormat="1" ht="21.75" customHeight="1" x14ac:dyDescent="0.25">
      <c r="A74" s="7"/>
      <c r="B74" s="14"/>
      <c r="C74" s="14" t="s">
        <v>416</v>
      </c>
      <c r="D74" s="51">
        <f>'дод 3'!E145</f>
        <v>57630</v>
      </c>
      <c r="E74" s="51">
        <f>'дод 3'!F145</f>
        <v>57630</v>
      </c>
      <c r="F74" s="51">
        <f>'дод 3'!G145</f>
        <v>0</v>
      </c>
      <c r="G74" s="51">
        <f>'дод 3'!H145</f>
        <v>0</v>
      </c>
      <c r="H74" s="51">
        <f>'дод 3'!I145</f>
        <v>0</v>
      </c>
      <c r="I74" s="51">
        <f>'дод 3'!J145</f>
        <v>0</v>
      </c>
      <c r="J74" s="51">
        <f>'дод 3'!K145</f>
        <v>0</v>
      </c>
      <c r="K74" s="51">
        <f>'дод 3'!L145</f>
        <v>0</v>
      </c>
      <c r="L74" s="51">
        <f>'дод 3'!M145</f>
        <v>0</v>
      </c>
      <c r="M74" s="51">
        <f>'дод 3'!N145</f>
        <v>0</v>
      </c>
      <c r="N74" s="51">
        <f>'дод 3'!O145</f>
        <v>0</v>
      </c>
      <c r="O74" s="51">
        <f>'дод 3'!P145</f>
        <v>57630</v>
      </c>
      <c r="P74" s="271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</row>
    <row r="75" spans="1:35" s="8" customFormat="1" ht="55.5" customHeight="1" x14ac:dyDescent="0.25">
      <c r="A75" s="7" t="s">
        <v>520</v>
      </c>
      <c r="B75" s="138">
        <v>1060</v>
      </c>
      <c r="C75" s="14" t="s">
        <v>526</v>
      </c>
      <c r="D75" s="51">
        <f>'дод 3'!E146</f>
        <v>317770</v>
      </c>
      <c r="E75" s="51">
        <f>'дод 3'!F146</f>
        <v>317770</v>
      </c>
      <c r="F75" s="51">
        <f>'дод 3'!G146</f>
        <v>0</v>
      </c>
      <c r="G75" s="51">
        <f>'дод 3'!H146</f>
        <v>0</v>
      </c>
      <c r="H75" s="51">
        <f>'дод 3'!I146</f>
        <v>0</v>
      </c>
      <c r="I75" s="51">
        <f>'дод 3'!J146</f>
        <v>0</v>
      </c>
      <c r="J75" s="51">
        <f>'дод 3'!K146</f>
        <v>0</v>
      </c>
      <c r="K75" s="51">
        <f>'дод 3'!L146</f>
        <v>0</v>
      </c>
      <c r="L75" s="51">
        <f>'дод 3'!M146</f>
        <v>0</v>
      </c>
      <c r="M75" s="51">
        <f>'дод 3'!N146</f>
        <v>0</v>
      </c>
      <c r="N75" s="51">
        <f>'дод 3'!O146</f>
        <v>0</v>
      </c>
      <c r="O75" s="51">
        <f>'дод 3'!P146</f>
        <v>317770</v>
      </c>
      <c r="P75" s="271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</row>
    <row r="76" spans="1:35" s="8" customFormat="1" ht="21.75" customHeight="1" x14ac:dyDescent="0.25">
      <c r="A76" s="7"/>
      <c r="B76" s="14"/>
      <c r="C76" s="14" t="s">
        <v>416</v>
      </c>
      <c r="D76" s="51">
        <f>'дод 3'!E147</f>
        <v>317770</v>
      </c>
      <c r="E76" s="51">
        <f>'дод 3'!F147</f>
        <v>317770</v>
      </c>
      <c r="F76" s="51">
        <f>'дод 3'!G147</f>
        <v>0</v>
      </c>
      <c r="G76" s="51">
        <f>'дод 3'!H147</f>
        <v>0</v>
      </c>
      <c r="H76" s="51">
        <f>'дод 3'!I147</f>
        <v>0</v>
      </c>
      <c r="I76" s="51">
        <f>'дод 3'!J147</f>
        <v>0</v>
      </c>
      <c r="J76" s="51">
        <f>'дод 3'!K147</f>
        <v>0</v>
      </c>
      <c r="K76" s="51">
        <f>'дод 3'!L147</f>
        <v>0</v>
      </c>
      <c r="L76" s="51">
        <f>'дод 3'!M147</f>
        <v>0</v>
      </c>
      <c r="M76" s="51">
        <f>'дод 3'!N147</f>
        <v>0</v>
      </c>
      <c r="N76" s="51">
        <f>'дод 3'!O147</f>
        <v>0</v>
      </c>
      <c r="O76" s="51">
        <f>'дод 3'!P147</f>
        <v>317770</v>
      </c>
      <c r="P76" s="271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</row>
    <row r="77" spans="1:35" ht="63" x14ac:dyDescent="0.25">
      <c r="A77" s="5" t="s">
        <v>145</v>
      </c>
      <c r="B77" s="31"/>
      <c r="C77" s="13" t="s">
        <v>195</v>
      </c>
      <c r="D77" s="50">
        <f>D78+D79+D80+D82+D81</f>
        <v>57749724.890000001</v>
      </c>
      <c r="E77" s="50">
        <f t="shared" ref="E77:O77" si="19">E78+E79+E80+E82+E81</f>
        <v>57749724.890000001</v>
      </c>
      <c r="F77" s="50">
        <f t="shared" si="19"/>
        <v>0</v>
      </c>
      <c r="G77" s="50">
        <f t="shared" si="19"/>
        <v>0</v>
      </c>
      <c r="H77" s="50">
        <f t="shared" si="19"/>
        <v>0</v>
      </c>
      <c r="I77" s="50">
        <f t="shared" si="19"/>
        <v>245910</v>
      </c>
      <c r="J77" s="50">
        <f t="shared" si="19"/>
        <v>0</v>
      </c>
      <c r="K77" s="50">
        <f t="shared" si="19"/>
        <v>0</v>
      </c>
      <c r="L77" s="50">
        <f t="shared" si="19"/>
        <v>0</v>
      </c>
      <c r="M77" s="50">
        <f t="shared" si="19"/>
        <v>245910</v>
      </c>
      <c r="N77" s="50">
        <f t="shared" si="19"/>
        <v>245910</v>
      </c>
      <c r="O77" s="50">
        <f t="shared" si="19"/>
        <v>57995634.890000001</v>
      </c>
      <c r="P77" s="2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</row>
    <row r="78" spans="1:35" s="8" customFormat="1" ht="45" customHeight="1" x14ac:dyDescent="0.25">
      <c r="A78" s="7" t="s">
        <v>146</v>
      </c>
      <c r="B78" s="7" t="s">
        <v>87</v>
      </c>
      <c r="C78" s="14" t="s">
        <v>196</v>
      </c>
      <c r="D78" s="51">
        <f>'дод 3'!E149</f>
        <v>471502</v>
      </c>
      <c r="E78" s="51">
        <f>'дод 3'!F149</f>
        <v>471502</v>
      </c>
      <c r="F78" s="51">
        <f>'дод 3'!G149</f>
        <v>0</v>
      </c>
      <c r="G78" s="51">
        <f>'дод 3'!H149</f>
        <v>0</v>
      </c>
      <c r="H78" s="51">
        <f>'дод 3'!I149</f>
        <v>0</v>
      </c>
      <c r="I78" s="51">
        <f>'дод 3'!J149</f>
        <v>245910</v>
      </c>
      <c r="J78" s="51">
        <f>'дод 3'!K149</f>
        <v>0</v>
      </c>
      <c r="K78" s="51">
        <f>'дод 3'!L149</f>
        <v>0</v>
      </c>
      <c r="L78" s="51">
        <f>'дод 3'!M149</f>
        <v>0</v>
      </c>
      <c r="M78" s="51">
        <f>'дод 3'!N149</f>
        <v>245910</v>
      </c>
      <c r="N78" s="51">
        <f>'дод 3'!O149</f>
        <v>245910</v>
      </c>
      <c r="O78" s="51">
        <f>'дод 3'!P149</f>
        <v>717412</v>
      </c>
      <c r="P78" s="271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</row>
    <row r="79" spans="1:35" s="8" customFormat="1" ht="32.25" customHeight="1" x14ac:dyDescent="0.25">
      <c r="A79" s="7" t="s">
        <v>198</v>
      </c>
      <c r="B79" s="7" t="s">
        <v>89</v>
      </c>
      <c r="C79" s="14" t="s">
        <v>197</v>
      </c>
      <c r="D79" s="51">
        <f>'дод 3'!E150</f>
        <v>1541402</v>
      </c>
      <c r="E79" s="51">
        <f>'дод 3'!F150</f>
        <v>1541402</v>
      </c>
      <c r="F79" s="51">
        <f>'дод 3'!G150</f>
        <v>0</v>
      </c>
      <c r="G79" s="51">
        <f>'дод 3'!H150</f>
        <v>0</v>
      </c>
      <c r="H79" s="51">
        <f>'дод 3'!I150</f>
        <v>0</v>
      </c>
      <c r="I79" s="51">
        <f>'дод 3'!J150</f>
        <v>0</v>
      </c>
      <c r="J79" s="51">
        <f>'дод 3'!K150</f>
        <v>0</v>
      </c>
      <c r="K79" s="51">
        <f>'дод 3'!L150</f>
        <v>0</v>
      </c>
      <c r="L79" s="51">
        <f>'дод 3'!M150</f>
        <v>0</v>
      </c>
      <c r="M79" s="51">
        <f>'дод 3'!N150</f>
        <v>0</v>
      </c>
      <c r="N79" s="51">
        <f>'дод 3'!O150</f>
        <v>0</v>
      </c>
      <c r="O79" s="51">
        <f>'дод 3'!P150</f>
        <v>1541402</v>
      </c>
      <c r="P79" s="271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</row>
    <row r="80" spans="1:35" s="8" customFormat="1" ht="54.75" customHeight="1" x14ac:dyDescent="0.25">
      <c r="A80" s="7" t="s">
        <v>147</v>
      </c>
      <c r="B80" s="7" t="s">
        <v>89</v>
      </c>
      <c r="C80" s="14" t="s">
        <v>74</v>
      </c>
      <c r="D80" s="51">
        <f>'дод 3'!E151+'дод 3'!E18</f>
        <v>17917094.890000001</v>
      </c>
      <c r="E80" s="51">
        <f>'дод 3'!F151+'дод 3'!F18</f>
        <v>17917094.890000001</v>
      </c>
      <c r="F80" s="51">
        <f>'дод 3'!G151+'дод 3'!G18</f>
        <v>0</v>
      </c>
      <c r="G80" s="51">
        <f>'дод 3'!H151+'дод 3'!H18</f>
        <v>0</v>
      </c>
      <c r="H80" s="51">
        <f>'дод 3'!I151+'дод 3'!I18</f>
        <v>0</v>
      </c>
      <c r="I80" s="51">
        <f>'дод 3'!J151+'дод 3'!J18</f>
        <v>0</v>
      </c>
      <c r="J80" s="51">
        <f>'дод 3'!K151+'дод 3'!K18</f>
        <v>0</v>
      </c>
      <c r="K80" s="51">
        <f>'дод 3'!L151+'дод 3'!L18</f>
        <v>0</v>
      </c>
      <c r="L80" s="51">
        <f>'дод 3'!M151+'дод 3'!M18</f>
        <v>0</v>
      </c>
      <c r="M80" s="51">
        <f>'дод 3'!N151+'дод 3'!N18</f>
        <v>0</v>
      </c>
      <c r="N80" s="51">
        <f>'дод 3'!O151+'дод 3'!O18</f>
        <v>0</v>
      </c>
      <c r="O80" s="51">
        <f>'дод 3'!P151+'дод 3'!P18</f>
        <v>17917094.890000001</v>
      </c>
      <c r="P80" s="271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</row>
    <row r="81" spans="1:35" s="8" customFormat="1" ht="54.75" customHeight="1" x14ac:dyDescent="0.25">
      <c r="A81" s="7" t="s">
        <v>595</v>
      </c>
      <c r="B81" s="7" t="s">
        <v>89</v>
      </c>
      <c r="C81" s="14" t="s">
        <v>594</v>
      </c>
      <c r="D81" s="51">
        <f>'дод 3'!E152</f>
        <v>3000000</v>
      </c>
      <c r="E81" s="51">
        <f>'дод 3'!F152</f>
        <v>3000000</v>
      </c>
      <c r="F81" s="51">
        <f>'дод 3'!G152</f>
        <v>0</v>
      </c>
      <c r="G81" s="51">
        <f>'дод 3'!H152</f>
        <v>0</v>
      </c>
      <c r="H81" s="51">
        <f>'дод 3'!I152</f>
        <v>0</v>
      </c>
      <c r="I81" s="51">
        <f>'дод 3'!J152</f>
        <v>0</v>
      </c>
      <c r="J81" s="51">
        <f>'дод 3'!K152</f>
        <v>0</v>
      </c>
      <c r="K81" s="51">
        <f>'дод 3'!L152</f>
        <v>0</v>
      </c>
      <c r="L81" s="51">
        <f>'дод 3'!M152</f>
        <v>0</v>
      </c>
      <c r="M81" s="51">
        <f>'дод 3'!N152</f>
        <v>0</v>
      </c>
      <c r="N81" s="51">
        <f>'дод 3'!O152</f>
        <v>0</v>
      </c>
      <c r="O81" s="51">
        <f>'дод 3'!P152</f>
        <v>3000000</v>
      </c>
      <c r="P81" s="271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</row>
    <row r="82" spans="1:35" s="8" customFormat="1" ht="58.5" customHeight="1" x14ac:dyDescent="0.25">
      <c r="A82" s="7" t="s">
        <v>199</v>
      </c>
      <c r="B82" s="7" t="s">
        <v>89</v>
      </c>
      <c r="C82" s="14" t="s">
        <v>37</v>
      </c>
      <c r="D82" s="51">
        <f>'дод 3'!E153+'дод 3'!E19</f>
        <v>34819726</v>
      </c>
      <c r="E82" s="51">
        <f>'дод 3'!F153+'дод 3'!F19</f>
        <v>34819726</v>
      </c>
      <c r="F82" s="51">
        <f>'дод 3'!G153+'дод 3'!G19</f>
        <v>0</v>
      </c>
      <c r="G82" s="51">
        <f>'дод 3'!H153+'дод 3'!H19</f>
        <v>0</v>
      </c>
      <c r="H82" s="51">
        <f>'дод 3'!I153+'дод 3'!I19</f>
        <v>0</v>
      </c>
      <c r="I82" s="51">
        <f>'дод 3'!J153+'дод 3'!J19</f>
        <v>0</v>
      </c>
      <c r="J82" s="51">
        <f>'дод 3'!K153+'дод 3'!K19</f>
        <v>0</v>
      </c>
      <c r="K82" s="51">
        <f>'дод 3'!L153+'дод 3'!L19</f>
        <v>0</v>
      </c>
      <c r="L82" s="51">
        <f>'дод 3'!M153+'дод 3'!M19</f>
        <v>0</v>
      </c>
      <c r="M82" s="51">
        <f>'дод 3'!N153+'дод 3'!N19</f>
        <v>0</v>
      </c>
      <c r="N82" s="51">
        <f>'дод 3'!O153+'дод 3'!O19</f>
        <v>0</v>
      </c>
      <c r="O82" s="51">
        <f>'дод 3'!P153+'дод 3'!P19</f>
        <v>34819726</v>
      </c>
      <c r="P82" s="271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</row>
    <row r="83" spans="1:35" ht="39" customHeight="1" x14ac:dyDescent="0.25">
      <c r="A83" s="5" t="s">
        <v>533</v>
      </c>
      <c r="B83" s="5"/>
      <c r="C83" s="13" t="s">
        <v>541</v>
      </c>
      <c r="D83" s="50">
        <f t="shared" ref="D83:O83" si="20">D85+D87+D89+D91+D93+D95+D97</f>
        <v>257256180</v>
      </c>
      <c r="E83" s="50">
        <f t="shared" si="20"/>
        <v>257256180</v>
      </c>
      <c r="F83" s="50">
        <f t="shared" si="20"/>
        <v>0</v>
      </c>
      <c r="G83" s="50">
        <f t="shared" si="20"/>
        <v>0</v>
      </c>
      <c r="H83" s="50">
        <f t="shared" si="20"/>
        <v>0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257256180</v>
      </c>
      <c r="P83" s="271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</row>
    <row r="84" spans="1:35" ht="24" customHeight="1" x14ac:dyDescent="0.25">
      <c r="B84" s="5"/>
      <c r="C84" s="13" t="s">
        <v>416</v>
      </c>
      <c r="D84" s="50">
        <f t="shared" ref="D84:O84" si="21">D86+D88+D90+D92+D94+D96+D98</f>
        <v>257256180</v>
      </c>
      <c r="E84" s="50">
        <f t="shared" si="21"/>
        <v>257256180</v>
      </c>
      <c r="F84" s="50">
        <f t="shared" si="21"/>
        <v>0</v>
      </c>
      <c r="G84" s="50">
        <f t="shared" si="21"/>
        <v>0</v>
      </c>
      <c r="H84" s="50">
        <f t="shared" si="21"/>
        <v>0</v>
      </c>
      <c r="I84" s="50">
        <f t="shared" si="21"/>
        <v>0</v>
      </c>
      <c r="J84" s="50">
        <f t="shared" si="21"/>
        <v>0</v>
      </c>
      <c r="K84" s="50">
        <f t="shared" si="21"/>
        <v>0</v>
      </c>
      <c r="L84" s="50">
        <f t="shared" si="21"/>
        <v>0</v>
      </c>
      <c r="M84" s="50">
        <f t="shared" si="21"/>
        <v>0</v>
      </c>
      <c r="N84" s="50">
        <f t="shared" si="21"/>
        <v>0</v>
      </c>
      <c r="O84" s="50">
        <f t="shared" si="21"/>
        <v>257256180</v>
      </c>
      <c r="P84" s="271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</row>
    <row r="85" spans="1:35" s="8" customFormat="1" ht="27" customHeight="1" x14ac:dyDescent="0.25">
      <c r="A85" s="7" t="s">
        <v>534</v>
      </c>
      <c r="B85" s="7" t="s">
        <v>148</v>
      </c>
      <c r="C85" s="14" t="s">
        <v>542</v>
      </c>
      <c r="D85" s="51">
        <f>'дод 3'!E156</f>
        <v>3598320</v>
      </c>
      <c r="E85" s="51">
        <f>'дод 3'!F156</f>
        <v>3598320</v>
      </c>
      <c r="F85" s="51">
        <f>'дод 3'!G156</f>
        <v>0</v>
      </c>
      <c r="G85" s="51">
        <f>'дод 3'!H156</f>
        <v>0</v>
      </c>
      <c r="H85" s="51">
        <f>'дод 3'!I156</f>
        <v>0</v>
      </c>
      <c r="I85" s="51">
        <f>'дод 3'!J156</f>
        <v>0</v>
      </c>
      <c r="J85" s="51">
        <f>'дод 3'!K156</f>
        <v>0</v>
      </c>
      <c r="K85" s="51">
        <f>'дод 3'!L156</f>
        <v>0</v>
      </c>
      <c r="L85" s="51">
        <f>'дод 3'!M156</f>
        <v>0</v>
      </c>
      <c r="M85" s="51">
        <f>'дод 3'!N156</f>
        <v>0</v>
      </c>
      <c r="N85" s="51">
        <f>'дод 3'!O156</f>
        <v>0</v>
      </c>
      <c r="O85" s="51">
        <f>'дод 3'!P156</f>
        <v>3598320</v>
      </c>
      <c r="P85" s="271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</row>
    <row r="86" spans="1:35" s="8" customFormat="1" ht="16.5" customHeight="1" x14ac:dyDescent="0.25">
      <c r="A86" s="7"/>
      <c r="B86" s="7"/>
      <c r="C86" s="14" t="s">
        <v>416</v>
      </c>
      <c r="D86" s="51">
        <f>'дод 3'!E157</f>
        <v>3598320</v>
      </c>
      <c r="E86" s="51">
        <f>'дод 3'!F157</f>
        <v>3598320</v>
      </c>
      <c r="F86" s="51">
        <f>'дод 3'!G157</f>
        <v>0</v>
      </c>
      <c r="G86" s="51">
        <f>'дод 3'!H157</f>
        <v>0</v>
      </c>
      <c r="H86" s="51">
        <f>'дод 3'!I157</f>
        <v>0</v>
      </c>
      <c r="I86" s="51">
        <f>'дод 3'!J157</f>
        <v>0</v>
      </c>
      <c r="J86" s="51">
        <f>'дод 3'!K157</f>
        <v>0</v>
      </c>
      <c r="K86" s="51">
        <f>'дод 3'!L157</f>
        <v>0</v>
      </c>
      <c r="L86" s="51">
        <f>'дод 3'!M157</f>
        <v>0</v>
      </c>
      <c r="M86" s="51">
        <f>'дод 3'!N157</f>
        <v>0</v>
      </c>
      <c r="N86" s="51">
        <f>'дод 3'!O157</f>
        <v>0</v>
      </c>
      <c r="O86" s="51">
        <f>'дод 3'!P157</f>
        <v>3598320</v>
      </c>
      <c r="P86" s="271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</row>
    <row r="87" spans="1:35" s="8" customFormat="1" ht="27" customHeight="1" x14ac:dyDescent="0.25">
      <c r="A87" s="7" t="s">
        <v>535</v>
      </c>
      <c r="B87" s="7" t="s">
        <v>148</v>
      </c>
      <c r="C87" s="14" t="s">
        <v>543</v>
      </c>
      <c r="D87" s="51">
        <f>'дод 3'!E158</f>
        <v>529760</v>
      </c>
      <c r="E87" s="51">
        <f>'дод 3'!F158</f>
        <v>529760</v>
      </c>
      <c r="F87" s="51">
        <f>'дод 3'!G158</f>
        <v>0</v>
      </c>
      <c r="G87" s="51">
        <f>'дод 3'!H158</f>
        <v>0</v>
      </c>
      <c r="H87" s="51">
        <f>'дод 3'!I158</f>
        <v>0</v>
      </c>
      <c r="I87" s="51">
        <f>'дод 3'!J158</f>
        <v>0</v>
      </c>
      <c r="J87" s="51">
        <f>'дод 3'!K158</f>
        <v>0</v>
      </c>
      <c r="K87" s="51">
        <f>'дод 3'!L158</f>
        <v>0</v>
      </c>
      <c r="L87" s="51">
        <f>'дод 3'!M158</f>
        <v>0</v>
      </c>
      <c r="M87" s="51">
        <f>'дод 3'!N158</f>
        <v>0</v>
      </c>
      <c r="N87" s="51">
        <f>'дод 3'!O158</f>
        <v>0</v>
      </c>
      <c r="O87" s="51">
        <f>'дод 3'!P158</f>
        <v>529760</v>
      </c>
      <c r="P87" s="271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</row>
    <row r="88" spans="1:35" s="8" customFormat="1" ht="15.75" customHeight="1" x14ac:dyDescent="0.25">
      <c r="A88" s="7"/>
      <c r="B88" s="7"/>
      <c r="C88" s="14" t="s">
        <v>416</v>
      </c>
      <c r="D88" s="51">
        <f>'дод 3'!E159</f>
        <v>529760</v>
      </c>
      <c r="E88" s="51">
        <f>'дод 3'!F159</f>
        <v>529760</v>
      </c>
      <c r="F88" s="51">
        <f>'дод 3'!G159</f>
        <v>0</v>
      </c>
      <c r="G88" s="51">
        <f>'дод 3'!H159</f>
        <v>0</v>
      </c>
      <c r="H88" s="51">
        <f>'дод 3'!I159</f>
        <v>0</v>
      </c>
      <c r="I88" s="51">
        <f>'дод 3'!J159</f>
        <v>0</v>
      </c>
      <c r="J88" s="51">
        <f>'дод 3'!K159</f>
        <v>0</v>
      </c>
      <c r="K88" s="51">
        <f>'дод 3'!L159</f>
        <v>0</v>
      </c>
      <c r="L88" s="51">
        <f>'дод 3'!M159</f>
        <v>0</v>
      </c>
      <c r="M88" s="51">
        <f>'дод 3'!N159</f>
        <v>0</v>
      </c>
      <c r="N88" s="51">
        <f>'дод 3'!O159</f>
        <v>0</v>
      </c>
      <c r="O88" s="51">
        <f>'дод 3'!P159</f>
        <v>529760</v>
      </c>
      <c r="P88" s="271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</row>
    <row r="89" spans="1:35" s="8" customFormat="1" ht="27" customHeight="1" x14ac:dyDescent="0.25">
      <c r="A89" s="7" t="s">
        <v>536</v>
      </c>
      <c r="B89" s="7" t="s">
        <v>148</v>
      </c>
      <c r="C89" s="14" t="s">
        <v>544</v>
      </c>
      <c r="D89" s="51">
        <f>'дод 3'!E160</f>
        <v>134165700</v>
      </c>
      <c r="E89" s="51">
        <f>'дод 3'!F160</f>
        <v>134165700</v>
      </c>
      <c r="F89" s="51">
        <f>'дод 3'!G160</f>
        <v>0</v>
      </c>
      <c r="G89" s="51">
        <f>'дод 3'!H160</f>
        <v>0</v>
      </c>
      <c r="H89" s="51">
        <f>'дод 3'!I160</f>
        <v>0</v>
      </c>
      <c r="I89" s="51">
        <f>'дод 3'!J160</f>
        <v>0</v>
      </c>
      <c r="J89" s="51">
        <f>'дод 3'!K160</f>
        <v>0</v>
      </c>
      <c r="K89" s="51">
        <f>'дод 3'!L160</f>
        <v>0</v>
      </c>
      <c r="L89" s="51">
        <f>'дод 3'!M160</f>
        <v>0</v>
      </c>
      <c r="M89" s="51">
        <f>'дод 3'!N160</f>
        <v>0</v>
      </c>
      <c r="N89" s="51">
        <f>'дод 3'!O160</f>
        <v>0</v>
      </c>
      <c r="O89" s="51">
        <f>'дод 3'!P160</f>
        <v>134165700</v>
      </c>
      <c r="P89" s="271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</row>
    <row r="90" spans="1:35" s="8" customFormat="1" ht="16.5" customHeight="1" x14ac:dyDescent="0.25">
      <c r="A90" s="7"/>
      <c r="B90" s="7"/>
      <c r="C90" s="14" t="s">
        <v>416</v>
      </c>
      <c r="D90" s="51">
        <f>'дод 3'!E161</f>
        <v>134165700</v>
      </c>
      <c r="E90" s="51">
        <f>'дод 3'!F161</f>
        <v>134165700</v>
      </c>
      <c r="F90" s="51">
        <f>'дод 3'!G161</f>
        <v>0</v>
      </c>
      <c r="G90" s="51">
        <f>'дод 3'!H161</f>
        <v>0</v>
      </c>
      <c r="H90" s="51">
        <f>'дод 3'!I161</f>
        <v>0</v>
      </c>
      <c r="I90" s="51">
        <f>'дод 3'!J161</f>
        <v>0</v>
      </c>
      <c r="J90" s="51">
        <f>'дод 3'!K161</f>
        <v>0</v>
      </c>
      <c r="K90" s="51">
        <f>'дод 3'!L161</f>
        <v>0</v>
      </c>
      <c r="L90" s="51">
        <f>'дод 3'!M161</f>
        <v>0</v>
      </c>
      <c r="M90" s="51">
        <f>'дод 3'!N161</f>
        <v>0</v>
      </c>
      <c r="N90" s="51">
        <f>'дод 3'!O161</f>
        <v>0</v>
      </c>
      <c r="O90" s="51">
        <f>'дод 3'!P161</f>
        <v>134165700</v>
      </c>
      <c r="P90" s="271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</row>
    <row r="91" spans="1:35" s="8" customFormat="1" ht="36" customHeight="1" x14ac:dyDescent="0.25">
      <c r="A91" s="7" t="s">
        <v>537</v>
      </c>
      <c r="B91" s="7" t="s">
        <v>148</v>
      </c>
      <c r="C91" s="14" t="s">
        <v>545</v>
      </c>
      <c r="D91" s="51">
        <f>'дод 3'!E162</f>
        <v>10265200</v>
      </c>
      <c r="E91" s="51">
        <f>'дод 3'!F162</f>
        <v>10265200</v>
      </c>
      <c r="F91" s="51">
        <f>'дод 3'!G162</f>
        <v>0</v>
      </c>
      <c r="G91" s="51">
        <f>'дод 3'!H162</f>
        <v>0</v>
      </c>
      <c r="H91" s="51">
        <f>'дод 3'!I162</f>
        <v>0</v>
      </c>
      <c r="I91" s="51">
        <f>'дод 3'!J162</f>
        <v>0</v>
      </c>
      <c r="J91" s="51">
        <f>'дод 3'!K162</f>
        <v>0</v>
      </c>
      <c r="K91" s="51">
        <f>'дод 3'!L162</f>
        <v>0</v>
      </c>
      <c r="L91" s="51">
        <f>'дод 3'!M162</f>
        <v>0</v>
      </c>
      <c r="M91" s="51">
        <f>'дод 3'!N162</f>
        <v>0</v>
      </c>
      <c r="N91" s="51">
        <f>'дод 3'!O162</f>
        <v>0</v>
      </c>
      <c r="O91" s="51">
        <f>'дод 3'!P162</f>
        <v>10265200</v>
      </c>
      <c r="P91" s="271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</row>
    <row r="92" spans="1:35" s="8" customFormat="1" ht="15" customHeight="1" x14ac:dyDescent="0.25">
      <c r="A92" s="7"/>
      <c r="B92" s="7"/>
      <c r="C92" s="14" t="s">
        <v>416</v>
      </c>
      <c r="D92" s="51">
        <f>'дод 3'!E163</f>
        <v>10265200</v>
      </c>
      <c r="E92" s="51">
        <f>'дод 3'!F163</f>
        <v>10265200</v>
      </c>
      <c r="F92" s="51">
        <f>'дод 3'!G163</f>
        <v>0</v>
      </c>
      <c r="G92" s="51">
        <f>'дод 3'!H163</f>
        <v>0</v>
      </c>
      <c r="H92" s="51">
        <f>'дод 3'!I163</f>
        <v>0</v>
      </c>
      <c r="I92" s="51">
        <f>'дод 3'!J163</f>
        <v>0</v>
      </c>
      <c r="J92" s="51">
        <f>'дод 3'!K163</f>
        <v>0</v>
      </c>
      <c r="K92" s="51">
        <f>'дод 3'!L163</f>
        <v>0</v>
      </c>
      <c r="L92" s="51">
        <f>'дод 3'!M163</f>
        <v>0</v>
      </c>
      <c r="M92" s="51">
        <f>'дод 3'!N163</f>
        <v>0</v>
      </c>
      <c r="N92" s="51">
        <f>'дод 3'!O163</f>
        <v>0</v>
      </c>
      <c r="O92" s="51">
        <f>'дод 3'!P163</f>
        <v>10265200</v>
      </c>
      <c r="P92" s="271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</row>
    <row r="93" spans="1:35" s="8" customFormat="1" ht="27" customHeight="1" x14ac:dyDescent="0.25">
      <c r="A93" s="7" t="s">
        <v>538</v>
      </c>
      <c r="B93" s="7" t="s">
        <v>148</v>
      </c>
      <c r="C93" s="14" t="s">
        <v>546</v>
      </c>
      <c r="D93" s="51">
        <f>'дод 3'!E164</f>
        <v>50421240</v>
      </c>
      <c r="E93" s="51">
        <f>'дод 3'!F164</f>
        <v>50421240</v>
      </c>
      <c r="F93" s="51">
        <f>'дод 3'!G164</f>
        <v>0</v>
      </c>
      <c r="G93" s="51">
        <f>'дод 3'!H164</f>
        <v>0</v>
      </c>
      <c r="H93" s="51">
        <f>'дод 3'!I164</f>
        <v>0</v>
      </c>
      <c r="I93" s="51">
        <f>'дод 3'!J164</f>
        <v>0</v>
      </c>
      <c r="J93" s="51">
        <f>'дод 3'!K164</f>
        <v>0</v>
      </c>
      <c r="K93" s="51">
        <f>'дод 3'!L164</f>
        <v>0</v>
      </c>
      <c r="L93" s="51">
        <f>'дод 3'!M164</f>
        <v>0</v>
      </c>
      <c r="M93" s="51">
        <f>'дод 3'!N164</f>
        <v>0</v>
      </c>
      <c r="N93" s="51">
        <f>'дод 3'!O164</f>
        <v>0</v>
      </c>
      <c r="O93" s="51">
        <f>'дод 3'!P164</f>
        <v>50421240</v>
      </c>
      <c r="P93" s="271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</row>
    <row r="94" spans="1:35" s="8" customFormat="1" ht="17.25" customHeight="1" x14ac:dyDescent="0.25">
      <c r="A94" s="7"/>
      <c r="B94" s="7"/>
      <c r="C94" s="14" t="s">
        <v>416</v>
      </c>
      <c r="D94" s="51">
        <f>'дод 3'!E165</f>
        <v>50421240</v>
      </c>
      <c r="E94" s="51">
        <f>'дод 3'!F165</f>
        <v>50421240</v>
      </c>
      <c r="F94" s="51">
        <f>'дод 3'!G165</f>
        <v>0</v>
      </c>
      <c r="G94" s="51">
        <f>'дод 3'!H165</f>
        <v>0</v>
      </c>
      <c r="H94" s="51">
        <f>'дод 3'!I165</f>
        <v>0</v>
      </c>
      <c r="I94" s="51">
        <f>'дод 3'!J165</f>
        <v>0</v>
      </c>
      <c r="J94" s="51">
        <f>'дод 3'!K165</f>
        <v>0</v>
      </c>
      <c r="K94" s="51">
        <f>'дод 3'!L165</f>
        <v>0</v>
      </c>
      <c r="L94" s="51">
        <f>'дод 3'!M165</f>
        <v>0</v>
      </c>
      <c r="M94" s="51">
        <f>'дод 3'!N165</f>
        <v>0</v>
      </c>
      <c r="N94" s="51">
        <f>'дод 3'!O165</f>
        <v>0</v>
      </c>
      <c r="O94" s="51">
        <f>'дод 3'!P165</f>
        <v>50421240</v>
      </c>
      <c r="P94" s="271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</row>
    <row r="95" spans="1:35" s="8" customFormat="1" ht="27" customHeight="1" x14ac:dyDescent="0.25">
      <c r="A95" s="7" t="s">
        <v>539</v>
      </c>
      <c r="B95" s="7" t="s">
        <v>148</v>
      </c>
      <c r="C95" s="14" t="s">
        <v>547</v>
      </c>
      <c r="D95" s="51">
        <f>'дод 3'!E166</f>
        <v>2245360</v>
      </c>
      <c r="E95" s="51">
        <f>'дод 3'!F166</f>
        <v>2245360</v>
      </c>
      <c r="F95" s="51">
        <f>'дод 3'!G166</f>
        <v>0</v>
      </c>
      <c r="G95" s="51">
        <f>'дод 3'!H166</f>
        <v>0</v>
      </c>
      <c r="H95" s="51">
        <f>'дод 3'!I166</f>
        <v>0</v>
      </c>
      <c r="I95" s="51">
        <f>'дод 3'!J166</f>
        <v>0</v>
      </c>
      <c r="J95" s="51">
        <f>'дод 3'!K166</f>
        <v>0</v>
      </c>
      <c r="K95" s="51">
        <f>'дод 3'!L166</f>
        <v>0</v>
      </c>
      <c r="L95" s="51">
        <f>'дод 3'!M166</f>
        <v>0</v>
      </c>
      <c r="M95" s="51">
        <f>'дод 3'!N166</f>
        <v>0</v>
      </c>
      <c r="N95" s="51">
        <f>'дод 3'!O166</f>
        <v>0</v>
      </c>
      <c r="O95" s="51">
        <f>'дод 3'!P166</f>
        <v>2245360</v>
      </c>
      <c r="P95" s="271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</row>
    <row r="96" spans="1:35" s="8" customFormat="1" ht="16.5" customHeight="1" x14ac:dyDescent="0.25">
      <c r="A96" s="7"/>
      <c r="B96" s="7"/>
      <c r="C96" s="14" t="s">
        <v>416</v>
      </c>
      <c r="D96" s="51">
        <f>'дод 3'!E167</f>
        <v>2245360</v>
      </c>
      <c r="E96" s="51">
        <f>'дод 3'!F167</f>
        <v>2245360</v>
      </c>
      <c r="F96" s="51">
        <f>'дод 3'!G167</f>
        <v>0</v>
      </c>
      <c r="G96" s="51">
        <f>'дод 3'!H167</f>
        <v>0</v>
      </c>
      <c r="H96" s="51">
        <f>'дод 3'!I167</f>
        <v>0</v>
      </c>
      <c r="I96" s="51">
        <f>'дод 3'!J167</f>
        <v>0</v>
      </c>
      <c r="J96" s="51">
        <f>'дод 3'!K167</f>
        <v>0</v>
      </c>
      <c r="K96" s="51">
        <f>'дод 3'!L167</f>
        <v>0</v>
      </c>
      <c r="L96" s="51">
        <f>'дод 3'!M167</f>
        <v>0</v>
      </c>
      <c r="M96" s="51">
        <f>'дод 3'!N167</f>
        <v>0</v>
      </c>
      <c r="N96" s="51">
        <f>'дод 3'!O167</f>
        <v>0</v>
      </c>
      <c r="O96" s="51">
        <f>'дод 3'!P167</f>
        <v>2245360</v>
      </c>
      <c r="P96" s="271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</row>
    <row r="97" spans="1:35" s="8" customFormat="1" ht="32.25" customHeight="1" x14ac:dyDescent="0.25">
      <c r="A97" s="7" t="s">
        <v>540</v>
      </c>
      <c r="B97" s="7" t="s">
        <v>148</v>
      </c>
      <c r="C97" s="14" t="s">
        <v>548</v>
      </c>
      <c r="D97" s="51">
        <f>'дод 3'!E168</f>
        <v>56030600</v>
      </c>
      <c r="E97" s="51">
        <f>'дод 3'!F168</f>
        <v>56030600</v>
      </c>
      <c r="F97" s="51">
        <f>'дод 3'!G168</f>
        <v>0</v>
      </c>
      <c r="G97" s="51">
        <f>'дод 3'!H168</f>
        <v>0</v>
      </c>
      <c r="H97" s="51">
        <f>'дод 3'!I168</f>
        <v>0</v>
      </c>
      <c r="I97" s="51">
        <f>'дод 3'!J168</f>
        <v>0</v>
      </c>
      <c r="J97" s="51">
        <f>'дод 3'!K168</f>
        <v>0</v>
      </c>
      <c r="K97" s="51">
        <f>'дод 3'!L168</f>
        <v>0</v>
      </c>
      <c r="L97" s="51">
        <f>'дод 3'!M168</f>
        <v>0</v>
      </c>
      <c r="M97" s="51">
        <f>'дод 3'!N168</f>
        <v>0</v>
      </c>
      <c r="N97" s="51">
        <f>'дод 3'!O168</f>
        <v>0</v>
      </c>
      <c r="O97" s="51">
        <f>'дод 3'!P168</f>
        <v>56030600</v>
      </c>
      <c r="P97" s="271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</row>
    <row r="98" spans="1:35" s="8" customFormat="1" ht="22.5" customHeight="1" x14ac:dyDescent="0.25">
      <c r="A98" s="7"/>
      <c r="B98" s="7"/>
      <c r="C98" s="14" t="s">
        <v>416</v>
      </c>
      <c r="D98" s="51">
        <f>'дод 3'!E169</f>
        <v>56030600</v>
      </c>
      <c r="E98" s="51">
        <f>'дод 3'!F169</f>
        <v>56030600</v>
      </c>
      <c r="F98" s="51">
        <f>'дод 3'!G169</f>
        <v>0</v>
      </c>
      <c r="G98" s="51">
        <f>'дод 3'!H169</f>
        <v>0</v>
      </c>
      <c r="H98" s="51">
        <f>'дод 3'!I169</f>
        <v>0</v>
      </c>
      <c r="I98" s="51">
        <f>'дод 3'!J169</f>
        <v>0</v>
      </c>
      <c r="J98" s="51">
        <f>'дод 3'!K169</f>
        <v>0</v>
      </c>
      <c r="K98" s="51">
        <f>'дод 3'!L169</f>
        <v>0</v>
      </c>
      <c r="L98" s="51">
        <f>'дод 3'!M169</f>
        <v>0</v>
      </c>
      <c r="M98" s="51">
        <f>'дод 3'!N169</f>
        <v>0</v>
      </c>
      <c r="N98" s="51">
        <f>'дод 3'!O169</f>
        <v>0</v>
      </c>
      <c r="O98" s="51">
        <f>'дод 3'!P169</f>
        <v>56030600</v>
      </c>
      <c r="P98" s="271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</row>
    <row r="99" spans="1:35" ht="40.5" customHeight="1" x14ac:dyDescent="0.25">
      <c r="A99" s="5" t="s">
        <v>149</v>
      </c>
      <c r="B99" s="5" t="s">
        <v>89</v>
      </c>
      <c r="C99" s="13" t="s">
        <v>56</v>
      </c>
      <c r="D99" s="50">
        <f>'дод 3'!E170</f>
        <v>625100</v>
      </c>
      <c r="E99" s="50">
        <f>'дод 3'!F170</f>
        <v>625100</v>
      </c>
      <c r="F99" s="50">
        <f>'дод 3'!G170</f>
        <v>0</v>
      </c>
      <c r="G99" s="50">
        <f>'дод 3'!H170</f>
        <v>0</v>
      </c>
      <c r="H99" s="50">
        <f>'дод 3'!I170</f>
        <v>0</v>
      </c>
      <c r="I99" s="50">
        <f>'дод 3'!J170</f>
        <v>0</v>
      </c>
      <c r="J99" s="50">
        <f>'дод 3'!K170</f>
        <v>0</v>
      </c>
      <c r="K99" s="50">
        <f>'дод 3'!L170</f>
        <v>0</v>
      </c>
      <c r="L99" s="50">
        <f>'дод 3'!M170</f>
        <v>0</v>
      </c>
      <c r="M99" s="50">
        <f>'дод 3'!N170</f>
        <v>0</v>
      </c>
      <c r="N99" s="50">
        <f>'дод 3'!O170</f>
        <v>0</v>
      </c>
      <c r="O99" s="50">
        <f>'дод 3'!P170</f>
        <v>625100</v>
      </c>
      <c r="P99" s="2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</row>
    <row r="100" spans="1:35" ht="151.5" customHeight="1" x14ac:dyDescent="0.25">
      <c r="A100" s="5" t="s">
        <v>557</v>
      </c>
      <c r="B100" s="5"/>
      <c r="C100" s="13" t="s">
        <v>563</v>
      </c>
      <c r="D100" s="50">
        <f t="shared" ref="D100:O100" si="22">D102+D104+D106+D108+D110</f>
        <v>91697520</v>
      </c>
      <c r="E100" s="50">
        <f t="shared" si="22"/>
        <v>91697520</v>
      </c>
      <c r="F100" s="50">
        <f t="shared" si="22"/>
        <v>0</v>
      </c>
      <c r="G100" s="50">
        <f t="shared" si="22"/>
        <v>0</v>
      </c>
      <c r="H100" s="50">
        <f t="shared" si="22"/>
        <v>0</v>
      </c>
      <c r="I100" s="50">
        <f t="shared" si="22"/>
        <v>0</v>
      </c>
      <c r="J100" s="50">
        <f t="shared" si="22"/>
        <v>0</v>
      </c>
      <c r="K100" s="50">
        <f t="shared" si="22"/>
        <v>0</v>
      </c>
      <c r="L100" s="50">
        <f t="shared" si="22"/>
        <v>0</v>
      </c>
      <c r="M100" s="50">
        <f t="shared" si="22"/>
        <v>0</v>
      </c>
      <c r="N100" s="50">
        <f t="shared" si="22"/>
        <v>0</v>
      </c>
      <c r="O100" s="50">
        <f t="shared" si="22"/>
        <v>91697520</v>
      </c>
      <c r="P100" s="271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</row>
    <row r="101" spans="1:35" ht="27" customHeight="1" x14ac:dyDescent="0.25">
      <c r="B101" s="5"/>
      <c r="C101" s="13" t="s">
        <v>416</v>
      </c>
      <c r="D101" s="50">
        <f t="shared" ref="D101:O101" si="23">D103+D105+D107+D109+D111</f>
        <v>91697520</v>
      </c>
      <c r="E101" s="50">
        <f t="shared" si="23"/>
        <v>91697520</v>
      </c>
      <c r="F101" s="50">
        <f t="shared" si="23"/>
        <v>0</v>
      </c>
      <c r="G101" s="50">
        <f t="shared" si="23"/>
        <v>0</v>
      </c>
      <c r="H101" s="50">
        <f t="shared" si="23"/>
        <v>0</v>
      </c>
      <c r="I101" s="50">
        <f t="shared" si="23"/>
        <v>0</v>
      </c>
      <c r="J101" s="50">
        <f t="shared" si="23"/>
        <v>0</v>
      </c>
      <c r="K101" s="50">
        <f t="shared" si="23"/>
        <v>0</v>
      </c>
      <c r="L101" s="50">
        <f t="shared" si="23"/>
        <v>0</v>
      </c>
      <c r="M101" s="50">
        <f t="shared" si="23"/>
        <v>0</v>
      </c>
      <c r="N101" s="50">
        <f t="shared" si="23"/>
        <v>0</v>
      </c>
      <c r="O101" s="50">
        <f t="shared" si="23"/>
        <v>91697520</v>
      </c>
      <c r="P101" s="271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</row>
    <row r="102" spans="1:35" s="8" customFormat="1" ht="40.5" customHeight="1" x14ac:dyDescent="0.25">
      <c r="A102" s="7" t="s">
        <v>558</v>
      </c>
      <c r="B102" s="7" t="s">
        <v>83</v>
      </c>
      <c r="C102" s="14" t="s">
        <v>566</v>
      </c>
      <c r="D102" s="51">
        <f>'дод 3'!E173</f>
        <v>62044050</v>
      </c>
      <c r="E102" s="51">
        <f>'дод 3'!F173</f>
        <v>62044050</v>
      </c>
      <c r="F102" s="51">
        <f>'дод 3'!G173</f>
        <v>0</v>
      </c>
      <c r="G102" s="51">
        <f>'дод 3'!H173</f>
        <v>0</v>
      </c>
      <c r="H102" s="51">
        <f>'дод 3'!I173</f>
        <v>0</v>
      </c>
      <c r="I102" s="51">
        <f>'дод 3'!J173</f>
        <v>0</v>
      </c>
      <c r="J102" s="51">
        <f>'дод 3'!K173</f>
        <v>0</v>
      </c>
      <c r="K102" s="51">
        <f>'дод 3'!L173</f>
        <v>0</v>
      </c>
      <c r="L102" s="51">
        <f>'дод 3'!M173</f>
        <v>0</v>
      </c>
      <c r="M102" s="51">
        <f>'дод 3'!N173</f>
        <v>0</v>
      </c>
      <c r="N102" s="51">
        <f>'дод 3'!O173</f>
        <v>0</v>
      </c>
      <c r="O102" s="51">
        <f>'дод 3'!P173</f>
        <v>62044050</v>
      </c>
      <c r="P102" s="271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</row>
    <row r="103" spans="1:35" s="8" customFormat="1" ht="27" customHeight="1" x14ac:dyDescent="0.25">
      <c r="A103" s="7"/>
      <c r="B103" s="7"/>
      <c r="C103" s="14" t="s">
        <v>416</v>
      </c>
      <c r="D103" s="51">
        <f>'дод 3'!E174</f>
        <v>62044050</v>
      </c>
      <c r="E103" s="51">
        <f>'дод 3'!F174</f>
        <v>62044050</v>
      </c>
      <c r="F103" s="51">
        <f>'дод 3'!G174</f>
        <v>0</v>
      </c>
      <c r="G103" s="51">
        <f>'дод 3'!H174</f>
        <v>0</v>
      </c>
      <c r="H103" s="51">
        <f>'дод 3'!I174</f>
        <v>0</v>
      </c>
      <c r="I103" s="51">
        <f>'дод 3'!J174</f>
        <v>0</v>
      </c>
      <c r="J103" s="51">
        <f>'дод 3'!K174</f>
        <v>0</v>
      </c>
      <c r="K103" s="51">
        <f>'дод 3'!L174</f>
        <v>0</v>
      </c>
      <c r="L103" s="51">
        <f>'дод 3'!M174</f>
        <v>0</v>
      </c>
      <c r="M103" s="51">
        <f>'дод 3'!N174</f>
        <v>0</v>
      </c>
      <c r="N103" s="51">
        <f>'дод 3'!O174</f>
        <v>0</v>
      </c>
      <c r="O103" s="51">
        <f>'дод 3'!P174</f>
        <v>62044050</v>
      </c>
      <c r="P103" s="271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</row>
    <row r="104" spans="1:35" s="8" customFormat="1" ht="66" customHeight="1" x14ac:dyDescent="0.25">
      <c r="A104" s="7" t="s">
        <v>559</v>
      </c>
      <c r="B104" s="7" t="s">
        <v>83</v>
      </c>
      <c r="C104" s="14" t="s">
        <v>567</v>
      </c>
      <c r="D104" s="51">
        <f>'дод 3'!E175</f>
        <v>12251650</v>
      </c>
      <c r="E104" s="51">
        <f>'дод 3'!F175</f>
        <v>12251650</v>
      </c>
      <c r="F104" s="51">
        <f>'дод 3'!G175</f>
        <v>0</v>
      </c>
      <c r="G104" s="51">
        <f>'дод 3'!H175</f>
        <v>0</v>
      </c>
      <c r="H104" s="51">
        <f>'дод 3'!I175</f>
        <v>0</v>
      </c>
      <c r="I104" s="51">
        <f>'дод 3'!J175</f>
        <v>0</v>
      </c>
      <c r="J104" s="51">
        <f>'дод 3'!K175</f>
        <v>0</v>
      </c>
      <c r="K104" s="51">
        <f>'дод 3'!L175</f>
        <v>0</v>
      </c>
      <c r="L104" s="51">
        <f>'дод 3'!M175</f>
        <v>0</v>
      </c>
      <c r="M104" s="51">
        <f>'дод 3'!N175</f>
        <v>0</v>
      </c>
      <c r="N104" s="51">
        <f>'дод 3'!O175</f>
        <v>0</v>
      </c>
      <c r="O104" s="51">
        <f>'дод 3'!P175</f>
        <v>12251650</v>
      </c>
      <c r="P104" s="271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</row>
    <row r="105" spans="1:35" s="8" customFormat="1" ht="27" customHeight="1" x14ac:dyDescent="0.25">
      <c r="A105" s="7"/>
      <c r="B105" s="7"/>
      <c r="C105" s="14" t="s">
        <v>416</v>
      </c>
      <c r="D105" s="51">
        <f>'дод 3'!E176</f>
        <v>12251650</v>
      </c>
      <c r="E105" s="51">
        <f>'дод 3'!F176</f>
        <v>12251650</v>
      </c>
      <c r="F105" s="51">
        <f>'дод 3'!G176</f>
        <v>0</v>
      </c>
      <c r="G105" s="51">
        <f>'дод 3'!H176</f>
        <v>0</v>
      </c>
      <c r="H105" s="51">
        <f>'дод 3'!I176</f>
        <v>0</v>
      </c>
      <c r="I105" s="51">
        <f>'дод 3'!J176</f>
        <v>0</v>
      </c>
      <c r="J105" s="51">
        <f>'дод 3'!K176</f>
        <v>0</v>
      </c>
      <c r="K105" s="51">
        <f>'дод 3'!L176</f>
        <v>0</v>
      </c>
      <c r="L105" s="51">
        <f>'дод 3'!M176</f>
        <v>0</v>
      </c>
      <c r="M105" s="51">
        <f>'дод 3'!N176</f>
        <v>0</v>
      </c>
      <c r="N105" s="51">
        <f>'дод 3'!O176</f>
        <v>0</v>
      </c>
      <c r="O105" s="51">
        <f>'дод 3'!P176</f>
        <v>12251650</v>
      </c>
      <c r="P105" s="271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</row>
    <row r="106" spans="1:35" s="8" customFormat="1" ht="53.25" customHeight="1" x14ac:dyDescent="0.25">
      <c r="A106" s="7" t="s">
        <v>560</v>
      </c>
      <c r="B106" s="7" t="s">
        <v>83</v>
      </c>
      <c r="C106" s="14" t="s">
        <v>568</v>
      </c>
      <c r="D106" s="51">
        <f>'дод 3'!E177</f>
        <v>11516480</v>
      </c>
      <c r="E106" s="51">
        <f>'дод 3'!F177</f>
        <v>11516480</v>
      </c>
      <c r="F106" s="51">
        <f>'дод 3'!G177</f>
        <v>0</v>
      </c>
      <c r="G106" s="51">
        <f>'дод 3'!H177</f>
        <v>0</v>
      </c>
      <c r="H106" s="51">
        <f>'дод 3'!I177</f>
        <v>0</v>
      </c>
      <c r="I106" s="51">
        <f>'дод 3'!J177</f>
        <v>0</v>
      </c>
      <c r="J106" s="51">
        <f>'дод 3'!K177</f>
        <v>0</v>
      </c>
      <c r="K106" s="51">
        <f>'дод 3'!L177</f>
        <v>0</v>
      </c>
      <c r="L106" s="51">
        <f>'дод 3'!M177</f>
        <v>0</v>
      </c>
      <c r="M106" s="51">
        <f>'дод 3'!N177</f>
        <v>0</v>
      </c>
      <c r="N106" s="51">
        <f>'дод 3'!O177</f>
        <v>0</v>
      </c>
      <c r="O106" s="51">
        <f>'дод 3'!P177</f>
        <v>11516480</v>
      </c>
      <c r="P106" s="271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</row>
    <row r="107" spans="1:35" s="8" customFormat="1" ht="27" customHeight="1" x14ac:dyDescent="0.25">
      <c r="A107" s="7"/>
      <c r="B107" s="7"/>
      <c r="C107" s="14" t="s">
        <v>416</v>
      </c>
      <c r="D107" s="51">
        <f>'дод 3'!E178</f>
        <v>11516480</v>
      </c>
      <c r="E107" s="51">
        <f>'дод 3'!F178</f>
        <v>11516480</v>
      </c>
      <c r="F107" s="51">
        <f>'дод 3'!G178</f>
        <v>0</v>
      </c>
      <c r="G107" s="51">
        <f>'дод 3'!H178</f>
        <v>0</v>
      </c>
      <c r="H107" s="51">
        <f>'дод 3'!I178</f>
        <v>0</v>
      </c>
      <c r="I107" s="51">
        <f>'дод 3'!J178</f>
        <v>0</v>
      </c>
      <c r="J107" s="51">
        <f>'дод 3'!K178</f>
        <v>0</v>
      </c>
      <c r="K107" s="51">
        <f>'дод 3'!L178</f>
        <v>0</v>
      </c>
      <c r="L107" s="51">
        <f>'дод 3'!M178</f>
        <v>0</v>
      </c>
      <c r="M107" s="51">
        <f>'дод 3'!N178</f>
        <v>0</v>
      </c>
      <c r="N107" s="51">
        <f>'дод 3'!O178</f>
        <v>0</v>
      </c>
      <c r="O107" s="51">
        <f>'дод 3'!P178</f>
        <v>11516480</v>
      </c>
      <c r="P107" s="271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</row>
    <row r="108" spans="1:35" s="8" customFormat="1" ht="72" customHeight="1" x14ac:dyDescent="0.25">
      <c r="A108" s="7" t="s">
        <v>561</v>
      </c>
      <c r="B108" s="7" t="s">
        <v>148</v>
      </c>
      <c r="C108" s="14" t="s">
        <v>569</v>
      </c>
      <c r="D108" s="51">
        <f>'дод 3'!E179</f>
        <v>5737070</v>
      </c>
      <c r="E108" s="51">
        <f>'дод 3'!F179</f>
        <v>5737070</v>
      </c>
      <c r="F108" s="51">
        <f>'дод 3'!G179</f>
        <v>0</v>
      </c>
      <c r="G108" s="51">
        <f>'дод 3'!H179</f>
        <v>0</v>
      </c>
      <c r="H108" s="51">
        <f>'дод 3'!I179</f>
        <v>0</v>
      </c>
      <c r="I108" s="51">
        <f>'дод 3'!J179</f>
        <v>0</v>
      </c>
      <c r="J108" s="51">
        <f>'дод 3'!K179</f>
        <v>0</v>
      </c>
      <c r="K108" s="51">
        <f>'дод 3'!L179</f>
        <v>0</v>
      </c>
      <c r="L108" s="51">
        <f>'дод 3'!M179</f>
        <v>0</v>
      </c>
      <c r="M108" s="51">
        <f>'дод 3'!N179</f>
        <v>0</v>
      </c>
      <c r="N108" s="51">
        <f>'дод 3'!O179</f>
        <v>0</v>
      </c>
      <c r="O108" s="51">
        <f>'дод 3'!P179</f>
        <v>5737070</v>
      </c>
      <c r="P108" s="271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</row>
    <row r="109" spans="1:35" s="8" customFormat="1" ht="27" customHeight="1" x14ac:dyDescent="0.25">
      <c r="A109" s="7"/>
      <c r="B109" s="7"/>
      <c r="C109" s="14" t="s">
        <v>416</v>
      </c>
      <c r="D109" s="51">
        <f>'дод 3'!E180</f>
        <v>5737070</v>
      </c>
      <c r="E109" s="51">
        <f>'дод 3'!F180</f>
        <v>5737070</v>
      </c>
      <c r="F109" s="51">
        <f>'дод 3'!G180</f>
        <v>0</v>
      </c>
      <c r="G109" s="51">
        <f>'дод 3'!H180</f>
        <v>0</v>
      </c>
      <c r="H109" s="51">
        <f>'дод 3'!I180</f>
        <v>0</v>
      </c>
      <c r="I109" s="51">
        <f>'дод 3'!J180</f>
        <v>0</v>
      </c>
      <c r="J109" s="51">
        <f>'дод 3'!K180</f>
        <v>0</v>
      </c>
      <c r="K109" s="51">
        <f>'дод 3'!L180</f>
        <v>0</v>
      </c>
      <c r="L109" s="51">
        <f>'дод 3'!M180</f>
        <v>0</v>
      </c>
      <c r="M109" s="51">
        <f>'дод 3'!N180</f>
        <v>0</v>
      </c>
      <c r="N109" s="51">
        <f>'дод 3'!O180</f>
        <v>0</v>
      </c>
      <c r="O109" s="51">
        <f>'дод 3'!P180</f>
        <v>5737070</v>
      </c>
      <c r="P109" s="271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</row>
    <row r="110" spans="1:35" s="8" customFormat="1" ht="64.5" customHeight="1" x14ac:dyDescent="0.25">
      <c r="A110" s="7" t="s">
        <v>562</v>
      </c>
      <c r="B110" s="7" t="s">
        <v>83</v>
      </c>
      <c r="C110" s="14" t="s">
        <v>570</v>
      </c>
      <c r="D110" s="51">
        <f>'дод 3'!E181</f>
        <v>148270</v>
      </c>
      <c r="E110" s="51">
        <f>'дод 3'!F181</f>
        <v>148270</v>
      </c>
      <c r="F110" s="51">
        <f>'дод 3'!G181</f>
        <v>0</v>
      </c>
      <c r="G110" s="51">
        <f>'дод 3'!H181</f>
        <v>0</v>
      </c>
      <c r="H110" s="51">
        <f>'дод 3'!I181</f>
        <v>0</v>
      </c>
      <c r="I110" s="51">
        <f>'дод 3'!J181</f>
        <v>0</v>
      </c>
      <c r="J110" s="51">
        <f>'дод 3'!K181</f>
        <v>0</v>
      </c>
      <c r="K110" s="51">
        <f>'дод 3'!L181</f>
        <v>0</v>
      </c>
      <c r="L110" s="51">
        <f>'дод 3'!M181</f>
        <v>0</v>
      </c>
      <c r="M110" s="51">
        <f>'дод 3'!N181</f>
        <v>0</v>
      </c>
      <c r="N110" s="51">
        <f>'дод 3'!O181</f>
        <v>0</v>
      </c>
      <c r="O110" s="51">
        <f>'дод 3'!P181</f>
        <v>148270</v>
      </c>
      <c r="P110" s="271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</row>
    <row r="111" spans="1:35" s="8" customFormat="1" ht="27" customHeight="1" x14ac:dyDescent="0.25">
      <c r="A111" s="7"/>
      <c r="B111" s="7"/>
      <c r="C111" s="14" t="s">
        <v>416</v>
      </c>
      <c r="D111" s="51">
        <f>'дод 3'!E182</f>
        <v>148270</v>
      </c>
      <c r="E111" s="51">
        <f>'дод 3'!F182</f>
        <v>148270</v>
      </c>
      <c r="F111" s="51">
        <f>'дод 3'!G182</f>
        <v>0</v>
      </c>
      <c r="G111" s="51">
        <f>'дод 3'!H182</f>
        <v>0</v>
      </c>
      <c r="H111" s="51">
        <f>'дод 3'!I182</f>
        <v>0</v>
      </c>
      <c r="I111" s="51">
        <f>'дод 3'!J182</f>
        <v>0</v>
      </c>
      <c r="J111" s="51">
        <f>'дод 3'!K182</f>
        <v>0</v>
      </c>
      <c r="K111" s="51">
        <f>'дод 3'!L182</f>
        <v>0</v>
      </c>
      <c r="L111" s="51">
        <f>'дод 3'!M182</f>
        <v>0</v>
      </c>
      <c r="M111" s="51">
        <f>'дод 3'!N182</f>
        <v>0</v>
      </c>
      <c r="N111" s="51">
        <f>'дод 3'!O182</f>
        <v>0</v>
      </c>
      <c r="O111" s="51">
        <f>'дод 3'!P182</f>
        <v>148270</v>
      </c>
      <c r="P111" s="271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</row>
    <row r="112" spans="1:35" ht="40.5" customHeight="1" x14ac:dyDescent="0.25">
      <c r="A112" s="5" t="s">
        <v>502</v>
      </c>
      <c r="B112" s="5" t="s">
        <v>87</v>
      </c>
      <c r="C112" s="13" t="s">
        <v>503</v>
      </c>
      <c r="D112" s="50">
        <f>'дод 3'!E183</f>
        <v>200700</v>
      </c>
      <c r="E112" s="50">
        <f>'дод 3'!F183</f>
        <v>200700</v>
      </c>
      <c r="F112" s="50">
        <f>'дод 3'!G183</f>
        <v>0</v>
      </c>
      <c r="G112" s="50">
        <f>'дод 3'!H183</f>
        <v>0</v>
      </c>
      <c r="H112" s="50">
        <f>'дод 3'!I183</f>
        <v>0</v>
      </c>
      <c r="I112" s="50">
        <f>'дод 3'!J183</f>
        <v>0</v>
      </c>
      <c r="J112" s="50">
        <f>'дод 3'!K183</f>
        <v>0</v>
      </c>
      <c r="K112" s="50">
        <f>'дод 3'!L183</f>
        <v>0</v>
      </c>
      <c r="L112" s="50">
        <f>'дод 3'!M183</f>
        <v>0</v>
      </c>
      <c r="M112" s="50">
        <f>'дод 3'!N183</f>
        <v>0</v>
      </c>
      <c r="N112" s="50">
        <f>'дод 3'!O183</f>
        <v>0</v>
      </c>
      <c r="O112" s="50">
        <f>'дод 3'!P183</f>
        <v>200700</v>
      </c>
      <c r="P112" s="271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</row>
    <row r="113" spans="1:35" ht="62.25" customHeight="1" x14ac:dyDescent="0.25">
      <c r="A113" s="5" t="s">
        <v>150</v>
      </c>
      <c r="B113" s="15"/>
      <c r="C113" s="13" t="s">
        <v>452</v>
      </c>
      <c r="D113" s="50">
        <f t="shared" ref="D113:O113" si="24">D114</f>
        <v>9345375</v>
      </c>
      <c r="E113" s="50">
        <f t="shared" si="24"/>
        <v>9345375</v>
      </c>
      <c r="F113" s="50">
        <f t="shared" si="24"/>
        <v>7009500</v>
      </c>
      <c r="G113" s="50">
        <f t="shared" si="24"/>
        <v>193245</v>
      </c>
      <c r="H113" s="50">
        <f t="shared" si="24"/>
        <v>0</v>
      </c>
      <c r="I113" s="50">
        <f t="shared" si="24"/>
        <v>76400</v>
      </c>
      <c r="J113" s="50">
        <f t="shared" si="24"/>
        <v>57900</v>
      </c>
      <c r="K113" s="50">
        <f t="shared" si="24"/>
        <v>44700</v>
      </c>
      <c r="L113" s="50">
        <f t="shared" si="24"/>
        <v>0</v>
      </c>
      <c r="M113" s="50">
        <f t="shared" si="24"/>
        <v>18500</v>
      </c>
      <c r="N113" s="50">
        <f t="shared" si="24"/>
        <v>18500</v>
      </c>
      <c r="O113" s="50">
        <f t="shared" si="24"/>
        <v>9421775</v>
      </c>
      <c r="P113" s="2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</row>
    <row r="114" spans="1:35" s="8" customFormat="1" ht="74.25" customHeight="1" x14ac:dyDescent="0.25">
      <c r="A114" s="7" t="s">
        <v>151</v>
      </c>
      <c r="B114" s="7" t="s">
        <v>85</v>
      </c>
      <c r="C114" s="14" t="s">
        <v>57</v>
      </c>
      <c r="D114" s="51">
        <f>'дод 3'!E185</f>
        <v>9345375</v>
      </c>
      <c r="E114" s="51">
        <f>'дод 3'!F185</f>
        <v>9345375</v>
      </c>
      <c r="F114" s="51">
        <f>'дод 3'!G185</f>
        <v>7009500</v>
      </c>
      <c r="G114" s="51">
        <f>'дод 3'!H185</f>
        <v>193245</v>
      </c>
      <c r="H114" s="51">
        <f>'дод 3'!I185</f>
        <v>0</v>
      </c>
      <c r="I114" s="51">
        <f>'дод 3'!J185</f>
        <v>76400</v>
      </c>
      <c r="J114" s="51">
        <f>'дод 3'!K185</f>
        <v>57900</v>
      </c>
      <c r="K114" s="51">
        <f>'дод 3'!L185</f>
        <v>44700</v>
      </c>
      <c r="L114" s="51">
        <f>'дод 3'!M185</f>
        <v>0</v>
      </c>
      <c r="M114" s="51">
        <f>'дод 3'!N185</f>
        <v>18500</v>
      </c>
      <c r="N114" s="51">
        <f>'дод 3'!O185</f>
        <v>18500</v>
      </c>
      <c r="O114" s="51">
        <f>'дод 3'!P185</f>
        <v>9421775</v>
      </c>
      <c r="P114" s="271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</row>
    <row r="115" spans="1:35" ht="36.75" customHeight="1" x14ac:dyDescent="0.25">
      <c r="A115" s="5" t="s">
        <v>161</v>
      </c>
      <c r="B115" s="5"/>
      <c r="C115" s="13" t="s">
        <v>62</v>
      </c>
      <c r="D115" s="47">
        <f t="shared" ref="D115:O115" si="25">D116</f>
        <v>80000</v>
      </c>
      <c r="E115" s="47">
        <f t="shared" si="25"/>
        <v>80000</v>
      </c>
      <c r="F115" s="47">
        <f t="shared" si="25"/>
        <v>0</v>
      </c>
      <c r="G115" s="47">
        <f t="shared" si="25"/>
        <v>0</v>
      </c>
      <c r="H115" s="47">
        <f t="shared" si="25"/>
        <v>0</v>
      </c>
      <c r="I115" s="47">
        <f t="shared" si="25"/>
        <v>0</v>
      </c>
      <c r="J115" s="47">
        <f t="shared" si="25"/>
        <v>0</v>
      </c>
      <c r="K115" s="47">
        <f t="shared" si="25"/>
        <v>0</v>
      </c>
      <c r="L115" s="47">
        <f t="shared" si="25"/>
        <v>0</v>
      </c>
      <c r="M115" s="47">
        <f t="shared" si="25"/>
        <v>0</v>
      </c>
      <c r="N115" s="47">
        <f t="shared" si="25"/>
        <v>0</v>
      </c>
      <c r="O115" s="47">
        <f t="shared" si="25"/>
        <v>80000</v>
      </c>
      <c r="P115" s="271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</row>
    <row r="116" spans="1:35" s="8" customFormat="1" ht="43.5" customHeight="1" x14ac:dyDescent="0.25">
      <c r="A116" s="7" t="s">
        <v>152</v>
      </c>
      <c r="B116" s="7" t="s">
        <v>148</v>
      </c>
      <c r="C116" s="14" t="s">
        <v>60</v>
      </c>
      <c r="D116" s="49">
        <f>'дод 3'!E216</f>
        <v>80000</v>
      </c>
      <c r="E116" s="49">
        <f>'дод 3'!F216</f>
        <v>80000</v>
      </c>
      <c r="F116" s="49">
        <f>'дод 3'!G216</f>
        <v>0</v>
      </c>
      <c r="G116" s="49">
        <f>'дод 3'!H216</f>
        <v>0</v>
      </c>
      <c r="H116" s="49">
        <f>'дод 3'!I216</f>
        <v>0</v>
      </c>
      <c r="I116" s="49">
        <f>'дод 3'!J216</f>
        <v>0</v>
      </c>
      <c r="J116" s="49">
        <f>'дод 3'!K216</f>
        <v>0</v>
      </c>
      <c r="K116" s="49">
        <f>'дод 3'!L216</f>
        <v>0</v>
      </c>
      <c r="L116" s="49">
        <f>'дод 3'!M216</f>
        <v>0</v>
      </c>
      <c r="M116" s="49">
        <f>'дод 3'!N216</f>
        <v>0</v>
      </c>
      <c r="N116" s="49">
        <f>'дод 3'!O216</f>
        <v>0</v>
      </c>
      <c r="O116" s="49">
        <f>'дод 3'!P216</f>
        <v>80000</v>
      </c>
      <c r="P116" s="271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</row>
    <row r="117" spans="1:35" ht="37.5" customHeight="1" x14ac:dyDescent="0.25">
      <c r="A117" s="5" t="s">
        <v>200</v>
      </c>
      <c r="B117" s="5"/>
      <c r="C117" s="13" t="s">
        <v>40</v>
      </c>
      <c r="D117" s="47">
        <f t="shared" ref="D117:O117" si="26">D118</f>
        <v>1791330</v>
      </c>
      <c r="E117" s="47">
        <f t="shared" si="26"/>
        <v>1791330</v>
      </c>
      <c r="F117" s="47">
        <f t="shared" si="26"/>
        <v>1348310</v>
      </c>
      <c r="G117" s="47">
        <f t="shared" si="26"/>
        <v>63780</v>
      </c>
      <c r="H117" s="47">
        <f t="shared" si="26"/>
        <v>0</v>
      </c>
      <c r="I117" s="47">
        <f t="shared" si="26"/>
        <v>790500</v>
      </c>
      <c r="J117" s="47">
        <f t="shared" si="26"/>
        <v>0</v>
      </c>
      <c r="K117" s="47">
        <f t="shared" si="26"/>
        <v>0</v>
      </c>
      <c r="L117" s="47">
        <f t="shared" si="26"/>
        <v>0</v>
      </c>
      <c r="M117" s="47">
        <f t="shared" si="26"/>
        <v>790500</v>
      </c>
      <c r="N117" s="47">
        <f t="shared" si="26"/>
        <v>790500</v>
      </c>
      <c r="O117" s="47">
        <f t="shared" si="26"/>
        <v>2581830</v>
      </c>
      <c r="P117" s="271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</row>
    <row r="118" spans="1:35" s="8" customFormat="1" ht="42.75" customHeight="1" x14ac:dyDescent="0.25">
      <c r="A118" s="7" t="s">
        <v>201</v>
      </c>
      <c r="B118" s="7" t="s">
        <v>148</v>
      </c>
      <c r="C118" s="14" t="s">
        <v>202</v>
      </c>
      <c r="D118" s="49">
        <f>'дод 3'!E21</f>
        <v>1791330</v>
      </c>
      <c r="E118" s="49">
        <f>'дод 3'!F21</f>
        <v>1791330</v>
      </c>
      <c r="F118" s="49">
        <f>'дод 3'!G21</f>
        <v>1348310</v>
      </c>
      <c r="G118" s="49">
        <f>'дод 3'!H21</f>
        <v>63780</v>
      </c>
      <c r="H118" s="49">
        <f>'дод 3'!I21</f>
        <v>0</v>
      </c>
      <c r="I118" s="49">
        <f>'дод 3'!J21</f>
        <v>790500</v>
      </c>
      <c r="J118" s="49">
        <f>'дод 3'!K21</f>
        <v>0</v>
      </c>
      <c r="K118" s="49">
        <f>'дод 3'!L21</f>
        <v>0</v>
      </c>
      <c r="L118" s="49">
        <f>'дод 3'!M21</f>
        <v>0</v>
      </c>
      <c r="M118" s="49">
        <f>'дод 3'!N21</f>
        <v>790500</v>
      </c>
      <c r="N118" s="49">
        <f>'дод 3'!O21</f>
        <v>790500</v>
      </c>
      <c r="O118" s="49">
        <f>'дод 3'!P21</f>
        <v>2581830</v>
      </c>
      <c r="P118" s="271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</row>
    <row r="119" spans="1:35" ht="24.75" customHeight="1" x14ac:dyDescent="0.25">
      <c r="A119" s="5" t="s">
        <v>157</v>
      </c>
      <c r="B119" s="5"/>
      <c r="C119" s="13" t="s">
        <v>168</v>
      </c>
      <c r="D119" s="47">
        <f t="shared" ref="D119:O119" si="27">D120</f>
        <v>684600</v>
      </c>
      <c r="E119" s="47">
        <f t="shared" si="27"/>
        <v>684600</v>
      </c>
      <c r="F119" s="47">
        <f t="shared" si="27"/>
        <v>0</v>
      </c>
      <c r="G119" s="47">
        <f t="shared" si="27"/>
        <v>0</v>
      </c>
      <c r="H119" s="47">
        <f t="shared" si="27"/>
        <v>0</v>
      </c>
      <c r="I119" s="47">
        <f t="shared" si="27"/>
        <v>0</v>
      </c>
      <c r="J119" s="47">
        <f t="shared" si="27"/>
        <v>0</v>
      </c>
      <c r="K119" s="47">
        <f t="shared" si="27"/>
        <v>0</v>
      </c>
      <c r="L119" s="47">
        <f t="shared" si="27"/>
        <v>0</v>
      </c>
      <c r="M119" s="47">
        <f t="shared" si="27"/>
        <v>0</v>
      </c>
      <c r="N119" s="47">
        <f t="shared" si="27"/>
        <v>0</v>
      </c>
      <c r="O119" s="47">
        <f t="shared" si="27"/>
        <v>684600</v>
      </c>
      <c r="P119" s="271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</row>
    <row r="120" spans="1:35" s="8" customFormat="1" ht="58.5" customHeight="1" x14ac:dyDescent="0.25">
      <c r="A120" s="27" t="s">
        <v>158</v>
      </c>
      <c r="B120" s="27" t="s">
        <v>148</v>
      </c>
      <c r="C120" s="14" t="s">
        <v>224</v>
      </c>
      <c r="D120" s="49">
        <f>'дод 3'!E23</f>
        <v>684600</v>
      </c>
      <c r="E120" s="49">
        <f>'дод 3'!F23</f>
        <v>684600</v>
      </c>
      <c r="F120" s="49">
        <f>'дод 3'!G23</f>
        <v>0</v>
      </c>
      <c r="G120" s="49">
        <f>'дод 3'!H23</f>
        <v>0</v>
      </c>
      <c r="H120" s="49">
        <f>'дод 3'!I23</f>
        <v>0</v>
      </c>
      <c r="I120" s="49">
        <f>'дод 3'!J23</f>
        <v>0</v>
      </c>
      <c r="J120" s="49">
        <f>'дод 3'!K23</f>
        <v>0</v>
      </c>
      <c r="K120" s="49">
        <f>'дод 3'!L23</f>
        <v>0</v>
      </c>
      <c r="L120" s="49">
        <f>'дод 3'!M23</f>
        <v>0</v>
      </c>
      <c r="M120" s="49">
        <f>'дод 3'!N23</f>
        <v>0</v>
      </c>
      <c r="N120" s="49">
        <f>'дод 3'!O23</f>
        <v>0</v>
      </c>
      <c r="O120" s="49">
        <f>'дод 3'!P23</f>
        <v>684600</v>
      </c>
      <c r="P120" s="271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</row>
    <row r="121" spans="1:35" ht="75" customHeight="1" x14ac:dyDescent="0.25">
      <c r="A121" s="5" t="s">
        <v>159</v>
      </c>
      <c r="B121" s="5" t="s">
        <v>148</v>
      </c>
      <c r="C121" s="18" t="s">
        <v>41</v>
      </c>
      <c r="D121" s="47">
        <f>'дод 3'!E24+'дод 3'!E83</f>
        <v>8697020</v>
      </c>
      <c r="E121" s="47">
        <f>'дод 3'!F24+'дод 3'!F83</f>
        <v>8697020</v>
      </c>
      <c r="F121" s="47">
        <f>'дод 3'!G24+'дод 3'!G83</f>
        <v>0</v>
      </c>
      <c r="G121" s="47">
        <f>'дод 3'!H24+'дод 3'!H83</f>
        <v>0</v>
      </c>
      <c r="H121" s="47">
        <f>'дод 3'!I24+'дод 3'!I83</f>
        <v>0</v>
      </c>
      <c r="I121" s="47">
        <f>'дод 3'!J24+'дод 3'!J83</f>
        <v>0</v>
      </c>
      <c r="J121" s="47">
        <f>'дод 3'!K24+'дод 3'!K83</f>
        <v>0</v>
      </c>
      <c r="K121" s="47">
        <f>'дод 3'!L24+'дод 3'!L83</f>
        <v>0</v>
      </c>
      <c r="L121" s="47">
        <f>'дод 3'!M24+'дод 3'!M83</f>
        <v>0</v>
      </c>
      <c r="M121" s="47">
        <f>'дод 3'!N24+'дод 3'!N83</f>
        <v>0</v>
      </c>
      <c r="N121" s="47">
        <f>'дод 3'!O24+'дод 3'!O83</f>
        <v>0</v>
      </c>
      <c r="O121" s="47">
        <f>'дод 3'!P24+'дод 3'!P83</f>
        <v>8697020</v>
      </c>
      <c r="P121" s="271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</row>
    <row r="122" spans="1:35" ht="92.25" customHeight="1" x14ac:dyDescent="0.25">
      <c r="A122" s="5" t="s">
        <v>160</v>
      </c>
      <c r="B122" s="31">
        <v>1010</v>
      </c>
      <c r="C122" s="13" t="s">
        <v>453</v>
      </c>
      <c r="D122" s="47">
        <f>'дод 3'!E186</f>
        <v>1671025</v>
      </c>
      <c r="E122" s="47">
        <f>'дод 3'!F186</f>
        <v>1671025</v>
      </c>
      <c r="F122" s="47">
        <f>'дод 3'!G186</f>
        <v>0</v>
      </c>
      <c r="G122" s="47">
        <f>'дод 3'!H186</f>
        <v>0</v>
      </c>
      <c r="H122" s="47">
        <f>'дод 3'!I186</f>
        <v>0</v>
      </c>
      <c r="I122" s="47">
        <f>'дод 3'!J186</f>
        <v>0</v>
      </c>
      <c r="J122" s="47">
        <f>'дод 3'!K186</f>
        <v>0</v>
      </c>
      <c r="K122" s="47">
        <f>'дод 3'!L186</f>
        <v>0</v>
      </c>
      <c r="L122" s="47">
        <f>'дод 3'!M186</f>
        <v>0</v>
      </c>
      <c r="M122" s="47">
        <f>'дод 3'!N186</f>
        <v>0</v>
      </c>
      <c r="N122" s="47">
        <f>'дод 3'!O186</f>
        <v>0</v>
      </c>
      <c r="O122" s="47">
        <f>'дод 3'!P186</f>
        <v>1671025</v>
      </c>
      <c r="P122" s="271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</row>
    <row r="123" spans="1:35" ht="32.25" customHeight="1" x14ac:dyDescent="0.25">
      <c r="A123" s="5" t="s">
        <v>504</v>
      </c>
      <c r="B123" s="31"/>
      <c r="C123" s="13" t="s">
        <v>507</v>
      </c>
      <c r="D123" s="47">
        <f t="shared" ref="D123:O123" si="28">D124+D125</f>
        <v>188864</v>
      </c>
      <c r="E123" s="47">
        <f t="shared" si="28"/>
        <v>188864</v>
      </c>
      <c r="F123" s="47">
        <f t="shared" si="28"/>
        <v>0</v>
      </c>
      <c r="G123" s="47">
        <f t="shared" si="28"/>
        <v>0</v>
      </c>
      <c r="H123" s="47">
        <f t="shared" si="28"/>
        <v>0</v>
      </c>
      <c r="I123" s="47">
        <f t="shared" si="28"/>
        <v>0</v>
      </c>
      <c r="J123" s="47">
        <f t="shared" si="28"/>
        <v>0</v>
      </c>
      <c r="K123" s="47">
        <f t="shared" si="28"/>
        <v>0</v>
      </c>
      <c r="L123" s="47">
        <f t="shared" si="28"/>
        <v>0</v>
      </c>
      <c r="M123" s="47">
        <f t="shared" si="28"/>
        <v>0</v>
      </c>
      <c r="N123" s="47">
        <f t="shared" si="28"/>
        <v>0</v>
      </c>
      <c r="O123" s="47">
        <f t="shared" si="28"/>
        <v>188864</v>
      </c>
      <c r="P123" s="271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</row>
    <row r="124" spans="1:35" s="8" customFormat="1" ht="67.5" customHeight="1" x14ac:dyDescent="0.25">
      <c r="A124" s="7" t="s">
        <v>505</v>
      </c>
      <c r="B124" s="134">
        <v>1010</v>
      </c>
      <c r="C124" s="14" t="s">
        <v>508</v>
      </c>
      <c r="D124" s="49">
        <f>'дод 3'!E188</f>
        <v>188024</v>
      </c>
      <c r="E124" s="49">
        <f>'дод 3'!F188</f>
        <v>188024</v>
      </c>
      <c r="F124" s="49">
        <f>'дод 3'!G188</f>
        <v>0</v>
      </c>
      <c r="G124" s="49">
        <f>'дод 3'!H188</f>
        <v>0</v>
      </c>
      <c r="H124" s="49">
        <f>'дод 3'!I188</f>
        <v>0</v>
      </c>
      <c r="I124" s="49">
        <f>'дод 3'!J188</f>
        <v>0</v>
      </c>
      <c r="J124" s="49">
        <f>'дод 3'!K188</f>
        <v>0</v>
      </c>
      <c r="K124" s="49">
        <f>'дод 3'!L188</f>
        <v>0</v>
      </c>
      <c r="L124" s="49">
        <f>'дод 3'!M188</f>
        <v>0</v>
      </c>
      <c r="M124" s="49">
        <f>'дод 3'!N188</f>
        <v>0</v>
      </c>
      <c r="N124" s="49">
        <f>'дод 3'!O188</f>
        <v>0</v>
      </c>
      <c r="O124" s="49">
        <f>'дод 3'!P188</f>
        <v>188024</v>
      </c>
      <c r="P124" s="271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</row>
    <row r="125" spans="1:35" s="8" customFormat="1" ht="32.25" customHeight="1" x14ac:dyDescent="0.25">
      <c r="A125" s="7" t="s">
        <v>506</v>
      </c>
      <c r="B125" s="134">
        <v>1010</v>
      </c>
      <c r="C125" s="14" t="s">
        <v>509</v>
      </c>
      <c r="D125" s="49">
        <f>'дод 3'!E189</f>
        <v>840</v>
      </c>
      <c r="E125" s="49">
        <f>'дод 3'!F189</f>
        <v>840</v>
      </c>
      <c r="F125" s="49">
        <f>'дод 3'!G189</f>
        <v>0</v>
      </c>
      <c r="G125" s="49">
        <f>'дод 3'!H189</f>
        <v>0</v>
      </c>
      <c r="H125" s="49">
        <f>'дод 3'!I189</f>
        <v>0</v>
      </c>
      <c r="I125" s="49">
        <f>'дод 3'!J189</f>
        <v>0</v>
      </c>
      <c r="J125" s="49">
        <f>'дод 3'!K189</f>
        <v>0</v>
      </c>
      <c r="K125" s="49">
        <f>'дод 3'!L189</f>
        <v>0</v>
      </c>
      <c r="L125" s="49">
        <f>'дод 3'!M189</f>
        <v>0</v>
      </c>
      <c r="M125" s="49">
        <f>'дод 3'!N189</f>
        <v>0</v>
      </c>
      <c r="N125" s="49">
        <f>'дод 3'!O189</f>
        <v>0</v>
      </c>
      <c r="O125" s="49">
        <f>'дод 3'!P189</f>
        <v>840</v>
      </c>
      <c r="P125" s="271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</row>
    <row r="126" spans="1:35" ht="85.5" customHeight="1" x14ac:dyDescent="0.25">
      <c r="A126" s="5" t="s">
        <v>153</v>
      </c>
      <c r="B126" s="5" t="s">
        <v>88</v>
      </c>
      <c r="C126" s="13" t="s">
        <v>203</v>
      </c>
      <c r="D126" s="47">
        <f>'дод 3'!E190</f>
        <v>1449125</v>
      </c>
      <c r="E126" s="47">
        <f>'дод 3'!F190</f>
        <v>1449125</v>
      </c>
      <c r="F126" s="47">
        <f>'дод 3'!G190</f>
        <v>0</v>
      </c>
      <c r="G126" s="47">
        <f>'дод 3'!H190</f>
        <v>0</v>
      </c>
      <c r="H126" s="47">
        <f>'дод 3'!I190</f>
        <v>0</v>
      </c>
      <c r="I126" s="47">
        <f>'дод 3'!J190</f>
        <v>0</v>
      </c>
      <c r="J126" s="47">
        <f>'дод 3'!K190</f>
        <v>0</v>
      </c>
      <c r="K126" s="47">
        <f>'дод 3'!L190</f>
        <v>0</v>
      </c>
      <c r="L126" s="47">
        <f>'дод 3'!M190</f>
        <v>0</v>
      </c>
      <c r="M126" s="47">
        <f>'дод 3'!N190</f>
        <v>0</v>
      </c>
      <c r="N126" s="47">
        <f>'дод 3'!O190</f>
        <v>0</v>
      </c>
      <c r="O126" s="47">
        <f>'дод 3'!P190</f>
        <v>1449125</v>
      </c>
      <c r="P126" s="271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</row>
    <row r="127" spans="1:35" ht="19.5" customHeight="1" x14ac:dyDescent="0.25">
      <c r="A127" s="5" t="s">
        <v>154</v>
      </c>
      <c r="B127" s="31"/>
      <c r="C127" s="13" t="s">
        <v>58</v>
      </c>
      <c r="D127" s="47">
        <f>D128+D129</f>
        <v>3167816</v>
      </c>
      <c r="E127" s="47">
        <f t="shared" ref="E127:O127" si="29">E128+E129</f>
        <v>3167816</v>
      </c>
      <c r="F127" s="47">
        <f t="shared" si="29"/>
        <v>0</v>
      </c>
      <c r="G127" s="47">
        <f t="shared" si="29"/>
        <v>0</v>
      </c>
      <c r="H127" s="47">
        <f t="shared" si="29"/>
        <v>0</v>
      </c>
      <c r="I127" s="47">
        <f t="shared" si="29"/>
        <v>0</v>
      </c>
      <c r="J127" s="47">
        <f t="shared" si="29"/>
        <v>0</v>
      </c>
      <c r="K127" s="47">
        <f t="shared" si="29"/>
        <v>0</v>
      </c>
      <c r="L127" s="47">
        <f t="shared" si="29"/>
        <v>0</v>
      </c>
      <c r="M127" s="47">
        <f t="shared" si="29"/>
        <v>0</v>
      </c>
      <c r="N127" s="47">
        <f t="shared" si="29"/>
        <v>0</v>
      </c>
      <c r="O127" s="47">
        <f t="shared" si="29"/>
        <v>3167816</v>
      </c>
      <c r="P127" s="271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</row>
    <row r="128" spans="1:35" s="8" customFormat="1" ht="42.75" customHeight="1" x14ac:dyDescent="0.25">
      <c r="A128" s="7" t="s">
        <v>454</v>
      </c>
      <c r="B128" s="7" t="s">
        <v>87</v>
      </c>
      <c r="C128" s="14" t="s">
        <v>36</v>
      </c>
      <c r="D128" s="49">
        <f>'дод 3'!E192</f>
        <v>1892821</v>
      </c>
      <c r="E128" s="49">
        <f>'дод 3'!F192</f>
        <v>1892821</v>
      </c>
      <c r="F128" s="49">
        <f>'дод 3'!G192</f>
        <v>0</v>
      </c>
      <c r="G128" s="49">
        <f>'дод 3'!H192</f>
        <v>0</v>
      </c>
      <c r="H128" s="49">
        <f>'дод 3'!I192</f>
        <v>0</v>
      </c>
      <c r="I128" s="49">
        <f>'дод 3'!J192</f>
        <v>0</v>
      </c>
      <c r="J128" s="49">
        <f>'дод 3'!K192</f>
        <v>0</v>
      </c>
      <c r="K128" s="49">
        <f>'дод 3'!L192</f>
        <v>0</v>
      </c>
      <c r="L128" s="49">
        <f>'дод 3'!M192</f>
        <v>0</v>
      </c>
      <c r="M128" s="49">
        <f>'дод 3'!N192</f>
        <v>0</v>
      </c>
      <c r="N128" s="49">
        <f>'дод 3'!O192</f>
        <v>0</v>
      </c>
      <c r="O128" s="49">
        <f>'дод 3'!P192</f>
        <v>1892821</v>
      </c>
      <c r="P128" s="271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</row>
    <row r="129" spans="1:35" s="8" customFormat="1" ht="55.5" customHeight="1" x14ac:dyDescent="0.25">
      <c r="A129" s="7" t="s">
        <v>455</v>
      </c>
      <c r="B129" s="7" t="s">
        <v>87</v>
      </c>
      <c r="C129" s="14" t="s">
        <v>498</v>
      </c>
      <c r="D129" s="49">
        <f>'дод 3'!E193</f>
        <v>1274995</v>
      </c>
      <c r="E129" s="49">
        <f>'дод 3'!F193</f>
        <v>1274995</v>
      </c>
      <c r="F129" s="49">
        <f>'дод 3'!G193</f>
        <v>0</v>
      </c>
      <c r="G129" s="49">
        <f>'дод 3'!H193</f>
        <v>0</v>
      </c>
      <c r="H129" s="49">
        <f>'дод 3'!I193</f>
        <v>0</v>
      </c>
      <c r="I129" s="49">
        <f>'дод 3'!J193</f>
        <v>0</v>
      </c>
      <c r="J129" s="49">
        <f>'дод 3'!K193</f>
        <v>0</v>
      </c>
      <c r="K129" s="49">
        <f>'дод 3'!L193</f>
        <v>0</v>
      </c>
      <c r="L129" s="49">
        <f>'дод 3'!M193</f>
        <v>0</v>
      </c>
      <c r="M129" s="49">
        <f>'дод 3'!N193</f>
        <v>0</v>
      </c>
      <c r="N129" s="49">
        <f>'дод 3'!O193</f>
        <v>0</v>
      </c>
      <c r="O129" s="49">
        <f>'дод 3'!P193</f>
        <v>1274995</v>
      </c>
      <c r="P129" s="271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</row>
    <row r="130" spans="1:35" ht="43.5" customHeight="1" x14ac:dyDescent="0.25">
      <c r="A130" s="5" t="s">
        <v>155</v>
      </c>
      <c r="B130" s="5" t="s">
        <v>91</v>
      </c>
      <c r="C130" s="13" t="s">
        <v>225</v>
      </c>
      <c r="D130" s="47">
        <f>'дод 3'!E194</f>
        <v>75000</v>
      </c>
      <c r="E130" s="47">
        <f>'дод 3'!F194</f>
        <v>75000</v>
      </c>
      <c r="F130" s="47">
        <f>'дод 3'!G194</f>
        <v>0</v>
      </c>
      <c r="G130" s="47">
        <f>'дод 3'!H194</f>
        <v>0</v>
      </c>
      <c r="H130" s="47">
        <f>'дод 3'!I194</f>
        <v>0</v>
      </c>
      <c r="I130" s="47">
        <f>'дод 3'!J194</f>
        <v>0</v>
      </c>
      <c r="J130" s="47">
        <f>'дод 3'!K194</f>
        <v>0</v>
      </c>
      <c r="K130" s="47">
        <f>'дод 3'!L194</f>
        <v>0</v>
      </c>
      <c r="L130" s="47">
        <f>'дод 3'!M194</f>
        <v>0</v>
      </c>
      <c r="M130" s="47">
        <f>'дод 3'!N194</f>
        <v>0</v>
      </c>
      <c r="N130" s="47">
        <f>'дод 3'!O194</f>
        <v>0</v>
      </c>
      <c r="O130" s="47">
        <f>'дод 3'!P194</f>
        <v>75000</v>
      </c>
      <c r="P130" s="271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</row>
    <row r="131" spans="1:35" ht="27.75" customHeight="1" x14ac:dyDescent="0.25">
      <c r="A131" s="5" t="s">
        <v>456</v>
      </c>
      <c r="B131" s="5" t="s">
        <v>156</v>
      </c>
      <c r="C131" s="13" t="s">
        <v>69</v>
      </c>
      <c r="D131" s="47">
        <f>'дод 3'!E195+'дод 3'!E238</f>
        <v>895000</v>
      </c>
      <c r="E131" s="47">
        <f>'дод 3'!F195+'дод 3'!F238</f>
        <v>895000</v>
      </c>
      <c r="F131" s="47">
        <f>'дод 3'!G195+'дод 3'!G238</f>
        <v>282787.09999999998</v>
      </c>
      <c r="G131" s="47">
        <f>'дод 3'!H195+'дод 3'!H238</f>
        <v>0</v>
      </c>
      <c r="H131" s="47">
        <f>'дод 3'!I195+'дод 3'!I238</f>
        <v>0</v>
      </c>
      <c r="I131" s="47">
        <f>'дод 3'!J195+'дод 3'!J238</f>
        <v>0</v>
      </c>
      <c r="J131" s="47">
        <f>'дод 3'!K195+'дод 3'!K238</f>
        <v>0</v>
      </c>
      <c r="K131" s="47">
        <f>'дод 3'!L195+'дод 3'!L238</f>
        <v>0</v>
      </c>
      <c r="L131" s="47">
        <f>'дод 3'!M195+'дод 3'!M238</f>
        <v>0</v>
      </c>
      <c r="M131" s="47">
        <f>'дод 3'!N195+'дод 3'!N238</f>
        <v>0</v>
      </c>
      <c r="N131" s="47">
        <f>'дод 3'!O195+'дод 3'!O238</f>
        <v>0</v>
      </c>
      <c r="O131" s="47">
        <f>'дод 3'!P195+'дод 3'!P238</f>
        <v>895000</v>
      </c>
      <c r="P131" s="271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</row>
    <row r="132" spans="1:35" ht="53.25" customHeight="1" x14ac:dyDescent="0.25">
      <c r="A132" s="5" t="s">
        <v>654</v>
      </c>
      <c r="B132" s="5"/>
      <c r="C132" s="13" t="s">
        <v>657</v>
      </c>
      <c r="D132" s="47">
        <f>D134</f>
        <v>0</v>
      </c>
      <c r="E132" s="47">
        <f t="shared" ref="E132:L132" si="30">E134</f>
        <v>0</v>
      </c>
      <c r="F132" s="47">
        <f t="shared" si="30"/>
        <v>0</v>
      </c>
      <c r="G132" s="47">
        <f t="shared" si="30"/>
        <v>0</v>
      </c>
      <c r="H132" s="47">
        <f t="shared" si="30"/>
        <v>0</v>
      </c>
      <c r="I132" s="47">
        <f>I134+I136+I138</f>
        <v>12613549.68</v>
      </c>
      <c r="J132" s="47">
        <f t="shared" si="30"/>
        <v>0</v>
      </c>
      <c r="K132" s="47">
        <f t="shared" si="30"/>
        <v>0</v>
      </c>
      <c r="L132" s="47">
        <f t="shared" si="30"/>
        <v>0</v>
      </c>
      <c r="M132" s="47">
        <f>M134+M136+M138</f>
        <v>12613549.68</v>
      </c>
      <c r="N132" s="47">
        <f>N134+N136+N138</f>
        <v>12613549.68</v>
      </c>
      <c r="O132" s="47">
        <f>O134+O136+O138</f>
        <v>12613549.68</v>
      </c>
      <c r="P132" s="271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</row>
    <row r="133" spans="1:35" ht="25.5" customHeight="1" x14ac:dyDescent="0.25">
      <c r="B133" s="5"/>
      <c r="C133" s="13" t="s">
        <v>416</v>
      </c>
      <c r="D133" s="47">
        <f>D135</f>
        <v>0</v>
      </c>
      <c r="E133" s="47">
        <f t="shared" ref="E133:L133" si="31">E135</f>
        <v>0</v>
      </c>
      <c r="F133" s="47">
        <f t="shared" si="31"/>
        <v>0</v>
      </c>
      <c r="G133" s="47">
        <f t="shared" si="31"/>
        <v>0</v>
      </c>
      <c r="H133" s="47">
        <f t="shared" si="31"/>
        <v>0</v>
      </c>
      <c r="I133" s="47">
        <f>I135+I137+I139</f>
        <v>12613549.68</v>
      </c>
      <c r="J133" s="47">
        <f t="shared" si="31"/>
        <v>0</v>
      </c>
      <c r="K133" s="47">
        <f t="shared" si="31"/>
        <v>0</v>
      </c>
      <c r="L133" s="47">
        <f t="shared" si="31"/>
        <v>0</v>
      </c>
      <c r="M133" s="47">
        <f>M132</f>
        <v>12613549.68</v>
      </c>
      <c r="N133" s="47">
        <f>N132</f>
        <v>12613549.68</v>
      </c>
      <c r="O133" s="47">
        <f>O132</f>
        <v>12613549.68</v>
      </c>
      <c r="P133" s="271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</row>
    <row r="134" spans="1:35" ht="211.5" customHeight="1" x14ac:dyDescent="0.25">
      <c r="A134" s="7" t="s">
        <v>655</v>
      </c>
      <c r="B134" s="5" t="s">
        <v>88</v>
      </c>
      <c r="C134" s="247" t="s">
        <v>656</v>
      </c>
      <c r="D134" s="49">
        <f>'дод 3'!E198</f>
        <v>0</v>
      </c>
      <c r="E134" s="49">
        <f>'дод 3'!F198</f>
        <v>0</v>
      </c>
      <c r="F134" s="49">
        <f>'дод 3'!G198</f>
        <v>0</v>
      </c>
      <c r="G134" s="49">
        <f>'дод 3'!H198</f>
        <v>0</v>
      </c>
      <c r="H134" s="49">
        <f>'дод 3'!I198</f>
        <v>0</v>
      </c>
      <c r="I134" s="49">
        <f>'дод 3'!J198</f>
        <v>6547535.21</v>
      </c>
      <c r="J134" s="49">
        <f>'дод 3'!K198</f>
        <v>0</v>
      </c>
      <c r="K134" s="49">
        <f>'дод 3'!L198</f>
        <v>0</v>
      </c>
      <c r="L134" s="49">
        <f>'дод 3'!M198</f>
        <v>0</v>
      </c>
      <c r="M134" s="49">
        <f>'дод 3'!N198</f>
        <v>6547535.21</v>
      </c>
      <c r="N134" s="49">
        <f>'дод 3'!O198</f>
        <v>6547535.21</v>
      </c>
      <c r="O134" s="49">
        <f>'дод 3'!P198</f>
        <v>6547535.21</v>
      </c>
      <c r="P134" s="271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</row>
    <row r="135" spans="1:35" s="8" customFormat="1" ht="27.75" customHeight="1" x14ac:dyDescent="0.25">
      <c r="A135" s="7"/>
      <c r="B135" s="7"/>
      <c r="C135" s="14" t="s">
        <v>416</v>
      </c>
      <c r="D135" s="49">
        <f>'дод 3'!E199</f>
        <v>0</v>
      </c>
      <c r="E135" s="49">
        <f>'дод 3'!F199</f>
        <v>0</v>
      </c>
      <c r="F135" s="49">
        <f>'дод 3'!G199</f>
        <v>0</v>
      </c>
      <c r="G135" s="49">
        <f>'дод 3'!H199</f>
        <v>0</v>
      </c>
      <c r="H135" s="49">
        <f>'дод 3'!I199</f>
        <v>0</v>
      </c>
      <c r="I135" s="49">
        <f>'дод 3'!J199</f>
        <v>6547535.21</v>
      </c>
      <c r="J135" s="49">
        <f>'дод 3'!K199</f>
        <v>0</v>
      </c>
      <c r="K135" s="49">
        <f>'дод 3'!L199</f>
        <v>0</v>
      </c>
      <c r="L135" s="49">
        <f>'дод 3'!M199</f>
        <v>0</v>
      </c>
      <c r="M135" s="49">
        <f>'дод 3'!N199</f>
        <v>6547535.21</v>
      </c>
      <c r="N135" s="49">
        <f>'дод 3'!O199</f>
        <v>6547535.21</v>
      </c>
      <c r="O135" s="49">
        <f>'дод 3'!P199</f>
        <v>6547535.21</v>
      </c>
      <c r="P135" s="271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</row>
    <row r="136" spans="1:35" s="8" customFormat="1" ht="209.25" customHeight="1" x14ac:dyDescent="0.25">
      <c r="A136" s="7" t="s">
        <v>665</v>
      </c>
      <c r="B136" s="7" t="s">
        <v>88</v>
      </c>
      <c r="C136" s="247" t="s">
        <v>664</v>
      </c>
      <c r="D136" s="49"/>
      <c r="E136" s="49"/>
      <c r="F136" s="49"/>
      <c r="G136" s="49"/>
      <c r="H136" s="49"/>
      <c r="I136" s="49">
        <f>'дод 3'!J200</f>
        <v>2544480</v>
      </c>
      <c r="J136" s="49"/>
      <c r="K136" s="49"/>
      <c r="L136" s="49"/>
      <c r="M136" s="49">
        <f>'дод 3'!N200</f>
        <v>2544480</v>
      </c>
      <c r="N136" s="49">
        <f>'дод 3'!O200</f>
        <v>2544480</v>
      </c>
      <c r="O136" s="49">
        <f>'дод 3'!P200</f>
        <v>2544480</v>
      </c>
      <c r="P136" s="271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</row>
    <row r="137" spans="1:35" s="8" customFormat="1" ht="27.75" customHeight="1" x14ac:dyDescent="0.25">
      <c r="A137" s="7"/>
      <c r="B137" s="7"/>
      <c r="C137" s="14" t="s">
        <v>416</v>
      </c>
      <c r="D137" s="49"/>
      <c r="E137" s="49"/>
      <c r="F137" s="49"/>
      <c r="G137" s="49"/>
      <c r="H137" s="49"/>
      <c r="I137" s="49">
        <f>'дод 3'!J201</f>
        <v>2544480</v>
      </c>
      <c r="J137" s="49"/>
      <c r="K137" s="49"/>
      <c r="L137" s="49"/>
      <c r="M137" s="49">
        <f>'дод 3'!N201</f>
        <v>2544480</v>
      </c>
      <c r="N137" s="49">
        <f>'дод 3'!O201</f>
        <v>2544480</v>
      </c>
      <c r="O137" s="49">
        <f>'дод 3'!P201</f>
        <v>2544480</v>
      </c>
      <c r="P137" s="271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</row>
    <row r="138" spans="1:35" s="8" customFormat="1" ht="216" customHeight="1" x14ac:dyDescent="0.25">
      <c r="A138" s="7" t="s">
        <v>667</v>
      </c>
      <c r="B138" s="7" t="s">
        <v>88</v>
      </c>
      <c r="C138" s="247" t="s">
        <v>666</v>
      </c>
      <c r="D138" s="49"/>
      <c r="E138" s="49"/>
      <c r="F138" s="49"/>
      <c r="G138" s="49"/>
      <c r="H138" s="49"/>
      <c r="I138" s="49">
        <f>'дод 3'!J202</f>
        <v>3521534.4699999997</v>
      </c>
      <c r="J138" s="49"/>
      <c r="K138" s="49"/>
      <c r="L138" s="49"/>
      <c r="M138" s="49">
        <f>'дод 3'!N202</f>
        <v>3521534.4699999997</v>
      </c>
      <c r="N138" s="49">
        <f>'дод 3'!O202</f>
        <v>3521534.4699999997</v>
      </c>
      <c r="O138" s="49">
        <f>'дод 3'!P202</f>
        <v>3521534.4699999997</v>
      </c>
      <c r="P138" s="271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</row>
    <row r="139" spans="1:35" s="8" customFormat="1" ht="27.75" customHeight="1" x14ac:dyDescent="0.25">
      <c r="A139" s="7"/>
      <c r="B139" s="7"/>
      <c r="C139" s="14" t="s">
        <v>416</v>
      </c>
      <c r="D139" s="49"/>
      <c r="E139" s="49"/>
      <c r="F139" s="49"/>
      <c r="G139" s="49"/>
      <c r="H139" s="49"/>
      <c r="I139" s="49">
        <f>'дод 3'!J203</f>
        <v>3521534.4699999997</v>
      </c>
      <c r="J139" s="49"/>
      <c r="K139" s="49"/>
      <c r="L139" s="49"/>
      <c r="M139" s="49">
        <f>'дод 3'!N203</f>
        <v>3521534.4699999997</v>
      </c>
      <c r="N139" s="49">
        <f>'дод 3'!O203</f>
        <v>3521534.4699999997</v>
      </c>
      <c r="O139" s="49">
        <f>'дод 3'!P203</f>
        <v>3521534.4699999997</v>
      </c>
      <c r="P139" s="271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</row>
    <row r="140" spans="1:35" ht="161.25" customHeight="1" x14ac:dyDescent="0.25">
      <c r="A140" s="5" t="s">
        <v>564</v>
      </c>
      <c r="B140" s="5" t="s">
        <v>148</v>
      </c>
      <c r="C140" s="13" t="s">
        <v>565</v>
      </c>
      <c r="D140" s="47">
        <f>'дод 3'!E204</f>
        <v>2495700</v>
      </c>
      <c r="E140" s="47">
        <f>'дод 3'!F204</f>
        <v>2495700</v>
      </c>
      <c r="F140" s="47">
        <f>'дод 3'!G204</f>
        <v>0</v>
      </c>
      <c r="G140" s="47">
        <f>'дод 3'!H204</f>
        <v>0</v>
      </c>
      <c r="H140" s="47">
        <f>'дод 3'!I204</f>
        <v>0</v>
      </c>
      <c r="I140" s="47">
        <f>'дод 3'!J204</f>
        <v>0</v>
      </c>
      <c r="J140" s="47">
        <f>'дод 3'!K204</f>
        <v>0</v>
      </c>
      <c r="K140" s="47">
        <f>'дод 3'!L204</f>
        <v>0</v>
      </c>
      <c r="L140" s="47">
        <f>'дод 3'!M204</f>
        <v>0</v>
      </c>
      <c r="M140" s="47">
        <f>'дод 3'!N204</f>
        <v>0</v>
      </c>
      <c r="N140" s="47">
        <f>'дод 3'!O204</f>
        <v>0</v>
      </c>
      <c r="O140" s="47">
        <f>'дод 3'!P204</f>
        <v>2495700</v>
      </c>
      <c r="P140" s="271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</row>
    <row r="141" spans="1:35" ht="27.75" customHeight="1" x14ac:dyDescent="0.25">
      <c r="B141" s="5"/>
      <c r="C141" s="13" t="s">
        <v>416</v>
      </c>
      <c r="D141" s="47">
        <f>'дод 3'!E205</f>
        <v>2495700</v>
      </c>
      <c r="E141" s="47">
        <f>'дод 3'!F205</f>
        <v>2495700</v>
      </c>
      <c r="F141" s="47">
        <f>'дод 3'!G205</f>
        <v>0</v>
      </c>
      <c r="G141" s="47">
        <f>'дод 3'!H205</f>
        <v>0</v>
      </c>
      <c r="H141" s="47">
        <f>'дод 3'!I205</f>
        <v>0</v>
      </c>
      <c r="I141" s="47">
        <f>'дод 3'!J205</f>
        <v>0</v>
      </c>
      <c r="J141" s="47">
        <f>'дод 3'!K205</f>
        <v>0</v>
      </c>
      <c r="K141" s="47">
        <f>'дод 3'!L205</f>
        <v>0</v>
      </c>
      <c r="L141" s="47">
        <f>'дод 3'!M205</f>
        <v>0</v>
      </c>
      <c r="M141" s="47">
        <f>'дод 3'!N205</f>
        <v>0</v>
      </c>
      <c r="N141" s="47">
        <f>'дод 3'!O205</f>
        <v>0</v>
      </c>
      <c r="O141" s="47">
        <f>'дод 3'!P205</f>
        <v>2495700</v>
      </c>
      <c r="P141" s="271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</row>
    <row r="142" spans="1:35" ht="29.25" customHeight="1" x14ac:dyDescent="0.25">
      <c r="A142" s="5" t="s">
        <v>457</v>
      </c>
      <c r="B142" s="5"/>
      <c r="C142" s="13" t="s">
        <v>458</v>
      </c>
      <c r="D142" s="47">
        <f>D143+D144</f>
        <v>42303999.700000003</v>
      </c>
      <c r="E142" s="47">
        <f t="shared" ref="E142:O142" si="32">E143+E144</f>
        <v>42303999.700000003</v>
      </c>
      <c r="F142" s="47">
        <f t="shared" si="32"/>
        <v>3173092</v>
      </c>
      <c r="G142" s="47">
        <f t="shared" si="32"/>
        <v>770758</v>
      </c>
      <c r="H142" s="47">
        <f t="shared" si="32"/>
        <v>0</v>
      </c>
      <c r="I142" s="47">
        <f t="shared" si="32"/>
        <v>380382</v>
      </c>
      <c r="J142" s="47">
        <f t="shared" si="32"/>
        <v>0</v>
      </c>
      <c r="K142" s="47">
        <f t="shared" si="32"/>
        <v>0</v>
      </c>
      <c r="L142" s="47">
        <f t="shared" si="32"/>
        <v>0</v>
      </c>
      <c r="M142" s="47">
        <f t="shared" si="32"/>
        <v>380382</v>
      </c>
      <c r="N142" s="47">
        <f t="shared" si="32"/>
        <v>380382</v>
      </c>
      <c r="O142" s="47">
        <f t="shared" si="32"/>
        <v>42684381.700000003</v>
      </c>
      <c r="P142" s="271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</row>
    <row r="143" spans="1:35" s="8" customFormat="1" ht="32.25" customHeight="1" x14ac:dyDescent="0.25">
      <c r="A143" s="7" t="s">
        <v>459</v>
      </c>
      <c r="B143" s="7" t="s">
        <v>91</v>
      </c>
      <c r="C143" s="14" t="s">
        <v>461</v>
      </c>
      <c r="D143" s="49">
        <f>'дод 3'!E26+'дод 3'!E207</f>
        <v>5149990</v>
      </c>
      <c r="E143" s="49">
        <f>'дод 3'!F26+'дод 3'!F207</f>
        <v>5149990</v>
      </c>
      <c r="F143" s="49">
        <f>'дод 3'!G26+'дод 3'!G207</f>
        <v>3173092</v>
      </c>
      <c r="G143" s="49">
        <f>'дод 3'!H26+'дод 3'!H207</f>
        <v>770758</v>
      </c>
      <c r="H143" s="49">
        <f>'дод 3'!I26+'дод 3'!I207</f>
        <v>0</v>
      </c>
      <c r="I143" s="49">
        <f>'дод 3'!J26+'дод 3'!J207</f>
        <v>305382</v>
      </c>
      <c r="J143" s="49">
        <f>'дод 3'!K26+'дод 3'!K207</f>
        <v>0</v>
      </c>
      <c r="K143" s="49">
        <f>'дод 3'!L26+'дод 3'!L207</f>
        <v>0</v>
      </c>
      <c r="L143" s="49">
        <f>'дод 3'!M26+'дод 3'!M207</f>
        <v>0</v>
      </c>
      <c r="M143" s="49">
        <f>'дод 3'!N26+'дод 3'!N207</f>
        <v>305382</v>
      </c>
      <c r="N143" s="49">
        <f>'дод 3'!O26+'дод 3'!O207</f>
        <v>305382</v>
      </c>
      <c r="O143" s="49">
        <f>'дод 3'!P26+'дод 3'!P207</f>
        <v>5455372</v>
      </c>
      <c r="P143" s="271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</row>
    <row r="144" spans="1:35" s="8" customFormat="1" ht="41.25" customHeight="1" x14ac:dyDescent="0.25">
      <c r="A144" s="7" t="s">
        <v>460</v>
      </c>
      <c r="B144" s="7" t="s">
        <v>91</v>
      </c>
      <c r="C144" s="14" t="s">
        <v>462</v>
      </c>
      <c r="D144" s="49">
        <f>'дод 3'!E27+'дод 3'!E208+'дод 3'!E85</f>
        <v>37154009.700000003</v>
      </c>
      <c r="E144" s="49">
        <f>'дод 3'!F27+'дод 3'!F208+'дод 3'!F85</f>
        <v>37154009.700000003</v>
      </c>
      <c r="F144" s="49">
        <f>'дод 3'!G27+'дод 3'!G208+'дод 3'!G85</f>
        <v>0</v>
      </c>
      <c r="G144" s="49">
        <f>'дод 3'!H27+'дод 3'!H208+'дод 3'!H85</f>
        <v>0</v>
      </c>
      <c r="H144" s="49">
        <f>'дод 3'!I27+'дод 3'!I208+'дод 3'!I85</f>
        <v>0</v>
      </c>
      <c r="I144" s="49">
        <f>'дод 3'!J27+'дод 3'!J208+'дод 3'!J85</f>
        <v>75000</v>
      </c>
      <c r="J144" s="49">
        <f>'дод 3'!K27+'дод 3'!K208+'дод 3'!K85</f>
        <v>0</v>
      </c>
      <c r="K144" s="49">
        <f>'дод 3'!L27+'дод 3'!L208+'дод 3'!L85</f>
        <v>0</v>
      </c>
      <c r="L144" s="49">
        <f>'дод 3'!M27+'дод 3'!M208+'дод 3'!M85</f>
        <v>0</v>
      </c>
      <c r="M144" s="49">
        <f>'дод 3'!N27+'дод 3'!N208+'дод 3'!N85</f>
        <v>75000</v>
      </c>
      <c r="N144" s="49">
        <f>'дод 3'!O27+'дод 3'!O208+'дод 3'!O85</f>
        <v>75000</v>
      </c>
      <c r="O144" s="49">
        <f>'дод 3'!P27+'дод 3'!P208+'дод 3'!P85</f>
        <v>37229009.700000003</v>
      </c>
      <c r="P144" s="271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</row>
    <row r="145" spans="1:35" s="21" customFormat="1" ht="19.5" customHeight="1" x14ac:dyDescent="0.25">
      <c r="A145" s="22" t="s">
        <v>112</v>
      </c>
      <c r="B145" s="11"/>
      <c r="C145" s="11" t="s">
        <v>113</v>
      </c>
      <c r="D145" s="48">
        <f>D146+D148+D147</f>
        <v>25513619</v>
      </c>
      <c r="E145" s="48">
        <f t="shared" ref="E145:O145" si="33">E146+E148+E147</f>
        <v>25513619</v>
      </c>
      <c r="F145" s="48">
        <f t="shared" si="33"/>
        <v>14067674</v>
      </c>
      <c r="G145" s="48">
        <f t="shared" si="33"/>
        <v>1621647</v>
      </c>
      <c r="H145" s="48">
        <f t="shared" si="33"/>
        <v>0</v>
      </c>
      <c r="I145" s="48">
        <f t="shared" si="33"/>
        <v>1355300</v>
      </c>
      <c r="J145" s="48">
        <f t="shared" si="33"/>
        <v>27000</v>
      </c>
      <c r="K145" s="48">
        <f t="shared" si="33"/>
        <v>5000</v>
      </c>
      <c r="L145" s="48">
        <f t="shared" si="33"/>
        <v>0</v>
      </c>
      <c r="M145" s="48">
        <f t="shared" si="33"/>
        <v>1328300</v>
      </c>
      <c r="N145" s="48">
        <f t="shared" si="33"/>
        <v>1328300</v>
      </c>
      <c r="O145" s="48">
        <f t="shared" si="33"/>
        <v>26868919</v>
      </c>
      <c r="P145" s="271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</row>
    <row r="146" spans="1:35" ht="22.5" customHeight="1" x14ac:dyDescent="0.25">
      <c r="A146" s="5" t="s">
        <v>114</v>
      </c>
      <c r="B146" s="5" t="s">
        <v>115</v>
      </c>
      <c r="C146" s="13" t="s">
        <v>29</v>
      </c>
      <c r="D146" s="47">
        <f>'дод 3'!E225</f>
        <v>16455555</v>
      </c>
      <c r="E146" s="47">
        <f>'дод 3'!F225</f>
        <v>16455555</v>
      </c>
      <c r="F146" s="47">
        <f>'дод 3'!G225</f>
        <v>11407051</v>
      </c>
      <c r="G146" s="47">
        <f>'дод 3'!H225</f>
        <v>1192269</v>
      </c>
      <c r="H146" s="47">
        <f>'дод 3'!I225</f>
        <v>0</v>
      </c>
      <c r="I146" s="47">
        <f>'дод 3'!J225</f>
        <v>1257150</v>
      </c>
      <c r="J146" s="47">
        <f>'дод 3'!K225</f>
        <v>27000</v>
      </c>
      <c r="K146" s="47">
        <f>'дод 3'!L225</f>
        <v>5000</v>
      </c>
      <c r="L146" s="47">
        <f>'дод 3'!M225</f>
        <v>0</v>
      </c>
      <c r="M146" s="47">
        <f>'дод 3'!N225</f>
        <v>1230150</v>
      </c>
      <c r="N146" s="47">
        <f>'дод 3'!O225</f>
        <v>1230150</v>
      </c>
      <c r="O146" s="47">
        <f>'дод 3'!P225</f>
        <v>17712705</v>
      </c>
      <c r="P146" s="271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</row>
    <row r="147" spans="1:35" ht="33.75" customHeight="1" x14ac:dyDescent="0.25">
      <c r="A147" s="5" t="s">
        <v>587</v>
      </c>
      <c r="B147" s="5" t="s">
        <v>588</v>
      </c>
      <c r="C147" s="13" t="s">
        <v>589</v>
      </c>
      <c r="D147" s="47">
        <f>'дод 3'!E28</f>
        <v>2392830</v>
      </c>
      <c r="E147" s="47">
        <f>'дод 3'!F28</f>
        <v>2392830</v>
      </c>
      <c r="F147" s="47">
        <f>'дод 3'!G28</f>
        <v>783989</v>
      </c>
      <c r="G147" s="47">
        <f>'дод 3'!H28</f>
        <v>315625</v>
      </c>
      <c r="H147" s="47">
        <f>'дод 3'!I28</f>
        <v>0</v>
      </c>
      <c r="I147" s="47">
        <f>'дод 3'!J28</f>
        <v>28500</v>
      </c>
      <c r="J147" s="47">
        <f>'дод 3'!K28</f>
        <v>0</v>
      </c>
      <c r="K147" s="47">
        <f>'дод 3'!L28</f>
        <v>0</v>
      </c>
      <c r="L147" s="47">
        <f>'дод 3'!M28</f>
        <v>0</v>
      </c>
      <c r="M147" s="47">
        <f>'дод 3'!N28</f>
        <v>28500</v>
      </c>
      <c r="N147" s="47">
        <f>'дод 3'!O28</f>
        <v>28500</v>
      </c>
      <c r="O147" s="47">
        <f>'дод 3'!P28</f>
        <v>2421330</v>
      </c>
      <c r="P147" s="271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</row>
    <row r="148" spans="1:35" ht="27.75" customHeight="1" x14ac:dyDescent="0.25">
      <c r="A148" s="5" t="s">
        <v>31</v>
      </c>
      <c r="B148" s="5"/>
      <c r="C148" s="13" t="s">
        <v>463</v>
      </c>
      <c r="D148" s="47">
        <f>'дод 3'!E29+'дод 3'!E226</f>
        <v>6665234</v>
      </c>
      <c r="E148" s="47">
        <f>'дод 3'!F29+'дод 3'!F226</f>
        <v>6665234</v>
      </c>
      <c r="F148" s="47">
        <f>'дод 3'!G29+'дод 3'!G226</f>
        <v>1876634</v>
      </c>
      <c r="G148" s="47">
        <f>'дод 3'!H29+'дод 3'!H226</f>
        <v>113753</v>
      </c>
      <c r="H148" s="47">
        <f>'дод 3'!I29+'дод 3'!I226</f>
        <v>0</v>
      </c>
      <c r="I148" s="47">
        <f>'дод 3'!J29+'дод 3'!J226</f>
        <v>69650</v>
      </c>
      <c r="J148" s="47">
        <f>'дод 3'!K29+'дод 3'!K226</f>
        <v>0</v>
      </c>
      <c r="K148" s="47">
        <f>'дод 3'!L29+'дод 3'!L226</f>
        <v>0</v>
      </c>
      <c r="L148" s="47">
        <f>'дод 3'!M29+'дод 3'!M226</f>
        <v>0</v>
      </c>
      <c r="M148" s="47">
        <f>'дод 3'!N29+'дод 3'!N226</f>
        <v>69650</v>
      </c>
      <c r="N148" s="47">
        <f>'дод 3'!O29+'дод 3'!O226</f>
        <v>69650</v>
      </c>
      <c r="O148" s="47">
        <f>'дод 3'!P29+'дод 3'!P226</f>
        <v>6734884</v>
      </c>
      <c r="P148" s="271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</row>
    <row r="149" spans="1:35" s="8" customFormat="1" ht="39.75" customHeight="1" x14ac:dyDescent="0.25">
      <c r="A149" s="7" t="s">
        <v>464</v>
      </c>
      <c r="B149" s="7" t="s">
        <v>116</v>
      </c>
      <c r="C149" s="14" t="s">
        <v>466</v>
      </c>
      <c r="D149" s="49">
        <f>'дод 3'!E30+'дод 3'!E227</f>
        <v>3446282</v>
      </c>
      <c r="E149" s="49">
        <f>'дод 3'!F30+'дод 3'!F227</f>
        <v>3446282</v>
      </c>
      <c r="F149" s="49">
        <f>'дод 3'!G30+'дод 3'!G227</f>
        <v>1876634</v>
      </c>
      <c r="G149" s="49">
        <f>'дод 3'!H30+'дод 3'!H227</f>
        <v>113753</v>
      </c>
      <c r="H149" s="49">
        <f>'дод 3'!I30+'дод 3'!I227</f>
        <v>0</v>
      </c>
      <c r="I149" s="49">
        <f>'дод 3'!J30+'дод 3'!J227</f>
        <v>69650</v>
      </c>
      <c r="J149" s="49">
        <f>'дод 3'!K30+'дод 3'!K227</f>
        <v>0</v>
      </c>
      <c r="K149" s="49">
        <f>'дод 3'!L30+'дод 3'!L227</f>
        <v>0</v>
      </c>
      <c r="L149" s="49">
        <f>'дод 3'!M30+'дод 3'!M227</f>
        <v>0</v>
      </c>
      <c r="M149" s="49">
        <f>'дод 3'!N30+'дод 3'!N227</f>
        <v>69650</v>
      </c>
      <c r="N149" s="49">
        <f>'дод 3'!O30+'дод 3'!O227</f>
        <v>69650</v>
      </c>
      <c r="O149" s="49">
        <f>'дод 3'!P30+'дод 3'!P227</f>
        <v>3515932</v>
      </c>
      <c r="P149" s="271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</row>
    <row r="150" spans="1:35" s="8" customFormat="1" ht="30" customHeight="1" x14ac:dyDescent="0.25">
      <c r="A150" s="7" t="s">
        <v>465</v>
      </c>
      <c r="B150" s="7" t="s">
        <v>116</v>
      </c>
      <c r="C150" s="14" t="s">
        <v>467</v>
      </c>
      <c r="D150" s="49">
        <f>'дод 3'!E31+'дод 3'!E228</f>
        <v>3218952</v>
      </c>
      <c r="E150" s="49">
        <f>'дод 3'!F31+'дод 3'!F228</f>
        <v>3218952</v>
      </c>
      <c r="F150" s="49">
        <f>'дод 3'!G31+'дод 3'!G228</f>
        <v>0</v>
      </c>
      <c r="G150" s="49">
        <f>'дод 3'!H31+'дод 3'!H228</f>
        <v>0</v>
      </c>
      <c r="H150" s="49">
        <f>'дод 3'!I31+'дод 3'!I228</f>
        <v>0</v>
      </c>
      <c r="I150" s="49">
        <f>'дод 3'!J31+'дод 3'!J228</f>
        <v>0</v>
      </c>
      <c r="J150" s="49">
        <f>'дод 3'!K31+'дод 3'!K228</f>
        <v>0</v>
      </c>
      <c r="K150" s="49">
        <f>'дод 3'!L31+'дод 3'!L228</f>
        <v>0</v>
      </c>
      <c r="L150" s="49">
        <f>'дод 3'!M31+'дод 3'!M228</f>
        <v>0</v>
      </c>
      <c r="M150" s="49">
        <f>'дод 3'!N31+'дод 3'!N228</f>
        <v>0</v>
      </c>
      <c r="N150" s="49">
        <f>'дод 3'!O31+'дод 3'!O228</f>
        <v>0</v>
      </c>
      <c r="O150" s="49">
        <f>'дод 3'!P31+'дод 3'!P228</f>
        <v>3218952</v>
      </c>
      <c r="P150" s="271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</row>
    <row r="151" spans="1:35" s="21" customFormat="1" ht="21.75" customHeight="1" x14ac:dyDescent="0.25">
      <c r="A151" s="22" t="s">
        <v>119</v>
      </c>
      <c r="B151" s="11"/>
      <c r="C151" s="11" t="s">
        <v>120</v>
      </c>
      <c r="D151" s="48">
        <f>D152+D155+D158</f>
        <v>33615507</v>
      </c>
      <c r="E151" s="48">
        <f t="shared" ref="E151:O151" si="34">E152+E155+E158</f>
        <v>33615507</v>
      </c>
      <c r="F151" s="48">
        <f t="shared" si="34"/>
        <v>11348233</v>
      </c>
      <c r="G151" s="48">
        <f t="shared" si="34"/>
        <v>1275916</v>
      </c>
      <c r="H151" s="48">
        <f t="shared" si="34"/>
        <v>0</v>
      </c>
      <c r="I151" s="48">
        <f t="shared" si="34"/>
        <v>3799337</v>
      </c>
      <c r="J151" s="48">
        <f t="shared" si="34"/>
        <v>226687</v>
      </c>
      <c r="K151" s="48">
        <f t="shared" si="34"/>
        <v>141022</v>
      </c>
      <c r="L151" s="48">
        <f t="shared" si="34"/>
        <v>53404</v>
      </c>
      <c r="M151" s="48">
        <f t="shared" si="34"/>
        <v>3572650</v>
      </c>
      <c r="N151" s="48">
        <f t="shared" si="34"/>
        <v>3572650</v>
      </c>
      <c r="O151" s="48">
        <f t="shared" si="34"/>
        <v>37414844</v>
      </c>
      <c r="P151" s="271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</row>
    <row r="152" spans="1:35" ht="29.25" customHeight="1" x14ac:dyDescent="0.25">
      <c r="A152" s="5" t="s">
        <v>121</v>
      </c>
      <c r="B152" s="13"/>
      <c r="C152" s="13" t="s">
        <v>42</v>
      </c>
      <c r="D152" s="47">
        <f>D153+D154</f>
        <v>1772339</v>
      </c>
      <c r="E152" s="47">
        <f t="shared" ref="E152:O152" si="35">E153+E154</f>
        <v>1772339</v>
      </c>
      <c r="F152" s="47">
        <f t="shared" si="35"/>
        <v>0</v>
      </c>
      <c r="G152" s="47">
        <f t="shared" si="35"/>
        <v>0</v>
      </c>
      <c r="H152" s="47">
        <f t="shared" si="35"/>
        <v>0</v>
      </c>
      <c r="I152" s="47">
        <f t="shared" si="35"/>
        <v>177000</v>
      </c>
      <c r="J152" s="47">
        <f t="shared" si="35"/>
        <v>0</v>
      </c>
      <c r="K152" s="47">
        <f t="shared" si="35"/>
        <v>0</v>
      </c>
      <c r="L152" s="47">
        <f t="shared" si="35"/>
        <v>0</v>
      </c>
      <c r="M152" s="47">
        <f t="shared" si="35"/>
        <v>177000</v>
      </c>
      <c r="N152" s="47">
        <f t="shared" si="35"/>
        <v>177000</v>
      </c>
      <c r="O152" s="47">
        <f t="shared" si="35"/>
        <v>1949339</v>
      </c>
      <c r="P152" s="271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</row>
    <row r="153" spans="1:35" s="8" customFormat="1" ht="43.5" customHeight="1" x14ac:dyDescent="0.25">
      <c r="A153" s="7" t="s">
        <v>122</v>
      </c>
      <c r="B153" s="7" t="s">
        <v>123</v>
      </c>
      <c r="C153" s="14" t="s">
        <v>43</v>
      </c>
      <c r="D153" s="49">
        <f>'дод 3'!E33</f>
        <v>836070</v>
      </c>
      <c r="E153" s="49">
        <f>'дод 3'!F33</f>
        <v>836070</v>
      </c>
      <c r="F153" s="49">
        <f>'дод 3'!G33</f>
        <v>0</v>
      </c>
      <c r="G153" s="49">
        <f>'дод 3'!H33</f>
        <v>0</v>
      </c>
      <c r="H153" s="49">
        <f>'дод 3'!I33</f>
        <v>0</v>
      </c>
      <c r="I153" s="49">
        <f>'дод 3'!J33</f>
        <v>177000</v>
      </c>
      <c r="J153" s="49">
        <f>'дод 3'!K33</f>
        <v>0</v>
      </c>
      <c r="K153" s="49">
        <f>'дод 3'!L33</f>
        <v>0</v>
      </c>
      <c r="L153" s="49">
        <f>'дод 3'!M33</f>
        <v>0</v>
      </c>
      <c r="M153" s="49">
        <f>'дод 3'!N33</f>
        <v>177000</v>
      </c>
      <c r="N153" s="49">
        <f>'дод 3'!O33</f>
        <v>177000</v>
      </c>
      <c r="O153" s="49">
        <f>'дод 3'!P33</f>
        <v>1013070</v>
      </c>
      <c r="P153" s="271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</row>
    <row r="154" spans="1:35" s="8" customFormat="1" ht="39.75" customHeight="1" x14ac:dyDescent="0.25">
      <c r="A154" s="7" t="s">
        <v>124</v>
      </c>
      <c r="B154" s="7" t="s">
        <v>123</v>
      </c>
      <c r="C154" s="14" t="s">
        <v>32</v>
      </c>
      <c r="D154" s="49">
        <f>'дод 3'!E34</f>
        <v>936269</v>
      </c>
      <c r="E154" s="49">
        <f>'дод 3'!F34</f>
        <v>936269</v>
      </c>
      <c r="F154" s="49">
        <f>'дод 3'!G34</f>
        <v>0</v>
      </c>
      <c r="G154" s="49">
        <f>'дод 3'!H34</f>
        <v>0</v>
      </c>
      <c r="H154" s="49">
        <f>'дод 3'!I34</f>
        <v>0</v>
      </c>
      <c r="I154" s="49">
        <f>'дод 3'!J34</f>
        <v>0</v>
      </c>
      <c r="J154" s="49">
        <f>'дод 3'!K34</f>
        <v>0</v>
      </c>
      <c r="K154" s="49">
        <f>'дод 3'!L34</f>
        <v>0</v>
      </c>
      <c r="L154" s="49">
        <f>'дод 3'!M34</f>
        <v>0</v>
      </c>
      <c r="M154" s="49">
        <f>'дод 3'!N34</f>
        <v>0</v>
      </c>
      <c r="N154" s="49">
        <f>'дод 3'!O34</f>
        <v>0</v>
      </c>
      <c r="O154" s="49">
        <f>'дод 3'!P34</f>
        <v>936269</v>
      </c>
      <c r="P154" s="271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</row>
    <row r="155" spans="1:35" ht="30.75" customHeight="1" x14ac:dyDescent="0.25">
      <c r="A155" s="5" t="s">
        <v>174</v>
      </c>
      <c r="B155" s="5"/>
      <c r="C155" s="13" t="s">
        <v>177</v>
      </c>
      <c r="D155" s="47">
        <f>D156+D157</f>
        <v>22292304</v>
      </c>
      <c r="E155" s="47">
        <f t="shared" ref="E155:O155" si="36">E156+E157</f>
        <v>22292304</v>
      </c>
      <c r="F155" s="47">
        <f t="shared" si="36"/>
        <v>9558450</v>
      </c>
      <c r="G155" s="47">
        <f t="shared" si="36"/>
        <v>800763</v>
      </c>
      <c r="H155" s="47">
        <f t="shared" si="36"/>
        <v>0</v>
      </c>
      <c r="I155" s="47">
        <f t="shared" si="36"/>
        <v>455650</v>
      </c>
      <c r="J155" s="47">
        <f t="shared" si="36"/>
        <v>0</v>
      </c>
      <c r="K155" s="47">
        <f t="shared" si="36"/>
        <v>0</v>
      </c>
      <c r="L155" s="47">
        <f t="shared" si="36"/>
        <v>0</v>
      </c>
      <c r="M155" s="47">
        <f t="shared" si="36"/>
        <v>455650</v>
      </c>
      <c r="N155" s="47">
        <f t="shared" si="36"/>
        <v>455650</v>
      </c>
      <c r="O155" s="47">
        <f t="shared" si="36"/>
        <v>22747954</v>
      </c>
      <c r="P155" s="271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</row>
    <row r="156" spans="1:35" s="8" customFormat="1" ht="36.75" customHeight="1" x14ac:dyDescent="0.25">
      <c r="A156" s="7" t="s">
        <v>175</v>
      </c>
      <c r="B156" s="7" t="s">
        <v>123</v>
      </c>
      <c r="C156" s="14" t="s">
        <v>44</v>
      </c>
      <c r="D156" s="49">
        <f>'дод 3'!E36+'дод 3'!E87</f>
        <v>14162975</v>
      </c>
      <c r="E156" s="49">
        <f>'дод 3'!F36+'дод 3'!F87</f>
        <v>14162975</v>
      </c>
      <c r="F156" s="49">
        <f>'дод 3'!G36+'дод 3'!G87</f>
        <v>9558450</v>
      </c>
      <c r="G156" s="49">
        <f>'дод 3'!H36+'дод 3'!H87</f>
        <v>800763</v>
      </c>
      <c r="H156" s="49">
        <f>'дод 3'!I36+'дод 3'!I87</f>
        <v>0</v>
      </c>
      <c r="I156" s="49">
        <f>'дод 3'!J36+'дод 3'!J87</f>
        <v>400000</v>
      </c>
      <c r="J156" s="49">
        <f>'дод 3'!K36+'дод 3'!K87</f>
        <v>0</v>
      </c>
      <c r="K156" s="49">
        <f>'дод 3'!L36+'дод 3'!L87</f>
        <v>0</v>
      </c>
      <c r="L156" s="49">
        <f>'дод 3'!M36+'дод 3'!M87</f>
        <v>0</v>
      </c>
      <c r="M156" s="49">
        <f>'дод 3'!N36+'дод 3'!N87</f>
        <v>400000</v>
      </c>
      <c r="N156" s="49">
        <f>'дод 3'!O36+'дод 3'!O87</f>
        <v>400000</v>
      </c>
      <c r="O156" s="49">
        <f>'дод 3'!P36+'дод 3'!P87</f>
        <v>14562975</v>
      </c>
      <c r="P156" s="271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</row>
    <row r="157" spans="1:35" s="8" customFormat="1" ht="31.5" customHeight="1" x14ac:dyDescent="0.25">
      <c r="A157" s="7" t="s">
        <v>176</v>
      </c>
      <c r="B157" s="7" t="s">
        <v>123</v>
      </c>
      <c r="C157" s="14" t="s">
        <v>45</v>
      </c>
      <c r="D157" s="49">
        <f>'дод 3'!E37</f>
        <v>8129329</v>
      </c>
      <c r="E157" s="49">
        <f>'дод 3'!F37</f>
        <v>8129329</v>
      </c>
      <c r="F157" s="49">
        <f>'дод 3'!G37</f>
        <v>0</v>
      </c>
      <c r="G157" s="49">
        <f>'дод 3'!H37</f>
        <v>0</v>
      </c>
      <c r="H157" s="49">
        <f>'дод 3'!I37</f>
        <v>0</v>
      </c>
      <c r="I157" s="49">
        <f>'дод 3'!J37</f>
        <v>55650</v>
      </c>
      <c r="J157" s="49">
        <f>'дод 3'!K37</f>
        <v>0</v>
      </c>
      <c r="K157" s="49">
        <f>'дод 3'!L37</f>
        <v>0</v>
      </c>
      <c r="L157" s="49">
        <f>'дод 3'!M37</f>
        <v>0</v>
      </c>
      <c r="M157" s="49">
        <f>'дод 3'!N37</f>
        <v>55650</v>
      </c>
      <c r="N157" s="49">
        <f>'дод 3'!O37</f>
        <v>55650</v>
      </c>
      <c r="O157" s="49">
        <f>'дод 3'!P37</f>
        <v>8184979</v>
      </c>
      <c r="P157" s="271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</row>
    <row r="158" spans="1:35" ht="29.25" customHeight="1" x14ac:dyDescent="0.25">
      <c r="A158" s="5" t="s">
        <v>125</v>
      </c>
      <c r="B158" s="5"/>
      <c r="C158" s="13" t="s">
        <v>169</v>
      </c>
      <c r="D158" s="47">
        <f>D159+D160</f>
        <v>9550864</v>
      </c>
      <c r="E158" s="47">
        <f t="shared" ref="E158:O158" si="37">E159+E160</f>
        <v>9550864</v>
      </c>
      <c r="F158" s="47">
        <f t="shared" si="37"/>
        <v>1789783</v>
      </c>
      <c r="G158" s="47">
        <f t="shared" si="37"/>
        <v>475153</v>
      </c>
      <c r="H158" s="47">
        <f t="shared" si="37"/>
        <v>0</v>
      </c>
      <c r="I158" s="47">
        <f t="shared" si="37"/>
        <v>3166687</v>
      </c>
      <c r="J158" s="47">
        <f t="shared" si="37"/>
        <v>226687</v>
      </c>
      <c r="K158" s="47">
        <f t="shared" si="37"/>
        <v>141022</v>
      </c>
      <c r="L158" s="47">
        <f t="shared" si="37"/>
        <v>53404</v>
      </c>
      <c r="M158" s="47">
        <f t="shared" si="37"/>
        <v>2940000</v>
      </c>
      <c r="N158" s="47">
        <f t="shared" si="37"/>
        <v>2940000</v>
      </c>
      <c r="O158" s="47">
        <f t="shared" si="37"/>
        <v>12717551</v>
      </c>
      <c r="P158" s="271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</row>
    <row r="159" spans="1:35" s="8" customFormat="1" ht="75" customHeight="1" x14ac:dyDescent="0.25">
      <c r="A159" s="7" t="s">
        <v>170</v>
      </c>
      <c r="B159" s="7" t="s">
        <v>123</v>
      </c>
      <c r="C159" s="14" t="s">
        <v>171</v>
      </c>
      <c r="D159" s="49">
        <f>'дод 3'!E39</f>
        <v>3846504</v>
      </c>
      <c r="E159" s="49">
        <f>'дод 3'!F39</f>
        <v>3846504</v>
      </c>
      <c r="F159" s="49">
        <f>'дод 3'!G39</f>
        <v>1789783</v>
      </c>
      <c r="G159" s="49">
        <f>'дод 3'!H39</f>
        <v>475153</v>
      </c>
      <c r="H159" s="49">
        <f>'дод 3'!I39</f>
        <v>0</v>
      </c>
      <c r="I159" s="49">
        <f>'дод 3'!J39</f>
        <v>3146687</v>
      </c>
      <c r="J159" s="49">
        <f>'дод 3'!K39</f>
        <v>226687</v>
      </c>
      <c r="K159" s="49">
        <f>'дод 3'!L39</f>
        <v>141022</v>
      </c>
      <c r="L159" s="49">
        <f>'дод 3'!M39</f>
        <v>53404</v>
      </c>
      <c r="M159" s="49">
        <f>'дод 3'!N39</f>
        <v>2920000</v>
      </c>
      <c r="N159" s="49">
        <f>'дод 3'!O39</f>
        <v>2920000</v>
      </c>
      <c r="O159" s="49">
        <f>'дод 3'!P39</f>
        <v>6993191</v>
      </c>
      <c r="P159" s="271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</row>
    <row r="160" spans="1:35" s="8" customFormat="1" ht="54" customHeight="1" x14ac:dyDescent="0.25">
      <c r="A160" s="7" t="s">
        <v>173</v>
      </c>
      <c r="B160" s="7" t="s">
        <v>123</v>
      </c>
      <c r="C160" s="14" t="s">
        <v>172</v>
      </c>
      <c r="D160" s="49">
        <f>'дод 3'!E40</f>
        <v>5704360</v>
      </c>
      <c r="E160" s="49">
        <f>'дод 3'!F40</f>
        <v>5704360</v>
      </c>
      <c r="F160" s="49">
        <f>'дод 3'!G40</f>
        <v>0</v>
      </c>
      <c r="G160" s="49">
        <f>'дод 3'!H40</f>
        <v>0</v>
      </c>
      <c r="H160" s="49">
        <f>'дод 3'!I40</f>
        <v>0</v>
      </c>
      <c r="I160" s="49">
        <f>'дод 3'!J40</f>
        <v>20000</v>
      </c>
      <c r="J160" s="49">
        <f>'дод 3'!K40</f>
        <v>0</v>
      </c>
      <c r="K160" s="49">
        <f>'дод 3'!L40</f>
        <v>0</v>
      </c>
      <c r="L160" s="49">
        <f>'дод 3'!M40</f>
        <v>0</v>
      </c>
      <c r="M160" s="49">
        <f>'дод 3'!N40</f>
        <v>20000</v>
      </c>
      <c r="N160" s="49">
        <f>'дод 3'!O40</f>
        <v>20000</v>
      </c>
      <c r="O160" s="49">
        <f>'дод 3'!P40</f>
        <v>5724360</v>
      </c>
      <c r="P160" s="271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</row>
    <row r="161" spans="1:35" s="21" customFormat="1" ht="27" customHeight="1" x14ac:dyDescent="0.25">
      <c r="A161" s="22" t="s">
        <v>106</v>
      </c>
      <c r="B161" s="11"/>
      <c r="C161" s="11" t="s">
        <v>107</v>
      </c>
      <c r="D161" s="48">
        <f>D163+D169+D170+D175+D181+D171</f>
        <v>191614719.44999999</v>
      </c>
      <c r="E161" s="48">
        <f t="shared" ref="E161:O161" si="38">E163+E169+E170+E175+E181+E171</f>
        <v>171119076.94999999</v>
      </c>
      <c r="F161" s="48">
        <f t="shared" si="38"/>
        <v>0</v>
      </c>
      <c r="G161" s="48">
        <f t="shared" si="38"/>
        <v>18688320</v>
      </c>
      <c r="H161" s="48">
        <f t="shared" si="38"/>
        <v>20495642.5</v>
      </c>
      <c r="I161" s="48">
        <f t="shared" si="38"/>
        <v>217093087.03999999</v>
      </c>
      <c r="J161" s="48">
        <f t="shared" si="38"/>
        <v>0</v>
      </c>
      <c r="K161" s="48">
        <f t="shared" si="38"/>
        <v>0</v>
      </c>
      <c r="L161" s="48">
        <f t="shared" si="38"/>
        <v>0</v>
      </c>
      <c r="M161" s="48">
        <f t="shared" si="38"/>
        <v>217093087.03999999</v>
      </c>
      <c r="N161" s="48">
        <f t="shared" si="38"/>
        <v>203330346.34999999</v>
      </c>
      <c r="O161" s="48">
        <f t="shared" si="38"/>
        <v>408707806.49000001</v>
      </c>
      <c r="P161" s="271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</row>
    <row r="162" spans="1:35" s="21" customFormat="1" ht="27" customHeight="1" x14ac:dyDescent="0.25">
      <c r="A162" s="22"/>
      <c r="B162" s="11"/>
      <c r="C162" s="11" t="s">
        <v>416</v>
      </c>
      <c r="D162" s="48">
        <f>D172+D176</f>
        <v>0</v>
      </c>
      <c r="E162" s="48">
        <f t="shared" ref="E162:O162" si="39">E172+E176</f>
        <v>0</v>
      </c>
      <c r="F162" s="48">
        <f t="shared" si="39"/>
        <v>0</v>
      </c>
      <c r="G162" s="48">
        <f t="shared" si="39"/>
        <v>0</v>
      </c>
      <c r="H162" s="48">
        <f t="shared" si="39"/>
        <v>0</v>
      </c>
      <c r="I162" s="48">
        <f t="shared" si="39"/>
        <v>14514800</v>
      </c>
      <c r="J162" s="48">
        <f t="shared" si="39"/>
        <v>0</v>
      </c>
      <c r="K162" s="48">
        <f t="shared" si="39"/>
        <v>0</v>
      </c>
      <c r="L162" s="48">
        <f t="shared" si="39"/>
        <v>0</v>
      </c>
      <c r="M162" s="48">
        <f t="shared" si="39"/>
        <v>14514800</v>
      </c>
      <c r="N162" s="48">
        <f t="shared" si="39"/>
        <v>809800</v>
      </c>
      <c r="O162" s="48">
        <f t="shared" si="39"/>
        <v>14514800</v>
      </c>
      <c r="P162" s="271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</row>
    <row r="163" spans="1:35" ht="34.5" customHeight="1" x14ac:dyDescent="0.25">
      <c r="A163" s="5" t="s">
        <v>108</v>
      </c>
      <c r="B163" s="5"/>
      <c r="C163" s="13" t="s">
        <v>204</v>
      </c>
      <c r="D163" s="47">
        <f>D164+D165+D168+D166+D167</f>
        <v>14671362</v>
      </c>
      <c r="E163" s="47">
        <f t="shared" ref="E163:O163" si="40">E164+E165+E168+E166+E167</f>
        <v>1815220</v>
      </c>
      <c r="F163" s="47">
        <f t="shared" si="40"/>
        <v>0</v>
      </c>
      <c r="G163" s="47">
        <f t="shared" si="40"/>
        <v>0</v>
      </c>
      <c r="H163" s="47">
        <f t="shared" si="40"/>
        <v>12856142</v>
      </c>
      <c r="I163" s="47">
        <f t="shared" si="40"/>
        <v>65851740</v>
      </c>
      <c r="J163" s="47">
        <f t="shared" si="40"/>
        <v>0</v>
      </c>
      <c r="K163" s="47">
        <f t="shared" si="40"/>
        <v>0</v>
      </c>
      <c r="L163" s="47">
        <f t="shared" si="40"/>
        <v>0</v>
      </c>
      <c r="M163" s="47">
        <f t="shared" si="40"/>
        <v>65851740</v>
      </c>
      <c r="N163" s="47">
        <f t="shared" si="40"/>
        <v>65851740</v>
      </c>
      <c r="O163" s="47">
        <f t="shared" si="40"/>
        <v>80523102</v>
      </c>
      <c r="P163" s="271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</row>
    <row r="164" spans="1:35" s="8" customFormat="1" ht="33.75" customHeight="1" x14ac:dyDescent="0.25">
      <c r="A164" s="7" t="s">
        <v>205</v>
      </c>
      <c r="B164" s="7" t="s">
        <v>111</v>
      </c>
      <c r="C164" s="14" t="s">
        <v>206</v>
      </c>
      <c r="D164" s="49">
        <f>'дод 3'!E240</f>
        <v>0</v>
      </c>
      <c r="E164" s="49">
        <f>'дод 3'!F240</f>
        <v>0</v>
      </c>
      <c r="F164" s="49">
        <f>'дод 3'!G240</f>
        <v>0</v>
      </c>
      <c r="G164" s="49">
        <f>'дод 3'!H240</f>
        <v>0</v>
      </c>
      <c r="H164" s="49">
        <f>'дод 3'!I240</f>
        <v>0</v>
      </c>
      <c r="I164" s="49">
        <f>'дод 3'!J240</f>
        <v>33145738</v>
      </c>
      <c r="J164" s="49">
        <f>'дод 3'!K240</f>
        <v>0</v>
      </c>
      <c r="K164" s="49">
        <f>'дод 3'!L240</f>
        <v>0</v>
      </c>
      <c r="L164" s="49">
        <f>'дод 3'!M240</f>
        <v>0</v>
      </c>
      <c r="M164" s="49">
        <f>'дод 3'!N240</f>
        <v>33145738</v>
      </c>
      <c r="N164" s="49">
        <f>'дод 3'!O240</f>
        <v>33145738</v>
      </c>
      <c r="O164" s="49">
        <f>'дод 3'!P240</f>
        <v>33145738</v>
      </c>
      <c r="P164" s="271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</row>
    <row r="165" spans="1:35" s="8" customFormat="1" ht="36.75" customHeight="1" x14ac:dyDescent="0.25">
      <c r="A165" s="7" t="s">
        <v>207</v>
      </c>
      <c r="B165" s="7" t="s">
        <v>111</v>
      </c>
      <c r="C165" s="14" t="s">
        <v>235</v>
      </c>
      <c r="D165" s="49">
        <f>'дод 3'!E241</f>
        <v>13756142</v>
      </c>
      <c r="E165" s="49">
        <f>'дод 3'!F241</f>
        <v>900000</v>
      </c>
      <c r="F165" s="49">
        <f>'дод 3'!G241</f>
        <v>0</v>
      </c>
      <c r="G165" s="49">
        <f>'дод 3'!H241</f>
        <v>0</v>
      </c>
      <c r="H165" s="49">
        <f>'дод 3'!I241</f>
        <v>12856142</v>
      </c>
      <c r="I165" s="49">
        <f>'дод 3'!J241</f>
        <v>542622</v>
      </c>
      <c r="J165" s="49">
        <f>'дод 3'!K241</f>
        <v>0</v>
      </c>
      <c r="K165" s="49">
        <f>'дод 3'!L241</f>
        <v>0</v>
      </c>
      <c r="L165" s="49">
        <f>'дод 3'!M241</f>
        <v>0</v>
      </c>
      <c r="M165" s="49">
        <f>'дод 3'!N241</f>
        <v>542622</v>
      </c>
      <c r="N165" s="49">
        <f>'дод 3'!O241</f>
        <v>542622</v>
      </c>
      <c r="O165" s="49">
        <f>'дод 3'!P241</f>
        <v>14298764</v>
      </c>
      <c r="P165" s="271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</row>
    <row r="166" spans="1:35" s="8" customFormat="1" ht="36.75" customHeight="1" x14ac:dyDescent="0.25">
      <c r="A166" s="27" t="s">
        <v>406</v>
      </c>
      <c r="B166" s="27" t="s">
        <v>111</v>
      </c>
      <c r="C166" s="14" t="s">
        <v>407</v>
      </c>
      <c r="D166" s="49">
        <f>'дод 3'!E242</f>
        <v>510520</v>
      </c>
      <c r="E166" s="49">
        <f>'дод 3'!F242</f>
        <v>510520</v>
      </c>
      <c r="F166" s="49">
        <f>'дод 3'!G242</f>
        <v>0</v>
      </c>
      <c r="G166" s="49">
        <f>'дод 3'!H242</f>
        <v>0</v>
      </c>
      <c r="H166" s="49">
        <f>'дод 3'!I242</f>
        <v>0</v>
      </c>
      <c r="I166" s="49">
        <f>'дод 3'!J242</f>
        <v>29957400</v>
      </c>
      <c r="J166" s="49">
        <f>'дод 3'!K242</f>
        <v>0</v>
      </c>
      <c r="K166" s="49">
        <f>'дод 3'!L242</f>
        <v>0</v>
      </c>
      <c r="L166" s="49">
        <f>'дод 3'!M242</f>
        <v>0</v>
      </c>
      <c r="M166" s="49">
        <f>'дод 3'!N242</f>
        <v>29957400</v>
      </c>
      <c r="N166" s="49">
        <f>'дод 3'!O242</f>
        <v>29957400</v>
      </c>
      <c r="O166" s="49">
        <f>'дод 3'!P242</f>
        <v>30467920</v>
      </c>
      <c r="P166" s="271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</row>
    <row r="167" spans="1:35" s="8" customFormat="1" ht="46.5" customHeight="1" x14ac:dyDescent="0.25">
      <c r="A167" s="27" t="s">
        <v>608</v>
      </c>
      <c r="B167" s="27" t="s">
        <v>111</v>
      </c>
      <c r="C167" s="14" t="s">
        <v>609</v>
      </c>
      <c r="D167" s="49">
        <f>'дод 3'!E243</f>
        <v>0</v>
      </c>
      <c r="E167" s="49">
        <f>'дод 3'!F243</f>
        <v>0</v>
      </c>
      <c r="F167" s="49">
        <f>'дод 3'!G243</f>
        <v>0</v>
      </c>
      <c r="G167" s="49">
        <f>'дод 3'!H243</f>
        <v>0</v>
      </c>
      <c r="H167" s="49">
        <f>'дод 3'!I243</f>
        <v>0</v>
      </c>
      <c r="I167" s="49">
        <f>'дод 3'!J243</f>
        <v>2205980</v>
      </c>
      <c r="J167" s="49">
        <f>'дод 3'!K243</f>
        <v>0</v>
      </c>
      <c r="K167" s="49">
        <f>'дод 3'!L243</f>
        <v>0</v>
      </c>
      <c r="L167" s="49">
        <f>'дод 3'!M243</f>
        <v>0</v>
      </c>
      <c r="M167" s="49">
        <f>'дод 3'!N243</f>
        <v>2205980</v>
      </c>
      <c r="N167" s="49">
        <f>'дод 3'!O243</f>
        <v>2205980</v>
      </c>
      <c r="O167" s="49">
        <f>'дод 3'!P243</f>
        <v>2205980</v>
      </c>
      <c r="P167" s="271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</row>
    <row r="168" spans="1:35" s="8" customFormat="1" ht="33" customHeight="1" x14ac:dyDescent="0.25">
      <c r="A168" s="7" t="s">
        <v>409</v>
      </c>
      <c r="B168" s="7" t="s">
        <v>111</v>
      </c>
      <c r="C168" s="14" t="s">
        <v>410</v>
      </c>
      <c r="D168" s="49">
        <f>'дод 3'!E244</f>
        <v>404700</v>
      </c>
      <c r="E168" s="49">
        <f>'дод 3'!F244</f>
        <v>404700</v>
      </c>
      <c r="F168" s="49">
        <f>'дод 3'!G244</f>
        <v>0</v>
      </c>
      <c r="G168" s="49">
        <f>'дод 3'!H244</f>
        <v>0</v>
      </c>
      <c r="H168" s="49">
        <f>'дод 3'!I244</f>
        <v>0</v>
      </c>
      <c r="I168" s="49">
        <f>'дод 3'!J244</f>
        <v>0</v>
      </c>
      <c r="J168" s="49">
        <f>'дод 3'!K244</f>
        <v>0</v>
      </c>
      <c r="K168" s="49">
        <f>'дод 3'!L244</f>
        <v>0</v>
      </c>
      <c r="L168" s="49">
        <f>'дод 3'!M244</f>
        <v>0</v>
      </c>
      <c r="M168" s="49">
        <f>'дод 3'!N244</f>
        <v>0</v>
      </c>
      <c r="N168" s="49">
        <f>'дод 3'!O244</f>
        <v>0</v>
      </c>
      <c r="O168" s="49">
        <f>'дод 3'!P244</f>
        <v>404700</v>
      </c>
      <c r="P168" s="271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</row>
    <row r="169" spans="1:35" s="8" customFormat="1" ht="52.5" customHeight="1" x14ac:dyDescent="0.25">
      <c r="A169" s="5" t="s">
        <v>110</v>
      </c>
      <c r="B169" s="5" t="s">
        <v>111</v>
      </c>
      <c r="C169" s="13" t="s">
        <v>210</v>
      </c>
      <c r="D169" s="47">
        <f>'дод 3'!E245</f>
        <v>6422960.7000000002</v>
      </c>
      <c r="E169" s="47">
        <f>'дод 3'!F245</f>
        <v>0</v>
      </c>
      <c r="F169" s="47">
        <f>'дод 3'!G245</f>
        <v>0</v>
      </c>
      <c r="G169" s="47">
        <f>'дод 3'!H245</f>
        <v>0</v>
      </c>
      <c r="H169" s="47">
        <f>'дод 3'!I245</f>
        <v>6422960.7000000002</v>
      </c>
      <c r="I169" s="47">
        <f>'дод 3'!J245</f>
        <v>0</v>
      </c>
      <c r="J169" s="47">
        <f>'дод 3'!K245</f>
        <v>0</v>
      </c>
      <c r="K169" s="47">
        <f>'дод 3'!L245</f>
        <v>0</v>
      </c>
      <c r="L169" s="47">
        <f>'дод 3'!M245</f>
        <v>0</v>
      </c>
      <c r="M169" s="47">
        <f>'дод 3'!N245</f>
        <v>0</v>
      </c>
      <c r="N169" s="47">
        <f>'дод 3'!O245</f>
        <v>0</v>
      </c>
      <c r="O169" s="47">
        <f>'дод 3'!P245</f>
        <v>6422960.7000000002</v>
      </c>
      <c r="P169" s="271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</row>
    <row r="170" spans="1:35" ht="30" customHeight="1" x14ac:dyDescent="0.25">
      <c r="A170" s="5" t="s">
        <v>208</v>
      </c>
      <c r="B170" s="5" t="s">
        <v>111</v>
      </c>
      <c r="C170" s="13" t="s">
        <v>209</v>
      </c>
      <c r="D170" s="47">
        <f>'дод 3'!E275+'дод 3'!E246</f>
        <v>166659452.40000001</v>
      </c>
      <c r="E170" s="47">
        <f>'дод 3'!F275+'дод 3'!F246</f>
        <v>166478699.94999999</v>
      </c>
      <c r="F170" s="47">
        <f>'дод 3'!G275+'дод 3'!G246</f>
        <v>0</v>
      </c>
      <c r="G170" s="47">
        <f>'дод 3'!H275+'дод 3'!H246</f>
        <v>18648320</v>
      </c>
      <c r="H170" s="47">
        <f>'дод 3'!I275+'дод 3'!I246</f>
        <v>180752.45</v>
      </c>
      <c r="I170" s="47">
        <f>'дод 3'!J275+'дод 3'!J246</f>
        <v>135968806.34999999</v>
      </c>
      <c r="J170" s="47">
        <f>'дод 3'!K275+'дод 3'!K246</f>
        <v>0</v>
      </c>
      <c r="K170" s="47">
        <f>'дод 3'!L275+'дод 3'!L246</f>
        <v>0</v>
      </c>
      <c r="L170" s="47">
        <f>'дод 3'!M275+'дод 3'!M246</f>
        <v>0</v>
      </c>
      <c r="M170" s="47">
        <f>'дод 3'!N275+'дод 3'!N246</f>
        <v>135968806.34999999</v>
      </c>
      <c r="N170" s="47">
        <f>'дод 3'!O275+'дод 3'!O246</f>
        <v>135968806.34999999</v>
      </c>
      <c r="O170" s="47">
        <f>'дод 3'!P275+'дод 3'!P246</f>
        <v>302628258.75</v>
      </c>
      <c r="P170" s="271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</row>
    <row r="171" spans="1:35" ht="35.25" customHeight="1" x14ac:dyDescent="0.25">
      <c r="A171" s="5" t="s">
        <v>635</v>
      </c>
      <c r="B171" s="5"/>
      <c r="C171" s="13" t="s">
        <v>637</v>
      </c>
      <c r="D171" s="47">
        <f>D173</f>
        <v>0</v>
      </c>
      <c r="E171" s="47">
        <f t="shared" ref="E171:O172" si="41">E173</f>
        <v>0</v>
      </c>
      <c r="F171" s="47">
        <f t="shared" si="41"/>
        <v>0</v>
      </c>
      <c r="G171" s="47">
        <f t="shared" si="41"/>
        <v>0</v>
      </c>
      <c r="H171" s="47">
        <f t="shared" si="41"/>
        <v>0</v>
      </c>
      <c r="I171" s="47">
        <f t="shared" si="41"/>
        <v>13705000</v>
      </c>
      <c r="J171" s="47">
        <f t="shared" si="41"/>
        <v>0</v>
      </c>
      <c r="K171" s="47">
        <f t="shared" si="41"/>
        <v>0</v>
      </c>
      <c r="L171" s="47">
        <f t="shared" si="41"/>
        <v>0</v>
      </c>
      <c r="M171" s="47">
        <f t="shared" si="41"/>
        <v>13705000</v>
      </c>
      <c r="N171" s="47">
        <f t="shared" si="41"/>
        <v>0</v>
      </c>
      <c r="O171" s="47">
        <f t="shared" si="41"/>
        <v>13705000</v>
      </c>
      <c r="P171" s="271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</row>
    <row r="172" spans="1:35" ht="21.75" customHeight="1" x14ac:dyDescent="0.25">
      <c r="B172" s="5"/>
      <c r="C172" s="13" t="s">
        <v>416</v>
      </c>
      <c r="D172" s="47">
        <f>D174</f>
        <v>0</v>
      </c>
      <c r="E172" s="47">
        <f t="shared" si="41"/>
        <v>0</v>
      </c>
      <c r="F172" s="47">
        <f t="shared" si="41"/>
        <v>0</v>
      </c>
      <c r="G172" s="47">
        <f t="shared" si="41"/>
        <v>0</v>
      </c>
      <c r="H172" s="47">
        <f t="shared" si="41"/>
        <v>0</v>
      </c>
      <c r="I172" s="47">
        <f t="shared" si="41"/>
        <v>13705000</v>
      </c>
      <c r="J172" s="47">
        <f t="shared" si="41"/>
        <v>0</v>
      </c>
      <c r="K172" s="47">
        <f t="shared" si="41"/>
        <v>0</v>
      </c>
      <c r="L172" s="47">
        <f t="shared" si="41"/>
        <v>0</v>
      </c>
      <c r="M172" s="47">
        <f t="shared" si="41"/>
        <v>13705000</v>
      </c>
      <c r="N172" s="47">
        <f t="shared" si="41"/>
        <v>0</v>
      </c>
      <c r="O172" s="47">
        <f t="shared" si="41"/>
        <v>13705000</v>
      </c>
      <c r="P172" s="271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</row>
    <row r="173" spans="1:35" s="8" customFormat="1" ht="249.75" customHeight="1" x14ac:dyDescent="0.25">
      <c r="A173" s="7" t="s">
        <v>636</v>
      </c>
      <c r="B173" s="7" t="s">
        <v>490</v>
      </c>
      <c r="C173" s="14" t="s">
        <v>638</v>
      </c>
      <c r="D173" s="49">
        <f>'дод 3'!E250</f>
        <v>0</v>
      </c>
      <c r="E173" s="49">
        <f>'дод 3'!F250</f>
        <v>0</v>
      </c>
      <c r="F173" s="49">
        <f>'дод 3'!G250</f>
        <v>0</v>
      </c>
      <c r="G173" s="49">
        <f>'дод 3'!H250</f>
        <v>0</v>
      </c>
      <c r="H173" s="49">
        <f>'дод 3'!I250</f>
        <v>0</v>
      </c>
      <c r="I173" s="49">
        <f>'дод 3'!J250</f>
        <v>13705000</v>
      </c>
      <c r="J173" s="49">
        <f>'дод 3'!K250</f>
        <v>0</v>
      </c>
      <c r="K173" s="49">
        <f>'дод 3'!L250</f>
        <v>0</v>
      </c>
      <c r="L173" s="49">
        <f>'дод 3'!M250</f>
        <v>0</v>
      </c>
      <c r="M173" s="49">
        <f>'дод 3'!N250</f>
        <v>13705000</v>
      </c>
      <c r="N173" s="49">
        <f>'дод 3'!O250</f>
        <v>0</v>
      </c>
      <c r="O173" s="49">
        <f>'дод 3'!P250</f>
        <v>13705000</v>
      </c>
      <c r="P173" s="271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</row>
    <row r="174" spans="1:35" s="8" customFormat="1" ht="27.75" customHeight="1" x14ac:dyDescent="0.25">
      <c r="A174" s="7"/>
      <c r="B174" s="7"/>
      <c r="C174" s="14" t="s">
        <v>416</v>
      </c>
      <c r="D174" s="49">
        <f>'дод 3'!E251</f>
        <v>0</v>
      </c>
      <c r="E174" s="49">
        <f>'дод 3'!F251</f>
        <v>0</v>
      </c>
      <c r="F174" s="49">
        <f>'дод 3'!G251</f>
        <v>0</v>
      </c>
      <c r="G174" s="49">
        <f>'дод 3'!H251</f>
        <v>0</v>
      </c>
      <c r="H174" s="49">
        <f>'дод 3'!I251</f>
        <v>0</v>
      </c>
      <c r="I174" s="49">
        <f>'дод 3'!J251</f>
        <v>13705000</v>
      </c>
      <c r="J174" s="49">
        <f>'дод 3'!K251</f>
        <v>0</v>
      </c>
      <c r="K174" s="49">
        <f>'дод 3'!L251</f>
        <v>0</v>
      </c>
      <c r="L174" s="49">
        <f>'дод 3'!M251</f>
        <v>0</v>
      </c>
      <c r="M174" s="49">
        <f>'дод 3'!N251</f>
        <v>13705000</v>
      </c>
      <c r="N174" s="49">
        <f>'дод 3'!O251</f>
        <v>0</v>
      </c>
      <c r="O174" s="49">
        <f>'дод 3'!P251</f>
        <v>13705000</v>
      </c>
      <c r="P174" s="271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</row>
    <row r="175" spans="1:35" ht="24" customHeight="1" x14ac:dyDescent="0.25">
      <c r="A175" s="5" t="s">
        <v>226</v>
      </c>
      <c r="B175" s="5"/>
      <c r="C175" s="13" t="s">
        <v>227</v>
      </c>
      <c r="D175" s="47">
        <f t="shared" ref="D175:O175" si="42">D180+D177+D178</f>
        <v>84912.35</v>
      </c>
      <c r="E175" s="47">
        <f t="shared" si="42"/>
        <v>0</v>
      </c>
      <c r="F175" s="47">
        <f t="shared" si="42"/>
        <v>0</v>
      </c>
      <c r="G175" s="47">
        <f t="shared" si="42"/>
        <v>0</v>
      </c>
      <c r="H175" s="47">
        <f t="shared" si="42"/>
        <v>84912.35</v>
      </c>
      <c r="I175" s="47">
        <f t="shared" si="42"/>
        <v>1567540.69</v>
      </c>
      <c r="J175" s="47">
        <f t="shared" si="42"/>
        <v>0</v>
      </c>
      <c r="K175" s="47">
        <f t="shared" si="42"/>
        <v>0</v>
      </c>
      <c r="L175" s="47">
        <f t="shared" si="42"/>
        <v>0</v>
      </c>
      <c r="M175" s="47">
        <f t="shared" si="42"/>
        <v>1567540.69</v>
      </c>
      <c r="N175" s="47">
        <f t="shared" si="42"/>
        <v>1509800</v>
      </c>
      <c r="O175" s="47">
        <f t="shared" si="42"/>
        <v>1652453.04</v>
      </c>
      <c r="P175" s="271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</row>
    <row r="176" spans="1:35" ht="24" customHeight="1" x14ac:dyDescent="0.25">
      <c r="B176" s="5"/>
      <c r="C176" s="14" t="s">
        <v>416</v>
      </c>
      <c r="D176" s="47">
        <f>D179</f>
        <v>0</v>
      </c>
      <c r="E176" s="47">
        <f t="shared" ref="E176:O176" si="43">E179</f>
        <v>0</v>
      </c>
      <c r="F176" s="47">
        <f t="shared" si="43"/>
        <v>0</v>
      </c>
      <c r="G176" s="47">
        <f t="shared" si="43"/>
        <v>0</v>
      </c>
      <c r="H176" s="47">
        <f t="shared" si="43"/>
        <v>0</v>
      </c>
      <c r="I176" s="47">
        <f t="shared" si="43"/>
        <v>809800</v>
      </c>
      <c r="J176" s="47">
        <f t="shared" si="43"/>
        <v>0</v>
      </c>
      <c r="K176" s="47">
        <f t="shared" si="43"/>
        <v>0</v>
      </c>
      <c r="L176" s="47">
        <f t="shared" si="43"/>
        <v>0</v>
      </c>
      <c r="M176" s="47">
        <f t="shared" si="43"/>
        <v>809800</v>
      </c>
      <c r="N176" s="47">
        <f t="shared" si="43"/>
        <v>809800</v>
      </c>
      <c r="O176" s="47">
        <f t="shared" si="43"/>
        <v>809800</v>
      </c>
      <c r="P176" s="271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</row>
    <row r="177" spans="1:35" ht="42.75" customHeight="1" x14ac:dyDescent="0.25">
      <c r="A177" s="7" t="s">
        <v>627</v>
      </c>
      <c r="B177" s="7" t="s">
        <v>109</v>
      </c>
      <c r="C177" s="14" t="s">
        <v>628</v>
      </c>
      <c r="D177" s="47">
        <f>'дод 3'!E277</f>
        <v>0</v>
      </c>
      <c r="E177" s="47">
        <f>'дод 3'!F277</f>
        <v>0</v>
      </c>
      <c r="F177" s="47">
        <f>'дод 3'!G277</f>
        <v>0</v>
      </c>
      <c r="G177" s="47">
        <f>'дод 3'!H277</f>
        <v>0</v>
      </c>
      <c r="H177" s="47">
        <f>'дод 3'!I277</f>
        <v>0</v>
      </c>
      <c r="I177" s="47">
        <f>'дод 3'!J277</f>
        <v>500000</v>
      </c>
      <c r="J177" s="47">
        <f>'дод 3'!K277</f>
        <v>0</v>
      </c>
      <c r="K177" s="47">
        <f>'дод 3'!L277</f>
        <v>0</v>
      </c>
      <c r="L177" s="47">
        <f>'дод 3'!M277</f>
        <v>0</v>
      </c>
      <c r="M177" s="47">
        <f>'дод 3'!N277</f>
        <v>500000</v>
      </c>
      <c r="N177" s="47">
        <f>'дод 3'!O277</f>
        <v>500000</v>
      </c>
      <c r="O177" s="47">
        <f>'дод 3'!P277</f>
        <v>500000</v>
      </c>
      <c r="P177" s="271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</row>
    <row r="178" spans="1:35" ht="81.75" customHeight="1" x14ac:dyDescent="0.25">
      <c r="A178" s="7" t="s">
        <v>670</v>
      </c>
      <c r="B178" s="7" t="s">
        <v>109</v>
      </c>
      <c r="C178" s="14" t="s">
        <v>669</v>
      </c>
      <c r="D178" s="47"/>
      <c r="E178" s="47"/>
      <c r="F178" s="47"/>
      <c r="G178" s="47"/>
      <c r="H178" s="47"/>
      <c r="I178" s="47">
        <f>'дод 3'!J218+'дод 3'!J278</f>
        <v>1009800</v>
      </c>
      <c r="J178" s="47">
        <f>'дод 3'!K218+'дод 3'!K278</f>
        <v>0</v>
      </c>
      <c r="K178" s="47">
        <f>'дод 3'!L218+'дод 3'!L278</f>
        <v>0</v>
      </c>
      <c r="L178" s="47">
        <f>'дод 3'!M218+'дод 3'!M278</f>
        <v>0</v>
      </c>
      <c r="M178" s="47">
        <f>'дод 3'!N218+'дод 3'!N278</f>
        <v>1009800</v>
      </c>
      <c r="N178" s="47">
        <f>'дод 3'!O218+'дод 3'!O278</f>
        <v>1009800</v>
      </c>
      <c r="O178" s="47">
        <f>'дод 3'!P218+'дод 3'!P278</f>
        <v>1009800</v>
      </c>
      <c r="P178" s="271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</row>
    <row r="179" spans="1:35" ht="28.5" customHeight="1" x14ac:dyDescent="0.25">
      <c r="A179" s="7"/>
      <c r="B179" s="7"/>
      <c r="C179" s="14" t="s">
        <v>416</v>
      </c>
      <c r="D179" s="47"/>
      <c r="E179" s="47"/>
      <c r="F179" s="47"/>
      <c r="G179" s="47"/>
      <c r="H179" s="47"/>
      <c r="I179" s="47">
        <f>'дод 3'!J219</f>
        <v>809800</v>
      </c>
      <c r="J179" s="47"/>
      <c r="K179" s="47"/>
      <c r="L179" s="47"/>
      <c r="M179" s="47">
        <f>'дод 3'!N219</f>
        <v>809800</v>
      </c>
      <c r="N179" s="47">
        <f>'дод 3'!O219</f>
        <v>809800</v>
      </c>
      <c r="O179" s="47">
        <f>'дод 3'!P219</f>
        <v>809800</v>
      </c>
      <c r="P179" s="271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</row>
    <row r="180" spans="1:35" s="8" customFormat="1" ht="67.5" customHeight="1" x14ac:dyDescent="0.25">
      <c r="A180" s="7" t="s">
        <v>212</v>
      </c>
      <c r="B180" s="9" t="s">
        <v>109</v>
      </c>
      <c r="C180" s="14" t="s">
        <v>213</v>
      </c>
      <c r="D180" s="49">
        <f>'дод 3'!E279</f>
        <v>84912.35</v>
      </c>
      <c r="E180" s="49">
        <f>'дод 3'!F279</f>
        <v>0</v>
      </c>
      <c r="F180" s="49">
        <f>'дод 3'!G279</f>
        <v>0</v>
      </c>
      <c r="G180" s="49">
        <f>'дод 3'!H279</f>
        <v>0</v>
      </c>
      <c r="H180" s="49">
        <f>'дод 3'!I279</f>
        <v>84912.35</v>
      </c>
      <c r="I180" s="49">
        <f>'дод 3'!J279</f>
        <v>57740.69</v>
      </c>
      <c r="J180" s="49">
        <f>'дод 3'!K279</f>
        <v>0</v>
      </c>
      <c r="K180" s="49">
        <f>'дод 3'!L279</f>
        <v>0</v>
      </c>
      <c r="L180" s="49">
        <f>'дод 3'!M279</f>
        <v>0</v>
      </c>
      <c r="M180" s="49">
        <f>'дод 3'!N279</f>
        <v>57740.69</v>
      </c>
      <c r="N180" s="49">
        <f>'дод 3'!O279</f>
        <v>0</v>
      </c>
      <c r="O180" s="49">
        <f>'дод 3'!P279</f>
        <v>142653.04</v>
      </c>
      <c r="P180" s="271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</row>
    <row r="181" spans="1:35" ht="39.75" customHeight="1" x14ac:dyDescent="0.25">
      <c r="A181" s="5" t="s">
        <v>228</v>
      </c>
      <c r="B181" s="12" t="s">
        <v>490</v>
      </c>
      <c r="C181" s="13" t="s">
        <v>229</v>
      </c>
      <c r="D181" s="47">
        <f>'дод 3'!E247+'дод 3'!E270+'дод 3'!E304</f>
        <v>3776032</v>
      </c>
      <c r="E181" s="47">
        <f>'дод 3'!F247+'дод 3'!F270+'дод 3'!F304</f>
        <v>2825157</v>
      </c>
      <c r="F181" s="47">
        <f>'дод 3'!G247+'дод 3'!G270+'дод 3'!G304</f>
        <v>0</v>
      </c>
      <c r="G181" s="47">
        <f>'дод 3'!H247+'дод 3'!H270+'дод 3'!H304</f>
        <v>40000</v>
      </c>
      <c r="H181" s="47">
        <f>'дод 3'!I247+'дод 3'!I270+'дод 3'!I304</f>
        <v>950875</v>
      </c>
      <c r="I181" s="47">
        <f>'дод 3'!J247+'дод 3'!J270+'дод 3'!J304</f>
        <v>0</v>
      </c>
      <c r="J181" s="47">
        <f>'дод 3'!K247+'дод 3'!K270+'дод 3'!K304</f>
        <v>0</v>
      </c>
      <c r="K181" s="47">
        <f>'дод 3'!L247+'дод 3'!L270+'дод 3'!L304</f>
        <v>0</v>
      </c>
      <c r="L181" s="47">
        <f>'дод 3'!M247+'дод 3'!M270+'дод 3'!M304</f>
        <v>0</v>
      </c>
      <c r="M181" s="47">
        <f>'дод 3'!N247+'дод 3'!N270+'дод 3'!N304</f>
        <v>0</v>
      </c>
      <c r="N181" s="47">
        <f>'дод 3'!O247+'дод 3'!O270+'дод 3'!O304</f>
        <v>0</v>
      </c>
      <c r="O181" s="47">
        <f>'дод 3'!P247+'дод 3'!P270+'дод 3'!P304</f>
        <v>3776032</v>
      </c>
      <c r="P181" s="271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</row>
    <row r="182" spans="1:35" s="21" customFormat="1" ht="29.25" customHeight="1" x14ac:dyDescent="0.25">
      <c r="A182" s="22" t="s">
        <v>214</v>
      </c>
      <c r="B182" s="11"/>
      <c r="C182" s="11" t="s">
        <v>215</v>
      </c>
      <c r="D182" s="48">
        <f t="shared" ref="D182:O182" si="44">D183+D185+D200+D214+D216</f>
        <v>43674524</v>
      </c>
      <c r="E182" s="48">
        <f t="shared" si="44"/>
        <v>17186418</v>
      </c>
      <c r="F182" s="48">
        <f t="shared" si="44"/>
        <v>0</v>
      </c>
      <c r="G182" s="48">
        <f t="shared" si="44"/>
        <v>78316.649999999994</v>
      </c>
      <c r="H182" s="48">
        <f t="shared" si="44"/>
        <v>26488106</v>
      </c>
      <c r="I182" s="48">
        <f>I183+I185+I200+I214+I216</f>
        <v>265158444.81</v>
      </c>
      <c r="J182" s="48">
        <f t="shared" si="44"/>
        <v>43246686.859999999</v>
      </c>
      <c r="K182" s="48">
        <f t="shared" si="44"/>
        <v>0</v>
      </c>
      <c r="L182" s="48">
        <f t="shared" si="44"/>
        <v>0</v>
      </c>
      <c r="M182" s="48">
        <f t="shared" si="44"/>
        <v>221911757.94999999</v>
      </c>
      <c r="N182" s="48">
        <f t="shared" si="44"/>
        <v>217585919.95999998</v>
      </c>
      <c r="O182" s="48">
        <f t="shared" si="44"/>
        <v>308832968.81</v>
      </c>
      <c r="P182" s="271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</row>
    <row r="183" spans="1:35" s="21" customFormat="1" x14ac:dyDescent="0.25">
      <c r="A183" s="22" t="s">
        <v>230</v>
      </c>
      <c r="B183" s="11"/>
      <c r="C183" s="11" t="s">
        <v>231</v>
      </c>
      <c r="D183" s="48">
        <f t="shared" ref="D183:O183" si="45">D184</f>
        <v>1010670</v>
      </c>
      <c r="E183" s="48">
        <f t="shared" si="45"/>
        <v>520000</v>
      </c>
      <c r="F183" s="48">
        <f t="shared" si="45"/>
        <v>0</v>
      </c>
      <c r="G183" s="48">
        <f t="shared" si="45"/>
        <v>0</v>
      </c>
      <c r="H183" s="48">
        <f t="shared" si="45"/>
        <v>490670</v>
      </c>
      <c r="I183" s="48">
        <f>I184</f>
        <v>14343.33</v>
      </c>
      <c r="J183" s="48">
        <f t="shared" si="45"/>
        <v>14343.33</v>
      </c>
      <c r="K183" s="48">
        <f t="shared" si="45"/>
        <v>0</v>
      </c>
      <c r="L183" s="48">
        <f t="shared" si="45"/>
        <v>0</v>
      </c>
      <c r="M183" s="48">
        <f t="shared" si="45"/>
        <v>0</v>
      </c>
      <c r="N183" s="48">
        <f t="shared" si="45"/>
        <v>0</v>
      </c>
      <c r="O183" s="48">
        <f t="shared" si="45"/>
        <v>1025013.33</v>
      </c>
      <c r="P183" s="271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</row>
    <row r="184" spans="1:35" ht="24" customHeight="1" x14ac:dyDescent="0.25">
      <c r="A184" s="5" t="s">
        <v>216</v>
      </c>
      <c r="B184" s="5" t="s">
        <v>127</v>
      </c>
      <c r="C184" s="13" t="s">
        <v>217</v>
      </c>
      <c r="D184" s="47">
        <f>'дод 3'!E314+'дод 3'!E252</f>
        <v>1010670</v>
      </c>
      <c r="E184" s="47">
        <f>'дод 3'!F314+'дод 3'!F252</f>
        <v>520000</v>
      </c>
      <c r="F184" s="47">
        <f>'дод 3'!G314+'дод 3'!G252</f>
        <v>0</v>
      </c>
      <c r="G184" s="47">
        <f>'дод 3'!H314+'дод 3'!H252</f>
        <v>0</v>
      </c>
      <c r="H184" s="47">
        <f>'дод 3'!I314+'дод 3'!I252</f>
        <v>490670</v>
      </c>
      <c r="I184" s="47">
        <f>'дод 3'!J314+'дод 3'!J252</f>
        <v>14343.33</v>
      </c>
      <c r="J184" s="47">
        <f>'дод 3'!K314+'дод 3'!K252</f>
        <v>14343.33</v>
      </c>
      <c r="K184" s="47">
        <f>'дод 3'!L314+'дод 3'!L252</f>
        <v>0</v>
      </c>
      <c r="L184" s="47">
        <f>'дод 3'!M314+'дод 3'!M252</f>
        <v>0</v>
      </c>
      <c r="M184" s="47">
        <f>'дод 3'!N314+'дод 3'!N252</f>
        <v>0</v>
      </c>
      <c r="N184" s="47">
        <f>'дод 3'!O314+'дод 3'!O252</f>
        <v>0</v>
      </c>
      <c r="O184" s="47">
        <f>'дод 3'!P314+'дод 3'!P252</f>
        <v>1025013.33</v>
      </c>
      <c r="P184" s="271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</row>
    <row r="185" spans="1:35" s="21" customFormat="1" ht="27.75" customHeight="1" x14ac:dyDescent="0.25">
      <c r="A185" s="22" t="s">
        <v>144</v>
      </c>
      <c r="B185" s="22"/>
      <c r="C185" s="70" t="s">
        <v>218</v>
      </c>
      <c r="D185" s="48">
        <f>D187+D188+D192+D193+D195+D194</f>
        <v>0</v>
      </c>
      <c r="E185" s="48">
        <f t="shared" ref="E185:O185" si="46">E187+E188+E192+E193+E195+E194</f>
        <v>0</v>
      </c>
      <c r="F185" s="48">
        <f t="shared" si="46"/>
        <v>0</v>
      </c>
      <c r="G185" s="48">
        <f t="shared" si="46"/>
        <v>0</v>
      </c>
      <c r="H185" s="48">
        <f t="shared" si="46"/>
        <v>0</v>
      </c>
      <c r="I185" s="48">
        <f>I187+I188+I192+I193+I195+I194</f>
        <v>139570909.00999999</v>
      </c>
      <c r="J185" s="48">
        <f t="shared" si="46"/>
        <v>0</v>
      </c>
      <c r="K185" s="48">
        <f t="shared" si="46"/>
        <v>0</v>
      </c>
      <c r="L185" s="48">
        <f t="shared" si="46"/>
        <v>0</v>
      </c>
      <c r="M185" s="48">
        <f t="shared" si="46"/>
        <v>139570909.00999999</v>
      </c>
      <c r="N185" s="48">
        <f t="shared" si="46"/>
        <v>136990545.95999998</v>
      </c>
      <c r="O185" s="48">
        <f t="shared" si="46"/>
        <v>139570909.00999999</v>
      </c>
      <c r="P185" s="271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</row>
    <row r="186" spans="1:35" s="21" customFormat="1" ht="27.75" customHeight="1" x14ac:dyDescent="0.25">
      <c r="A186" s="22"/>
      <c r="B186" s="22"/>
      <c r="C186" s="13" t="s">
        <v>416</v>
      </c>
      <c r="D186" s="48">
        <f>D196</f>
        <v>0</v>
      </c>
      <c r="E186" s="48">
        <f t="shared" ref="E186:O186" si="47">E196</f>
        <v>0</v>
      </c>
      <c r="F186" s="48">
        <f t="shared" si="47"/>
        <v>0</v>
      </c>
      <c r="G186" s="48">
        <f t="shared" si="47"/>
        <v>0</v>
      </c>
      <c r="H186" s="48">
        <f t="shared" si="47"/>
        <v>0</v>
      </c>
      <c r="I186" s="48">
        <f t="shared" si="47"/>
        <v>24163891.340000004</v>
      </c>
      <c r="J186" s="48">
        <f t="shared" si="47"/>
        <v>0</v>
      </c>
      <c r="K186" s="48">
        <f t="shared" si="47"/>
        <v>0</v>
      </c>
      <c r="L186" s="48">
        <f t="shared" si="47"/>
        <v>0</v>
      </c>
      <c r="M186" s="48">
        <f t="shared" si="47"/>
        <v>24163891.340000004</v>
      </c>
      <c r="N186" s="48">
        <f t="shared" si="47"/>
        <v>21583528.289999999</v>
      </c>
      <c r="O186" s="48">
        <f t="shared" si="47"/>
        <v>24163891.340000004</v>
      </c>
      <c r="P186" s="271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</row>
    <row r="187" spans="1:35" ht="32.25" customHeight="1" x14ac:dyDescent="0.25">
      <c r="A187" s="26" t="s">
        <v>425</v>
      </c>
      <c r="B187" s="26" t="s">
        <v>166</v>
      </c>
      <c r="C187" s="13" t="s">
        <v>438</v>
      </c>
      <c r="D187" s="47">
        <f>'дод 3'!E253+'дод 3'!E280</f>
        <v>0</v>
      </c>
      <c r="E187" s="47">
        <f>'дод 3'!F253+'дод 3'!F280</f>
        <v>0</v>
      </c>
      <c r="F187" s="47">
        <f>'дод 3'!G253+'дод 3'!G280</f>
        <v>0</v>
      </c>
      <c r="G187" s="47">
        <f>'дод 3'!H253+'дод 3'!H280</f>
        <v>0</v>
      </c>
      <c r="H187" s="47">
        <f>'дод 3'!I253+'дод 3'!I280</f>
        <v>0</v>
      </c>
      <c r="I187" s="47">
        <f>'дод 3'!J253+'дод 3'!J280</f>
        <v>36027839.129999995</v>
      </c>
      <c r="J187" s="47">
        <f>'дод 3'!K253+'дод 3'!K280</f>
        <v>0</v>
      </c>
      <c r="K187" s="47">
        <f>'дод 3'!L253+'дод 3'!L280</f>
        <v>0</v>
      </c>
      <c r="L187" s="47">
        <f>'дод 3'!M253+'дод 3'!M280</f>
        <v>0</v>
      </c>
      <c r="M187" s="47">
        <f>'дод 3'!N253+'дод 3'!N280</f>
        <v>36027839.129999995</v>
      </c>
      <c r="N187" s="47">
        <f>'дод 3'!O253+'дод 3'!O280</f>
        <v>36027839.129999995</v>
      </c>
      <c r="O187" s="47">
        <f>'дод 3'!P253+'дод 3'!P280</f>
        <v>36027839.129999995</v>
      </c>
      <c r="P187" s="271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</row>
    <row r="188" spans="1:35" ht="32.25" customHeight="1" x14ac:dyDescent="0.25">
      <c r="A188" s="26" t="s">
        <v>430</v>
      </c>
      <c r="B188" s="26"/>
      <c r="C188" s="13" t="s">
        <v>440</v>
      </c>
      <c r="D188" s="47">
        <f>D189+D190+D191</f>
        <v>0</v>
      </c>
      <c r="E188" s="47">
        <f t="shared" ref="E188:O188" si="48">E189+E190+E191</f>
        <v>0</v>
      </c>
      <c r="F188" s="47">
        <f t="shared" si="48"/>
        <v>0</v>
      </c>
      <c r="G188" s="47">
        <f t="shared" si="48"/>
        <v>0</v>
      </c>
      <c r="H188" s="47">
        <f t="shared" si="48"/>
        <v>0</v>
      </c>
      <c r="I188" s="47">
        <f t="shared" si="48"/>
        <v>16411932</v>
      </c>
      <c r="J188" s="47">
        <f t="shared" si="48"/>
        <v>0</v>
      </c>
      <c r="K188" s="47">
        <f t="shared" si="48"/>
        <v>0</v>
      </c>
      <c r="L188" s="47">
        <f t="shared" si="48"/>
        <v>0</v>
      </c>
      <c r="M188" s="47">
        <f t="shared" si="48"/>
        <v>16411932</v>
      </c>
      <c r="N188" s="47">
        <f t="shared" si="48"/>
        <v>16411932</v>
      </c>
      <c r="O188" s="47">
        <f t="shared" si="48"/>
        <v>16411932</v>
      </c>
      <c r="P188" s="271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</row>
    <row r="189" spans="1:35" s="8" customFormat="1" ht="32.25" customHeight="1" x14ac:dyDescent="0.25">
      <c r="A189" s="27" t="s">
        <v>432</v>
      </c>
      <c r="B189" s="27" t="s">
        <v>166</v>
      </c>
      <c r="C189" s="14" t="s">
        <v>441</v>
      </c>
      <c r="D189" s="49">
        <f>'дод 3'!E282</f>
        <v>0</v>
      </c>
      <c r="E189" s="49">
        <f>'дод 3'!F282</f>
        <v>0</v>
      </c>
      <c r="F189" s="49">
        <f>'дод 3'!G282</f>
        <v>0</v>
      </c>
      <c r="G189" s="49">
        <f>'дод 3'!H282</f>
        <v>0</v>
      </c>
      <c r="H189" s="49">
        <f>'дод 3'!I282</f>
        <v>0</v>
      </c>
      <c r="I189" s="49">
        <f>'дод 3'!J282</f>
        <v>6670932</v>
      </c>
      <c r="J189" s="49">
        <f>'дод 3'!K282</f>
        <v>0</v>
      </c>
      <c r="K189" s="49">
        <f>'дод 3'!L282</f>
        <v>0</v>
      </c>
      <c r="L189" s="49">
        <f>'дод 3'!M282</f>
        <v>0</v>
      </c>
      <c r="M189" s="49">
        <f>'дод 3'!N282</f>
        <v>6670932</v>
      </c>
      <c r="N189" s="49">
        <f>'дод 3'!O282</f>
        <v>6670932</v>
      </c>
      <c r="O189" s="49">
        <f>'дод 3'!P282</f>
        <v>6670932</v>
      </c>
      <c r="P189" s="271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</row>
    <row r="190" spans="1:35" s="8" customFormat="1" ht="32.25" customHeight="1" x14ac:dyDescent="0.25">
      <c r="A190" s="27" t="s">
        <v>434</v>
      </c>
      <c r="B190" s="27" t="s">
        <v>166</v>
      </c>
      <c r="C190" s="14" t="s">
        <v>443</v>
      </c>
      <c r="D190" s="49">
        <f>'дод 3'!E283</f>
        <v>0</v>
      </c>
      <c r="E190" s="49">
        <f>'дод 3'!F283</f>
        <v>0</v>
      </c>
      <c r="F190" s="49">
        <f>'дод 3'!G283</f>
        <v>0</v>
      </c>
      <c r="G190" s="49">
        <f>'дод 3'!H283</f>
        <v>0</v>
      </c>
      <c r="H190" s="49">
        <f>'дод 3'!I283</f>
        <v>0</v>
      </c>
      <c r="I190" s="49">
        <f>'дод 3'!J283</f>
        <v>4980000</v>
      </c>
      <c r="J190" s="49">
        <f>'дод 3'!K283</f>
        <v>0</v>
      </c>
      <c r="K190" s="49">
        <f>'дод 3'!L283</f>
        <v>0</v>
      </c>
      <c r="L190" s="49">
        <f>'дод 3'!M283</f>
        <v>0</v>
      </c>
      <c r="M190" s="49">
        <f>'дод 3'!N283</f>
        <v>4980000</v>
      </c>
      <c r="N190" s="49">
        <f>'дод 3'!O283</f>
        <v>4980000</v>
      </c>
      <c r="O190" s="49">
        <f>'дод 3'!P283</f>
        <v>4980000</v>
      </c>
      <c r="P190" s="271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</row>
    <row r="191" spans="1:35" s="8" customFormat="1" ht="32.25" customHeight="1" x14ac:dyDescent="0.25">
      <c r="A191" s="27" t="s">
        <v>436</v>
      </c>
      <c r="B191" s="27" t="s">
        <v>166</v>
      </c>
      <c r="C191" s="14" t="s">
        <v>442</v>
      </c>
      <c r="D191" s="49">
        <f>'дод 3'!E284</f>
        <v>0</v>
      </c>
      <c r="E191" s="49">
        <f>'дод 3'!F284</f>
        <v>0</v>
      </c>
      <c r="F191" s="49">
        <f>'дод 3'!G284</f>
        <v>0</v>
      </c>
      <c r="G191" s="49">
        <f>'дод 3'!H284</f>
        <v>0</v>
      </c>
      <c r="H191" s="49">
        <f>'дод 3'!I284</f>
        <v>0</v>
      </c>
      <c r="I191" s="49">
        <f>'дод 3'!J284</f>
        <v>4761000</v>
      </c>
      <c r="J191" s="49">
        <f>'дод 3'!K284</f>
        <v>0</v>
      </c>
      <c r="K191" s="49">
        <f>'дод 3'!L284</f>
        <v>0</v>
      </c>
      <c r="L191" s="49">
        <f>'дод 3'!M284</f>
        <v>0</v>
      </c>
      <c r="M191" s="49">
        <f>'дод 3'!N284</f>
        <v>4761000</v>
      </c>
      <c r="N191" s="49">
        <f>'дод 3'!O284</f>
        <v>4761000</v>
      </c>
      <c r="O191" s="49">
        <f>'дод 3'!P284</f>
        <v>4761000</v>
      </c>
      <c r="P191" s="271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</row>
    <row r="192" spans="1:35" ht="32.25" customHeight="1" x14ac:dyDescent="0.25">
      <c r="A192" s="26" t="s">
        <v>427</v>
      </c>
      <c r="B192" s="26" t="s">
        <v>166</v>
      </c>
      <c r="C192" s="13" t="s">
        <v>439</v>
      </c>
      <c r="D192" s="47">
        <f>'дод 3'!E254+'дод 3'!E285</f>
        <v>0</v>
      </c>
      <c r="E192" s="47">
        <f>'дод 3'!F254+'дод 3'!F285</f>
        <v>0</v>
      </c>
      <c r="F192" s="47">
        <f>'дод 3'!G254+'дод 3'!G285</f>
        <v>0</v>
      </c>
      <c r="G192" s="47">
        <f>'дод 3'!H254+'дод 3'!H285</f>
        <v>0</v>
      </c>
      <c r="H192" s="47">
        <f>'дод 3'!I254+'дод 3'!I285</f>
        <v>0</v>
      </c>
      <c r="I192" s="47">
        <f>'дод 3'!J254+'дод 3'!J285</f>
        <v>49693274</v>
      </c>
      <c r="J192" s="47">
        <f>'дод 3'!K254+'дод 3'!K285</f>
        <v>0</v>
      </c>
      <c r="K192" s="47">
        <f>'дод 3'!L254+'дод 3'!L285</f>
        <v>0</v>
      </c>
      <c r="L192" s="47">
        <f>'дод 3'!M254+'дод 3'!M285</f>
        <v>0</v>
      </c>
      <c r="M192" s="47">
        <f>'дод 3'!N254+'дод 3'!N285</f>
        <v>49693274</v>
      </c>
      <c r="N192" s="47">
        <f>'дод 3'!O254+'дод 3'!O285</f>
        <v>49693274</v>
      </c>
      <c r="O192" s="47">
        <f>'дод 3'!P254+'дод 3'!P285</f>
        <v>49693274</v>
      </c>
      <c r="P192" s="271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</row>
    <row r="193" spans="1:35" ht="35.25" customHeight="1" x14ac:dyDescent="0.25">
      <c r="A193" s="5" t="s">
        <v>219</v>
      </c>
      <c r="B193" s="5" t="s">
        <v>166</v>
      </c>
      <c r="C193" s="13" t="s">
        <v>1</v>
      </c>
      <c r="D193" s="47">
        <f>'дод 3'!E255+'дод 3'!E286</f>
        <v>0</v>
      </c>
      <c r="E193" s="47">
        <f>'дод 3'!F255+'дод 3'!F286</f>
        <v>0</v>
      </c>
      <c r="F193" s="47">
        <f>'дод 3'!G255+'дод 3'!G286</f>
        <v>0</v>
      </c>
      <c r="G193" s="47">
        <f>'дод 3'!H255+'дод 3'!H286</f>
        <v>0</v>
      </c>
      <c r="H193" s="47">
        <f>'дод 3'!I255+'дод 3'!I286</f>
        <v>0</v>
      </c>
      <c r="I193" s="47">
        <f>'дод 3'!J255+'дод 3'!J286</f>
        <v>4453802</v>
      </c>
      <c r="J193" s="47">
        <f>'дод 3'!K255+'дод 3'!K286</f>
        <v>0</v>
      </c>
      <c r="K193" s="47">
        <f>'дод 3'!L255+'дод 3'!L286</f>
        <v>0</v>
      </c>
      <c r="L193" s="47">
        <f>'дод 3'!M255+'дод 3'!M286</f>
        <v>0</v>
      </c>
      <c r="M193" s="47">
        <f>'дод 3'!N255+'дод 3'!N286</f>
        <v>4453802</v>
      </c>
      <c r="N193" s="47">
        <f>'дод 3'!O255+'дод 3'!O286</f>
        <v>4453802</v>
      </c>
      <c r="O193" s="47">
        <f>'дод 3'!P255+'дод 3'!P286</f>
        <v>4453802</v>
      </c>
      <c r="P193" s="271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</row>
    <row r="194" spans="1:35" ht="35.25" customHeight="1" x14ac:dyDescent="0.25">
      <c r="A194" s="5" t="s">
        <v>633</v>
      </c>
      <c r="B194" s="5" t="s">
        <v>166</v>
      </c>
      <c r="C194" s="13" t="s">
        <v>634</v>
      </c>
      <c r="D194" s="47">
        <f>'дод 3'!E305</f>
        <v>0</v>
      </c>
      <c r="E194" s="47">
        <f>'дод 3'!F305</f>
        <v>0</v>
      </c>
      <c r="F194" s="47">
        <f>'дод 3'!G305</f>
        <v>0</v>
      </c>
      <c r="G194" s="47">
        <f>'дод 3'!H305</f>
        <v>0</v>
      </c>
      <c r="H194" s="47">
        <f>'дод 3'!I305</f>
        <v>0</v>
      </c>
      <c r="I194" s="47">
        <f>'дод 3'!J305</f>
        <v>140000</v>
      </c>
      <c r="J194" s="47">
        <f>'дод 3'!K305</f>
        <v>0</v>
      </c>
      <c r="K194" s="47">
        <f>'дод 3'!L305</f>
        <v>0</v>
      </c>
      <c r="L194" s="47">
        <f>'дод 3'!M305</f>
        <v>0</v>
      </c>
      <c r="M194" s="47">
        <f>'дод 3'!N305</f>
        <v>140000</v>
      </c>
      <c r="N194" s="47">
        <f>'дод 3'!O305</f>
        <v>140000</v>
      </c>
      <c r="O194" s="47">
        <f>'дод 3'!P305</f>
        <v>140000</v>
      </c>
      <c r="P194" s="271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</row>
    <row r="195" spans="1:35" ht="30" customHeight="1" x14ac:dyDescent="0.25">
      <c r="A195" s="5" t="s">
        <v>598</v>
      </c>
      <c r="B195" s="5"/>
      <c r="C195" s="13" t="s">
        <v>600</v>
      </c>
      <c r="D195" s="47">
        <f>D198+D197</f>
        <v>0</v>
      </c>
      <c r="E195" s="47">
        <f t="shared" ref="E195:O195" si="49">E198+E197</f>
        <v>0</v>
      </c>
      <c r="F195" s="47">
        <f t="shared" si="49"/>
        <v>0</v>
      </c>
      <c r="G195" s="47">
        <f t="shared" si="49"/>
        <v>0</v>
      </c>
      <c r="H195" s="47">
        <f t="shared" si="49"/>
        <v>0</v>
      </c>
      <c r="I195" s="47">
        <f t="shared" si="49"/>
        <v>32844061.880000003</v>
      </c>
      <c r="J195" s="47">
        <f t="shared" si="49"/>
        <v>0</v>
      </c>
      <c r="K195" s="47">
        <f t="shared" si="49"/>
        <v>0</v>
      </c>
      <c r="L195" s="47">
        <f t="shared" si="49"/>
        <v>0</v>
      </c>
      <c r="M195" s="47">
        <f t="shared" si="49"/>
        <v>32844061.880000003</v>
      </c>
      <c r="N195" s="47">
        <f t="shared" si="49"/>
        <v>30263698.829999998</v>
      </c>
      <c r="O195" s="47">
        <f t="shared" si="49"/>
        <v>32844061.880000003</v>
      </c>
      <c r="P195" s="271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</row>
    <row r="196" spans="1:35" ht="24.75" customHeight="1" x14ac:dyDescent="0.25">
      <c r="B196" s="5"/>
      <c r="C196" s="13" t="s">
        <v>416</v>
      </c>
      <c r="D196" s="47">
        <f>D199</f>
        <v>0</v>
      </c>
      <c r="E196" s="47">
        <f t="shared" ref="E196:O196" si="50">E199</f>
        <v>0</v>
      </c>
      <c r="F196" s="47">
        <f t="shared" si="50"/>
        <v>0</v>
      </c>
      <c r="G196" s="47">
        <f t="shared" si="50"/>
        <v>0</v>
      </c>
      <c r="H196" s="47">
        <f t="shared" si="50"/>
        <v>0</v>
      </c>
      <c r="I196" s="47">
        <f t="shared" si="50"/>
        <v>24163891.340000004</v>
      </c>
      <c r="J196" s="47">
        <f t="shared" si="50"/>
        <v>0</v>
      </c>
      <c r="K196" s="47">
        <f t="shared" si="50"/>
        <v>0</v>
      </c>
      <c r="L196" s="47">
        <f t="shared" si="50"/>
        <v>0</v>
      </c>
      <c r="M196" s="47">
        <f t="shared" si="50"/>
        <v>24163891.340000004</v>
      </c>
      <c r="N196" s="47">
        <f t="shared" si="50"/>
        <v>21583528.289999999</v>
      </c>
      <c r="O196" s="47">
        <f t="shared" si="50"/>
        <v>24163891.340000004</v>
      </c>
      <c r="P196" s="271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</row>
    <row r="197" spans="1:35" s="8" customFormat="1" ht="54.75" customHeight="1" x14ac:dyDescent="0.25">
      <c r="A197" s="7" t="s">
        <v>625</v>
      </c>
      <c r="B197" s="7" t="s">
        <v>126</v>
      </c>
      <c r="C197" s="14" t="s">
        <v>626</v>
      </c>
      <c r="D197" s="49">
        <f>'дод 3'!E258</f>
        <v>0</v>
      </c>
      <c r="E197" s="49">
        <f>'дод 3'!F258</f>
        <v>0</v>
      </c>
      <c r="F197" s="49">
        <f>'дод 3'!G258</f>
        <v>0</v>
      </c>
      <c r="G197" s="49">
        <f>'дод 3'!H258</f>
        <v>0</v>
      </c>
      <c r="H197" s="49">
        <f>'дод 3'!I258</f>
        <v>0</v>
      </c>
      <c r="I197" s="49">
        <f>'дод 3'!J258+'дод 3'!J289</f>
        <v>931339</v>
      </c>
      <c r="J197" s="49">
        <f>'дод 3'!K258+'дод 3'!K289</f>
        <v>0</v>
      </c>
      <c r="K197" s="49">
        <f>'дод 3'!L258+'дод 3'!L289</f>
        <v>0</v>
      </c>
      <c r="L197" s="49">
        <f>'дод 3'!M258+'дод 3'!M289</f>
        <v>0</v>
      </c>
      <c r="M197" s="49">
        <f>'дод 3'!N258+'дод 3'!N289</f>
        <v>931339</v>
      </c>
      <c r="N197" s="49">
        <f>'дод 3'!O258+'дод 3'!O289</f>
        <v>931339</v>
      </c>
      <c r="O197" s="49">
        <f>'дод 3'!P258+'дод 3'!P289</f>
        <v>931339</v>
      </c>
      <c r="P197" s="271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</row>
    <row r="198" spans="1:35" s="8" customFormat="1" ht="48.75" customHeight="1" x14ac:dyDescent="0.25">
      <c r="A198" s="7" t="s">
        <v>599</v>
      </c>
      <c r="B198" s="7" t="s">
        <v>126</v>
      </c>
      <c r="C198" s="14" t="s">
        <v>601</v>
      </c>
      <c r="D198" s="49">
        <f>'дод 3'!E90+'дод 3'!E127+'дод 3'!E259+'дод 3'!E290</f>
        <v>0</v>
      </c>
      <c r="E198" s="49">
        <f>'дод 3'!F90+'дод 3'!F127+'дод 3'!F259+'дод 3'!F290</f>
        <v>0</v>
      </c>
      <c r="F198" s="49">
        <f>'дод 3'!G90+'дод 3'!G127+'дод 3'!G259+'дод 3'!G290</f>
        <v>0</v>
      </c>
      <c r="G198" s="49">
        <f>'дод 3'!H90+'дод 3'!H127+'дод 3'!H259+'дод 3'!H290</f>
        <v>0</v>
      </c>
      <c r="H198" s="49">
        <f>'дод 3'!I90+'дод 3'!I127+'дод 3'!I259+'дод 3'!I290</f>
        <v>0</v>
      </c>
      <c r="I198" s="49">
        <f>'дод 3'!J90+'дод 3'!J127+'дод 3'!J259+'дод 3'!J290+'дод 3'!J229</f>
        <v>31912722.880000003</v>
      </c>
      <c r="J198" s="49">
        <f>'дод 3'!K90+'дод 3'!K127+'дод 3'!K259+'дод 3'!K290</f>
        <v>0</v>
      </c>
      <c r="K198" s="49">
        <f>'дод 3'!L90+'дод 3'!L127+'дод 3'!L259+'дод 3'!L290</f>
        <v>0</v>
      </c>
      <c r="L198" s="49">
        <f>'дод 3'!M90+'дод 3'!M127+'дод 3'!M259+'дод 3'!M290</f>
        <v>0</v>
      </c>
      <c r="M198" s="49">
        <f>'дод 3'!N90+'дод 3'!N127+'дод 3'!N259+'дод 3'!N290+'дод 3'!N229</f>
        <v>31912722.880000003</v>
      </c>
      <c r="N198" s="49">
        <f>'дод 3'!O90+'дод 3'!O127+'дод 3'!O259+'дод 3'!O290+'дод 3'!O229</f>
        <v>29332359.829999998</v>
      </c>
      <c r="O198" s="49">
        <f>'дод 3'!P90+'дод 3'!P127+'дод 3'!P259+'дод 3'!P290+'дод 3'!P229</f>
        <v>31912722.880000003</v>
      </c>
      <c r="P198" s="271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</row>
    <row r="199" spans="1:35" s="8" customFormat="1" ht="27" customHeight="1" x14ac:dyDescent="0.25">
      <c r="A199" s="7"/>
      <c r="B199" s="7"/>
      <c r="C199" s="14" t="s">
        <v>416</v>
      </c>
      <c r="D199" s="49">
        <f>'дод 3'!E91+'дод 3'!E128+'дод 3'!E260+'дод 3'!E291</f>
        <v>0</v>
      </c>
      <c r="E199" s="49">
        <f>'дод 3'!F91+'дод 3'!F128+'дод 3'!F260+'дод 3'!F291</f>
        <v>0</v>
      </c>
      <c r="F199" s="49">
        <f>'дод 3'!G91+'дод 3'!G128+'дод 3'!G260+'дод 3'!G291</f>
        <v>0</v>
      </c>
      <c r="G199" s="49">
        <f>'дод 3'!H91+'дод 3'!H128+'дод 3'!H260+'дод 3'!H291</f>
        <v>0</v>
      </c>
      <c r="H199" s="49">
        <f>'дод 3'!I91+'дод 3'!I128+'дод 3'!I260+'дод 3'!I291</f>
        <v>0</v>
      </c>
      <c r="I199" s="49">
        <f>'дод 3'!J91+'дод 3'!J128+'дод 3'!J260+'дод 3'!J291+'дод 3'!J232</f>
        <v>24163891.340000004</v>
      </c>
      <c r="J199" s="49">
        <f>'дод 3'!K91+'дод 3'!K128+'дод 3'!K260+'дод 3'!K291+'дод 3'!K232</f>
        <v>0</v>
      </c>
      <c r="K199" s="49">
        <f>'дод 3'!L91+'дод 3'!L128+'дод 3'!L260+'дод 3'!L291+'дод 3'!L232</f>
        <v>0</v>
      </c>
      <c r="L199" s="49">
        <f>'дод 3'!M91+'дод 3'!M128+'дод 3'!M260+'дод 3'!M291+'дод 3'!M232</f>
        <v>0</v>
      </c>
      <c r="M199" s="49">
        <f>'дод 3'!N91+'дод 3'!N128+'дод 3'!N260+'дод 3'!N291+'дод 3'!N232</f>
        <v>24163891.340000004</v>
      </c>
      <c r="N199" s="49">
        <f>'дод 3'!O91+'дод 3'!O128+'дод 3'!O260+'дод 3'!O291+'дод 3'!O232</f>
        <v>21583528.289999999</v>
      </c>
      <c r="O199" s="49">
        <f>'дод 3'!P91+'дод 3'!P128+'дод 3'!P260+'дод 3'!P291+'дод 3'!P232</f>
        <v>24163891.340000004</v>
      </c>
      <c r="P199" s="271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</row>
    <row r="200" spans="1:35" s="21" customFormat="1" ht="39.75" customHeight="1" x14ac:dyDescent="0.25">
      <c r="A200" s="22" t="s">
        <v>130</v>
      </c>
      <c r="B200" s="11"/>
      <c r="C200" s="11" t="s">
        <v>2</v>
      </c>
      <c r="D200" s="48">
        <f>D202+D204+D209+D207+D210</f>
        <v>25349336</v>
      </c>
      <c r="E200" s="48">
        <f>E202+E204+E209+E207+E210</f>
        <v>649800</v>
      </c>
      <c r="F200" s="48">
        <f>F202+F204+F209+F207</f>
        <v>0</v>
      </c>
      <c r="G200" s="48">
        <f>G202+G204+G209+G207</f>
        <v>0</v>
      </c>
      <c r="H200" s="48">
        <f>H202+H204+H209+H207+H210</f>
        <v>24699536</v>
      </c>
      <c r="I200" s="48">
        <f>I202+I204+I209+I207+I210</f>
        <v>41973389.140000001</v>
      </c>
      <c r="J200" s="48">
        <f>J202+J204+J209+J207+J210</f>
        <v>41900000</v>
      </c>
      <c r="K200" s="48">
        <f>K202+K204+K209+K207</f>
        <v>0</v>
      </c>
      <c r="L200" s="48">
        <f>L202+L204+L209+L207</f>
        <v>0</v>
      </c>
      <c r="M200" s="48">
        <f>M202+M204+M209+M207+M210</f>
        <v>73389.14</v>
      </c>
      <c r="N200" s="48">
        <f>N202+N204+N209+N207+N210</f>
        <v>0</v>
      </c>
      <c r="O200" s="48">
        <f>O202+O204+O209+O207+O210</f>
        <v>67322725.140000001</v>
      </c>
      <c r="P200" s="271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</row>
    <row r="201" spans="1:35" s="28" customFormat="1" ht="21" customHeight="1" x14ac:dyDescent="0.25">
      <c r="A201" s="226"/>
      <c r="B201" s="211"/>
      <c r="C201" s="211" t="s">
        <v>416</v>
      </c>
      <c r="D201" s="227">
        <f>D211</f>
        <v>0</v>
      </c>
      <c r="E201" s="227">
        <f t="shared" ref="E201:O201" si="51">E211</f>
        <v>0</v>
      </c>
      <c r="F201" s="227">
        <f t="shared" si="51"/>
        <v>0</v>
      </c>
      <c r="G201" s="227">
        <f t="shared" si="51"/>
        <v>0</v>
      </c>
      <c r="H201" s="227">
        <f t="shared" si="51"/>
        <v>0</v>
      </c>
      <c r="I201" s="227">
        <f t="shared" si="51"/>
        <v>41900000</v>
      </c>
      <c r="J201" s="227">
        <f t="shared" si="51"/>
        <v>41900000</v>
      </c>
      <c r="K201" s="227">
        <f t="shared" si="51"/>
        <v>0</v>
      </c>
      <c r="L201" s="227">
        <f t="shared" si="51"/>
        <v>0</v>
      </c>
      <c r="M201" s="227">
        <f t="shared" si="51"/>
        <v>0</v>
      </c>
      <c r="N201" s="227">
        <f t="shared" si="51"/>
        <v>0</v>
      </c>
      <c r="O201" s="227">
        <f t="shared" si="51"/>
        <v>41900000</v>
      </c>
      <c r="P201" s="271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</row>
    <row r="202" spans="1:35" ht="39.75" customHeight="1" x14ac:dyDescent="0.25">
      <c r="A202" s="5" t="s">
        <v>131</v>
      </c>
      <c r="B202" s="13"/>
      <c r="C202" s="13" t="s">
        <v>4</v>
      </c>
      <c r="D202" s="47">
        <f t="shared" ref="D202:O202" si="52">D203</f>
        <v>7497000</v>
      </c>
      <c r="E202" s="47">
        <f t="shared" si="52"/>
        <v>0</v>
      </c>
      <c r="F202" s="47">
        <f t="shared" si="52"/>
        <v>0</v>
      </c>
      <c r="G202" s="47">
        <f t="shared" si="52"/>
        <v>0</v>
      </c>
      <c r="H202" s="47">
        <f t="shared" si="52"/>
        <v>7497000</v>
      </c>
      <c r="I202" s="47">
        <f t="shared" si="52"/>
        <v>0</v>
      </c>
      <c r="J202" s="47">
        <f t="shared" si="52"/>
        <v>0</v>
      </c>
      <c r="K202" s="47">
        <f t="shared" si="52"/>
        <v>0</v>
      </c>
      <c r="L202" s="47">
        <f t="shared" si="52"/>
        <v>0</v>
      </c>
      <c r="M202" s="47">
        <f t="shared" si="52"/>
        <v>0</v>
      </c>
      <c r="N202" s="47">
        <f t="shared" si="52"/>
        <v>0</v>
      </c>
      <c r="O202" s="47">
        <f t="shared" si="52"/>
        <v>7497000</v>
      </c>
      <c r="P202" s="271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</row>
    <row r="203" spans="1:35" s="8" customFormat="1" ht="39.75" customHeight="1" x14ac:dyDescent="0.25">
      <c r="A203" s="7" t="s">
        <v>5</v>
      </c>
      <c r="B203" s="7" t="s">
        <v>128</v>
      </c>
      <c r="C203" s="14" t="s">
        <v>68</v>
      </c>
      <c r="D203" s="49">
        <f>'дод 3'!E42</f>
        <v>7497000</v>
      </c>
      <c r="E203" s="49">
        <f>'дод 3'!F42</f>
        <v>0</v>
      </c>
      <c r="F203" s="49">
        <f>'дод 3'!G42</f>
        <v>0</v>
      </c>
      <c r="G203" s="49">
        <f>'дод 3'!H42</f>
        <v>0</v>
      </c>
      <c r="H203" s="49">
        <f>'дод 3'!I42</f>
        <v>7497000</v>
      </c>
      <c r="I203" s="49">
        <f>'дод 3'!J42</f>
        <v>0</v>
      </c>
      <c r="J203" s="49">
        <f>'дод 3'!K42</f>
        <v>0</v>
      </c>
      <c r="K203" s="49">
        <f>'дод 3'!L42</f>
        <v>0</v>
      </c>
      <c r="L203" s="49">
        <f>'дод 3'!M42</f>
        <v>0</v>
      </c>
      <c r="M203" s="49">
        <f>'дод 3'!N42</f>
        <v>0</v>
      </c>
      <c r="N203" s="49">
        <f>'дод 3'!O42</f>
        <v>0</v>
      </c>
      <c r="O203" s="49">
        <f>'дод 3'!P42</f>
        <v>7497000</v>
      </c>
      <c r="P203" s="271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</row>
    <row r="204" spans="1:35" ht="36" customHeight="1" x14ac:dyDescent="0.25">
      <c r="A204" s="5" t="s">
        <v>7</v>
      </c>
      <c r="B204" s="5"/>
      <c r="C204" s="13" t="s">
        <v>8</v>
      </c>
      <c r="D204" s="47">
        <f>D205+D206</f>
        <v>17202536</v>
      </c>
      <c r="E204" s="47">
        <f t="shared" ref="E204:O204" si="53">E205+E206</f>
        <v>0</v>
      </c>
      <c r="F204" s="47">
        <f t="shared" si="53"/>
        <v>0</v>
      </c>
      <c r="G204" s="47">
        <f t="shared" si="53"/>
        <v>0</v>
      </c>
      <c r="H204" s="47">
        <f t="shared" si="53"/>
        <v>17202536</v>
      </c>
      <c r="I204" s="47">
        <f t="shared" si="53"/>
        <v>0</v>
      </c>
      <c r="J204" s="47">
        <f t="shared" si="53"/>
        <v>0</v>
      </c>
      <c r="K204" s="47">
        <f t="shared" si="53"/>
        <v>0</v>
      </c>
      <c r="L204" s="47">
        <f t="shared" si="53"/>
        <v>0</v>
      </c>
      <c r="M204" s="47">
        <f t="shared" si="53"/>
        <v>0</v>
      </c>
      <c r="N204" s="47">
        <f t="shared" si="53"/>
        <v>0</v>
      </c>
      <c r="O204" s="47">
        <f t="shared" si="53"/>
        <v>17202536</v>
      </c>
      <c r="P204" s="271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</row>
    <row r="205" spans="1:35" s="8" customFormat="1" ht="39.75" customHeight="1" x14ac:dyDescent="0.25">
      <c r="A205" s="7" t="s">
        <v>6</v>
      </c>
      <c r="B205" s="7" t="s">
        <v>129</v>
      </c>
      <c r="C205" s="14" t="s">
        <v>232</v>
      </c>
      <c r="D205" s="49">
        <f>'дод 3'!E44</f>
        <v>10976000</v>
      </c>
      <c r="E205" s="49">
        <f>'дод 3'!F44</f>
        <v>0</v>
      </c>
      <c r="F205" s="49">
        <f>'дод 3'!G44</f>
        <v>0</v>
      </c>
      <c r="G205" s="49">
        <f>'дод 3'!H44</f>
        <v>0</v>
      </c>
      <c r="H205" s="49">
        <f>'дод 3'!I44</f>
        <v>10976000</v>
      </c>
      <c r="I205" s="49">
        <f>'дод 3'!J44</f>
        <v>0</v>
      </c>
      <c r="J205" s="49">
        <f>'дод 3'!K44</f>
        <v>0</v>
      </c>
      <c r="K205" s="49">
        <f>'дод 3'!L44</f>
        <v>0</v>
      </c>
      <c r="L205" s="49">
        <f>'дод 3'!M44</f>
        <v>0</v>
      </c>
      <c r="M205" s="49">
        <f>'дод 3'!N44</f>
        <v>0</v>
      </c>
      <c r="N205" s="49">
        <f>'дод 3'!O44</f>
        <v>0</v>
      </c>
      <c r="O205" s="49">
        <f>'дод 3'!P44</f>
        <v>10976000</v>
      </c>
      <c r="P205" s="271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</row>
    <row r="206" spans="1:35" s="8" customFormat="1" ht="24" customHeight="1" x14ac:dyDescent="0.25">
      <c r="A206" s="7" t="s">
        <v>9</v>
      </c>
      <c r="B206" s="7" t="s">
        <v>129</v>
      </c>
      <c r="C206" s="14" t="s">
        <v>33</v>
      </c>
      <c r="D206" s="49">
        <f>'дод 3'!E45</f>
        <v>6226536</v>
      </c>
      <c r="E206" s="49">
        <f>'дод 3'!F45</f>
        <v>0</v>
      </c>
      <c r="F206" s="49">
        <f>'дод 3'!G45</f>
        <v>0</v>
      </c>
      <c r="G206" s="49">
        <f>'дод 3'!H45</f>
        <v>0</v>
      </c>
      <c r="H206" s="49">
        <f>'дод 3'!I45</f>
        <v>6226536</v>
      </c>
      <c r="I206" s="49">
        <f>'дод 3'!J45</f>
        <v>0</v>
      </c>
      <c r="J206" s="49">
        <f>'дод 3'!K45</f>
        <v>0</v>
      </c>
      <c r="K206" s="49">
        <f>'дод 3'!L45</f>
        <v>0</v>
      </c>
      <c r="L206" s="49">
        <f>'дод 3'!M45</f>
        <v>0</v>
      </c>
      <c r="M206" s="49">
        <f>'дод 3'!N45</f>
        <v>0</v>
      </c>
      <c r="N206" s="49">
        <f>'дод 3'!O45</f>
        <v>0</v>
      </c>
      <c r="O206" s="49">
        <f>'дод 3'!P45</f>
        <v>6226536</v>
      </c>
      <c r="P206" s="271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</row>
    <row r="207" spans="1:35" ht="24" customHeight="1" x14ac:dyDescent="0.25">
      <c r="A207" s="5" t="s">
        <v>617</v>
      </c>
      <c r="B207" s="5"/>
      <c r="C207" s="13" t="s">
        <v>618</v>
      </c>
      <c r="D207" s="47">
        <f>D208</f>
        <v>0</v>
      </c>
      <c r="E207" s="47">
        <f t="shared" ref="E207:O207" si="54">E208</f>
        <v>0</v>
      </c>
      <c r="F207" s="47">
        <f t="shared" si="54"/>
        <v>0</v>
      </c>
      <c r="G207" s="47">
        <f t="shared" si="54"/>
        <v>0</v>
      </c>
      <c r="H207" s="47">
        <f t="shared" si="54"/>
        <v>0</v>
      </c>
      <c r="I207" s="47">
        <f t="shared" si="54"/>
        <v>73389.14</v>
      </c>
      <c r="J207" s="47">
        <f t="shared" si="54"/>
        <v>0</v>
      </c>
      <c r="K207" s="47">
        <f t="shared" si="54"/>
        <v>0</v>
      </c>
      <c r="L207" s="47">
        <f t="shared" si="54"/>
        <v>0</v>
      </c>
      <c r="M207" s="47">
        <f t="shared" si="54"/>
        <v>73389.14</v>
      </c>
      <c r="N207" s="47">
        <f t="shared" si="54"/>
        <v>0</v>
      </c>
      <c r="O207" s="47">
        <f t="shared" si="54"/>
        <v>73389.14</v>
      </c>
      <c r="P207" s="271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</row>
    <row r="208" spans="1:35" s="8" customFormat="1" ht="42.75" customHeight="1" x14ac:dyDescent="0.25">
      <c r="A208" s="7" t="s">
        <v>619</v>
      </c>
      <c r="B208" s="7" t="s">
        <v>493</v>
      </c>
      <c r="C208" s="14" t="s">
        <v>620</v>
      </c>
      <c r="D208" s="49">
        <f>'дод 3'!E293</f>
        <v>0</v>
      </c>
      <c r="E208" s="49">
        <f>'дод 3'!F293</f>
        <v>0</v>
      </c>
      <c r="F208" s="49">
        <f>'дод 3'!G293</f>
        <v>0</v>
      </c>
      <c r="G208" s="49">
        <f>'дод 3'!H293</f>
        <v>0</v>
      </c>
      <c r="H208" s="49">
        <f>'дод 3'!I293</f>
        <v>0</v>
      </c>
      <c r="I208" s="49">
        <f>'дод 3'!J293</f>
        <v>73389.14</v>
      </c>
      <c r="J208" s="49">
        <f>'дод 3'!K293</f>
        <v>0</v>
      </c>
      <c r="K208" s="49">
        <f>'дод 3'!L293</f>
        <v>0</v>
      </c>
      <c r="L208" s="49">
        <f>'дод 3'!M293</f>
        <v>0</v>
      </c>
      <c r="M208" s="49">
        <f>'дод 3'!N293</f>
        <v>73389.14</v>
      </c>
      <c r="N208" s="49">
        <f>'дод 3'!O293</f>
        <v>0</v>
      </c>
      <c r="O208" s="49">
        <f>'дод 3'!P293</f>
        <v>73389.14</v>
      </c>
      <c r="P208" s="271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</row>
    <row r="209" spans="1:35" ht="24" customHeight="1" x14ac:dyDescent="0.25">
      <c r="A209" s="5" t="s">
        <v>492</v>
      </c>
      <c r="B209" s="5" t="s">
        <v>493</v>
      </c>
      <c r="C209" s="13" t="s">
        <v>494</v>
      </c>
      <c r="D209" s="47">
        <f>'дод 3'!E46</f>
        <v>649800</v>
      </c>
      <c r="E209" s="47">
        <f>'дод 3'!F46</f>
        <v>649800</v>
      </c>
      <c r="F209" s="47">
        <f>'дод 3'!G46</f>
        <v>0</v>
      </c>
      <c r="G209" s="47">
        <f>'дод 3'!H46</f>
        <v>0</v>
      </c>
      <c r="H209" s="47">
        <f>'дод 3'!I46</f>
        <v>0</v>
      </c>
      <c r="I209" s="47">
        <f>'дод 3'!J46</f>
        <v>0</v>
      </c>
      <c r="J209" s="47">
        <f>'дод 3'!K46</f>
        <v>0</v>
      </c>
      <c r="K209" s="47">
        <f>'дод 3'!L46</f>
        <v>0</v>
      </c>
      <c r="L209" s="47">
        <f>'дод 3'!M46</f>
        <v>0</v>
      </c>
      <c r="M209" s="47">
        <f>'дод 3'!N46</f>
        <v>0</v>
      </c>
      <c r="N209" s="47">
        <f>'дод 3'!O46</f>
        <v>0</v>
      </c>
      <c r="O209" s="47">
        <f>'дод 3'!P46</f>
        <v>649800</v>
      </c>
      <c r="P209" s="271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</row>
    <row r="210" spans="1:35" ht="42.75" customHeight="1" x14ac:dyDescent="0.25">
      <c r="A210" s="5" t="s">
        <v>642</v>
      </c>
      <c r="B210" s="5"/>
      <c r="C210" s="13" t="s">
        <v>643</v>
      </c>
      <c r="D210" s="47">
        <f>D212</f>
        <v>0</v>
      </c>
      <c r="E210" s="47"/>
      <c r="F210" s="47"/>
      <c r="G210" s="47"/>
      <c r="H210" s="47"/>
      <c r="I210" s="47">
        <f t="shared" ref="I210:O211" si="55">I212</f>
        <v>41900000</v>
      </c>
      <c r="J210" s="47">
        <f t="shared" si="55"/>
        <v>41900000</v>
      </c>
      <c r="K210" s="47">
        <f t="shared" si="55"/>
        <v>0</v>
      </c>
      <c r="L210" s="47">
        <f t="shared" si="55"/>
        <v>0</v>
      </c>
      <c r="M210" s="47">
        <f t="shared" si="55"/>
        <v>0</v>
      </c>
      <c r="N210" s="47">
        <f t="shared" si="55"/>
        <v>0</v>
      </c>
      <c r="O210" s="47">
        <f t="shared" si="55"/>
        <v>41900000</v>
      </c>
      <c r="P210" s="271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</row>
    <row r="211" spans="1:35" ht="24.75" customHeight="1" x14ac:dyDescent="0.25">
      <c r="B211" s="5"/>
      <c r="C211" s="13" t="s">
        <v>416</v>
      </c>
      <c r="D211" s="47">
        <f>D213</f>
        <v>0</v>
      </c>
      <c r="E211" s="47">
        <f>E213</f>
        <v>0</v>
      </c>
      <c r="F211" s="47">
        <f>F213</f>
        <v>0</v>
      </c>
      <c r="G211" s="47">
        <f>G213</f>
        <v>0</v>
      </c>
      <c r="H211" s="47">
        <f>H213</f>
        <v>0</v>
      </c>
      <c r="I211" s="47">
        <f t="shared" si="55"/>
        <v>41900000</v>
      </c>
      <c r="J211" s="47">
        <f t="shared" si="55"/>
        <v>41900000</v>
      </c>
      <c r="K211" s="47">
        <f t="shared" si="55"/>
        <v>0</v>
      </c>
      <c r="L211" s="47">
        <f t="shared" si="55"/>
        <v>0</v>
      </c>
      <c r="M211" s="47">
        <f t="shared" si="55"/>
        <v>0</v>
      </c>
      <c r="N211" s="47">
        <f t="shared" si="55"/>
        <v>0</v>
      </c>
      <c r="O211" s="47">
        <f t="shared" si="55"/>
        <v>41900000</v>
      </c>
      <c r="P211" s="271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</row>
    <row r="212" spans="1:35" ht="59.25" customHeight="1" x14ac:dyDescent="0.25">
      <c r="A212" s="7" t="s">
        <v>645</v>
      </c>
      <c r="B212" s="7" t="s">
        <v>493</v>
      </c>
      <c r="C212" s="14" t="s">
        <v>646</v>
      </c>
      <c r="D212" s="47">
        <f>'дод 3'!E296</f>
        <v>0</v>
      </c>
      <c r="E212" s="47"/>
      <c r="F212" s="47"/>
      <c r="G212" s="47"/>
      <c r="H212" s="47"/>
      <c r="I212" s="47">
        <f>J212+M212</f>
        <v>41900000</v>
      </c>
      <c r="J212" s="47">
        <f>'дод 3'!K296</f>
        <v>41900000</v>
      </c>
      <c r="K212" s="47"/>
      <c r="L212" s="47"/>
      <c r="M212" s="47">
        <f>'дод 3'!N296</f>
        <v>0</v>
      </c>
      <c r="N212" s="47"/>
      <c r="O212" s="47">
        <f>I212+D212</f>
        <v>41900000</v>
      </c>
      <c r="P212" s="271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</row>
    <row r="213" spans="1:35" ht="24" customHeight="1" x14ac:dyDescent="0.25">
      <c r="A213" s="7"/>
      <c r="B213" s="7"/>
      <c r="C213" s="14" t="s">
        <v>416</v>
      </c>
      <c r="D213" s="47">
        <f>'дод 3'!E297</f>
        <v>0</v>
      </c>
      <c r="E213" s="47">
        <f>'дод 3'!F297</f>
        <v>0</v>
      </c>
      <c r="F213" s="47">
        <f>'дод 3'!G297</f>
        <v>0</v>
      </c>
      <c r="G213" s="47">
        <f>'дод 3'!H297</f>
        <v>0</v>
      </c>
      <c r="H213" s="47">
        <f>'дод 3'!I297</f>
        <v>0</v>
      </c>
      <c r="I213" s="47">
        <f>'дод 3'!J297</f>
        <v>41900000</v>
      </c>
      <c r="J213" s="47">
        <f>'дод 3'!K297</f>
        <v>41900000</v>
      </c>
      <c r="K213" s="47">
        <f>'дод 3'!L297</f>
        <v>0</v>
      </c>
      <c r="L213" s="47">
        <f>'дод 3'!M297</f>
        <v>0</v>
      </c>
      <c r="M213" s="47">
        <f>'дод 3'!N297</f>
        <v>0</v>
      </c>
      <c r="N213" s="47">
        <f>'дод 3'!O297</f>
        <v>0</v>
      </c>
      <c r="O213" s="47">
        <f>'дод 3'!P297</f>
        <v>41900000</v>
      </c>
      <c r="P213" s="271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</row>
    <row r="214" spans="1:35" s="21" customFormat="1" ht="28.5" customHeight="1" x14ac:dyDescent="0.25">
      <c r="A214" s="34" t="s">
        <v>381</v>
      </c>
      <c r="B214" s="11"/>
      <c r="C214" s="11" t="s">
        <v>382</v>
      </c>
      <c r="D214" s="48">
        <f t="shared" ref="D214:O214" si="56">D215</f>
        <v>9247290</v>
      </c>
      <c r="E214" s="48">
        <f t="shared" si="56"/>
        <v>9247290</v>
      </c>
      <c r="F214" s="48">
        <f t="shared" si="56"/>
        <v>0</v>
      </c>
      <c r="G214" s="48">
        <f t="shared" si="56"/>
        <v>0</v>
      </c>
      <c r="H214" s="48">
        <f t="shared" si="56"/>
        <v>0</v>
      </c>
      <c r="I214" s="48">
        <f t="shared" si="56"/>
        <v>8111000</v>
      </c>
      <c r="J214" s="48">
        <f t="shared" si="56"/>
        <v>0</v>
      </c>
      <c r="K214" s="48">
        <f t="shared" si="56"/>
        <v>0</v>
      </c>
      <c r="L214" s="48">
        <f t="shared" si="56"/>
        <v>0</v>
      </c>
      <c r="M214" s="48">
        <f t="shared" si="56"/>
        <v>8111000</v>
      </c>
      <c r="N214" s="48">
        <f t="shared" si="56"/>
        <v>8111000</v>
      </c>
      <c r="O214" s="48">
        <f t="shared" si="56"/>
        <v>17358290</v>
      </c>
      <c r="P214" s="271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</row>
    <row r="215" spans="1:35" ht="37.5" customHeight="1" x14ac:dyDescent="0.25">
      <c r="A215" s="26" t="s">
        <v>379</v>
      </c>
      <c r="B215" s="26" t="s">
        <v>380</v>
      </c>
      <c r="C215" s="52" t="s">
        <v>378</v>
      </c>
      <c r="D215" s="47">
        <f>'дод 3'!E47</f>
        <v>9247290</v>
      </c>
      <c r="E215" s="47">
        <f>'дод 3'!F47</f>
        <v>9247290</v>
      </c>
      <c r="F215" s="47">
        <f>'дод 3'!G47</f>
        <v>0</v>
      </c>
      <c r="G215" s="47">
        <f>'дод 3'!H47</f>
        <v>0</v>
      </c>
      <c r="H215" s="47">
        <f>'дод 3'!I47</f>
        <v>0</v>
      </c>
      <c r="I215" s="47">
        <f>'дод 3'!J47</f>
        <v>8111000</v>
      </c>
      <c r="J215" s="47">
        <f>'дод 3'!K47</f>
        <v>0</v>
      </c>
      <c r="K215" s="47">
        <f>'дод 3'!L47</f>
        <v>0</v>
      </c>
      <c r="L215" s="47">
        <f>'дод 3'!M47</f>
        <v>0</v>
      </c>
      <c r="M215" s="47">
        <f>'дод 3'!N47</f>
        <v>8111000</v>
      </c>
      <c r="N215" s="47">
        <f>'дод 3'!O47</f>
        <v>8111000</v>
      </c>
      <c r="O215" s="47">
        <f>'дод 3'!P47</f>
        <v>17358290</v>
      </c>
      <c r="P215" s="271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</row>
    <row r="216" spans="1:35" s="21" customFormat="1" ht="38.25" customHeight="1" x14ac:dyDescent="0.25">
      <c r="A216" s="22" t="s">
        <v>134</v>
      </c>
      <c r="B216" s="11"/>
      <c r="C216" s="11" t="s">
        <v>10</v>
      </c>
      <c r="D216" s="48">
        <f>D217+D218+D221+D222+D223+D219+D220</f>
        <v>8067228</v>
      </c>
      <c r="E216" s="48">
        <f t="shared" ref="E216:O216" si="57">E217+E218+E221+E222+E223+E219+E220</f>
        <v>6769328</v>
      </c>
      <c r="F216" s="48">
        <f t="shared" si="57"/>
        <v>0</v>
      </c>
      <c r="G216" s="48">
        <f t="shared" si="57"/>
        <v>78316.649999999994</v>
      </c>
      <c r="H216" s="48">
        <f t="shared" si="57"/>
        <v>1297900</v>
      </c>
      <c r="I216" s="48">
        <f t="shared" si="57"/>
        <v>75488803.329999998</v>
      </c>
      <c r="J216" s="48">
        <f t="shared" si="57"/>
        <v>1332343.53</v>
      </c>
      <c r="K216" s="48">
        <f t="shared" si="57"/>
        <v>0</v>
      </c>
      <c r="L216" s="48">
        <f t="shared" si="57"/>
        <v>0</v>
      </c>
      <c r="M216" s="48">
        <f t="shared" si="57"/>
        <v>74156459.799999997</v>
      </c>
      <c r="N216" s="48">
        <f t="shared" si="57"/>
        <v>72484374</v>
      </c>
      <c r="O216" s="48">
        <f t="shared" si="57"/>
        <v>83556031.329999998</v>
      </c>
      <c r="P216" s="271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</row>
    <row r="217" spans="1:35" ht="38.25" customHeight="1" x14ac:dyDescent="0.25">
      <c r="A217" s="5" t="s">
        <v>11</v>
      </c>
      <c r="B217" s="5" t="s">
        <v>133</v>
      </c>
      <c r="C217" s="13" t="s">
        <v>46</v>
      </c>
      <c r="D217" s="47">
        <f>'дод 3'!E48+'дод 3'!E315</f>
        <v>1240000</v>
      </c>
      <c r="E217" s="47">
        <f>'дод 3'!F48+'дод 3'!F315</f>
        <v>340000</v>
      </c>
      <c r="F217" s="47">
        <f>'дод 3'!G48+'дод 3'!G315</f>
        <v>0</v>
      </c>
      <c r="G217" s="47">
        <f>'дод 3'!H48+'дод 3'!H315</f>
        <v>0</v>
      </c>
      <c r="H217" s="47">
        <f>'дод 3'!I48+'дод 3'!I315</f>
        <v>900000</v>
      </c>
      <c r="I217" s="47">
        <f>'дод 3'!J48+'дод 3'!J315</f>
        <v>16800</v>
      </c>
      <c r="J217" s="47">
        <f>'дод 3'!K48+'дод 3'!K315</f>
        <v>0</v>
      </c>
      <c r="K217" s="47">
        <f>'дод 3'!L48+'дод 3'!L315</f>
        <v>0</v>
      </c>
      <c r="L217" s="47">
        <f>'дод 3'!M48+'дод 3'!M315</f>
        <v>0</v>
      </c>
      <c r="M217" s="47">
        <f>'дод 3'!N48+'дод 3'!N315</f>
        <v>16800</v>
      </c>
      <c r="N217" s="47">
        <f>'дод 3'!O48+'дод 3'!O315</f>
        <v>16800</v>
      </c>
      <c r="O217" s="47">
        <f>'дод 3'!P48+'дод 3'!P315</f>
        <v>1256800</v>
      </c>
      <c r="P217" s="271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</row>
    <row r="218" spans="1:35" ht="24.75" customHeight="1" x14ac:dyDescent="0.25">
      <c r="A218" s="5" t="s">
        <v>3</v>
      </c>
      <c r="B218" s="5" t="s">
        <v>132</v>
      </c>
      <c r="C218" s="13" t="s">
        <v>64</v>
      </c>
      <c r="D218" s="47">
        <f>'дод 3'!E92+'дод 3'!E129+'дод 3'!E209+'дод 3'!E233+'дод 3'!E261+'дод 3'!E298+'дод 3'!E49+'дод 3'!E328</f>
        <v>3900830</v>
      </c>
      <c r="E218" s="47">
        <f>'дод 3'!F92+'дод 3'!F129+'дод 3'!F209+'дод 3'!F233+'дод 3'!F261+'дод 3'!F298+'дод 3'!F49+'дод 3'!F328</f>
        <v>3700830</v>
      </c>
      <c r="F218" s="47">
        <f>'дод 3'!G92+'дод 3'!G129+'дод 3'!G209+'дод 3'!G233+'дод 3'!G261+'дод 3'!G298+'дод 3'!G49+'дод 3'!G328</f>
        <v>0</v>
      </c>
      <c r="G218" s="47">
        <f>'дод 3'!H92+'дод 3'!H129+'дод 3'!H209+'дод 3'!H233+'дод 3'!H261+'дод 3'!H298+'дод 3'!H49+'дод 3'!H328</f>
        <v>0</v>
      </c>
      <c r="H218" s="47">
        <f>'дод 3'!I92+'дод 3'!I129+'дод 3'!I209+'дод 3'!I233+'дод 3'!I261+'дод 3'!I298+'дод 3'!I49+'дод 3'!I328</f>
        <v>200000</v>
      </c>
      <c r="I218" s="47">
        <f>'дод 3'!J92+'дод 3'!J129+'дод 3'!J209+'дод 3'!J233+'дод 3'!J261+'дод 3'!J298+'дод 3'!J49+'дод 3'!J328</f>
        <v>43532574</v>
      </c>
      <c r="J218" s="47">
        <f>'дод 3'!K92+'дод 3'!K129+'дод 3'!K209+'дод 3'!K233+'дод 3'!K261+'дод 3'!K298+'дод 3'!K49+'дод 3'!K328</f>
        <v>0</v>
      </c>
      <c r="K218" s="47">
        <f>'дод 3'!L92+'дод 3'!L129+'дод 3'!L209+'дод 3'!L233+'дод 3'!L261+'дод 3'!L298+'дод 3'!L49+'дод 3'!L328</f>
        <v>0</v>
      </c>
      <c r="L218" s="47">
        <f>'дод 3'!M92+'дод 3'!M129+'дод 3'!M209+'дод 3'!M233+'дод 3'!M261+'дод 3'!M298+'дод 3'!M49+'дод 3'!M328</f>
        <v>0</v>
      </c>
      <c r="M218" s="47">
        <f>'дод 3'!N92+'дод 3'!N129+'дод 3'!N209+'дод 3'!N233+'дод 3'!N261+'дод 3'!N298+'дод 3'!N49+'дод 3'!N328</f>
        <v>43532574</v>
      </c>
      <c r="N218" s="47">
        <f>'дод 3'!O92+'дод 3'!O129+'дод 3'!O209+'дод 3'!O233+'дод 3'!O261+'дод 3'!O298+'дод 3'!O49+'дод 3'!O328</f>
        <v>43532574</v>
      </c>
      <c r="O218" s="47">
        <f>'дод 3'!P92+'дод 3'!P129+'дод 3'!P209+'дод 3'!P233+'дод 3'!P261+'дод 3'!P298+'дод 3'!P49+'дод 3'!P328</f>
        <v>47433404</v>
      </c>
      <c r="P218" s="271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</row>
    <row r="219" spans="1:35" ht="33.75" customHeight="1" x14ac:dyDescent="0.25">
      <c r="A219" s="5" t="s">
        <v>418</v>
      </c>
      <c r="B219" s="5" t="s">
        <v>126</v>
      </c>
      <c r="C219" s="13" t="s">
        <v>421</v>
      </c>
      <c r="D219" s="47">
        <f>'дод 3'!E316</f>
        <v>0</v>
      </c>
      <c r="E219" s="47">
        <f>'дод 3'!F316</f>
        <v>0</v>
      </c>
      <c r="F219" s="47">
        <f>'дод 3'!G316</f>
        <v>0</v>
      </c>
      <c r="G219" s="47">
        <f>'дод 3'!H316</f>
        <v>0</v>
      </c>
      <c r="H219" s="47">
        <f>'дод 3'!I316</f>
        <v>0</v>
      </c>
      <c r="I219" s="47">
        <f>'дод 3'!J316</f>
        <v>50000</v>
      </c>
      <c r="J219" s="47">
        <f>'дод 3'!K316</f>
        <v>0</v>
      </c>
      <c r="K219" s="47">
        <f>'дод 3'!L316</f>
        <v>0</v>
      </c>
      <c r="L219" s="47">
        <f>'дод 3'!M316</f>
        <v>0</v>
      </c>
      <c r="M219" s="47">
        <f>'дод 3'!N316</f>
        <v>50000</v>
      </c>
      <c r="N219" s="47">
        <f>'дод 3'!O316</f>
        <v>50000</v>
      </c>
      <c r="O219" s="47">
        <f>'дод 3'!P316</f>
        <v>50000</v>
      </c>
      <c r="P219" s="271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</row>
    <row r="220" spans="1:35" ht="66.75" customHeight="1" x14ac:dyDescent="0.25">
      <c r="A220" s="5" t="s">
        <v>420</v>
      </c>
      <c r="B220" s="5" t="s">
        <v>126</v>
      </c>
      <c r="C220" s="13" t="s">
        <v>422</v>
      </c>
      <c r="D220" s="47">
        <f>'дод 3'!E317</f>
        <v>0</v>
      </c>
      <c r="E220" s="47">
        <f>'дод 3'!F317</f>
        <v>0</v>
      </c>
      <c r="F220" s="47">
        <f>'дод 3'!G317</f>
        <v>0</v>
      </c>
      <c r="G220" s="47">
        <f>'дод 3'!H317</f>
        <v>0</v>
      </c>
      <c r="H220" s="47">
        <f>'дод 3'!I317</f>
        <v>0</v>
      </c>
      <c r="I220" s="47">
        <f>'дод 3'!J317</f>
        <v>25000</v>
      </c>
      <c r="J220" s="47">
        <f>'дод 3'!K317</f>
        <v>0</v>
      </c>
      <c r="K220" s="47">
        <f>'дод 3'!L317</f>
        <v>0</v>
      </c>
      <c r="L220" s="47">
        <f>'дод 3'!M317</f>
        <v>0</v>
      </c>
      <c r="M220" s="47">
        <f>'дод 3'!N317</f>
        <v>25000</v>
      </c>
      <c r="N220" s="47">
        <f>'дод 3'!O317</f>
        <v>25000</v>
      </c>
      <c r="O220" s="47">
        <f>'дод 3'!P317</f>
        <v>25000</v>
      </c>
      <c r="P220" s="271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</row>
    <row r="221" spans="1:35" x14ac:dyDescent="0.25">
      <c r="A221" s="5" t="s">
        <v>12</v>
      </c>
      <c r="B221" s="5" t="s">
        <v>126</v>
      </c>
      <c r="C221" s="13" t="s">
        <v>47</v>
      </c>
      <c r="D221" s="47">
        <f>'дод 3'!E50</f>
        <v>0</v>
      </c>
      <c r="E221" s="47">
        <f>'дод 3'!F50</f>
        <v>0</v>
      </c>
      <c r="F221" s="47">
        <f>'дод 3'!G50</f>
        <v>0</v>
      </c>
      <c r="G221" s="47">
        <f>'дод 3'!H50</f>
        <v>0</v>
      </c>
      <c r="H221" s="47">
        <f>'дод 3'!I50</f>
        <v>0</v>
      </c>
      <c r="I221" s="47">
        <f>'дод 3'!J50</f>
        <v>28860000</v>
      </c>
      <c r="J221" s="47">
        <f>'дод 3'!K50</f>
        <v>0</v>
      </c>
      <c r="K221" s="47">
        <f>'дод 3'!L50</f>
        <v>0</v>
      </c>
      <c r="L221" s="47">
        <f>'дод 3'!M50</f>
        <v>0</v>
      </c>
      <c r="M221" s="47">
        <f>'дод 3'!N50</f>
        <v>28860000</v>
      </c>
      <c r="N221" s="47">
        <f>'дод 3'!O50</f>
        <v>28860000</v>
      </c>
      <c r="O221" s="47">
        <f>'дод 3'!P50</f>
        <v>28860000</v>
      </c>
      <c r="P221" s="271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</row>
    <row r="222" spans="1:35" ht="36.75" customHeight="1" x14ac:dyDescent="0.25">
      <c r="A222" s="5" t="s">
        <v>392</v>
      </c>
      <c r="B222" s="5" t="s">
        <v>126</v>
      </c>
      <c r="C222" s="13" t="s">
        <v>393</v>
      </c>
      <c r="D222" s="47">
        <f>'дод 3'!E51</f>
        <v>209333</v>
      </c>
      <c r="E222" s="47">
        <f>'дод 3'!F51</f>
        <v>209333</v>
      </c>
      <c r="F222" s="47">
        <f>'дод 3'!G51</f>
        <v>0</v>
      </c>
      <c r="G222" s="47">
        <f>'дод 3'!H51</f>
        <v>0</v>
      </c>
      <c r="H222" s="47">
        <f>'дод 3'!I51</f>
        <v>0</v>
      </c>
      <c r="I222" s="47">
        <f>'дод 3'!J51</f>
        <v>0</v>
      </c>
      <c r="J222" s="47">
        <f>'дод 3'!K51</f>
        <v>0</v>
      </c>
      <c r="K222" s="47">
        <f>'дод 3'!L51</f>
        <v>0</v>
      </c>
      <c r="L222" s="47">
        <f>'дод 3'!M51</f>
        <v>0</v>
      </c>
      <c r="M222" s="47">
        <f>'дод 3'!N51</f>
        <v>0</v>
      </c>
      <c r="N222" s="47">
        <f>'дод 3'!O51</f>
        <v>0</v>
      </c>
      <c r="O222" s="47">
        <f>'дод 3'!P51</f>
        <v>209333</v>
      </c>
      <c r="P222" s="271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</row>
    <row r="223" spans="1:35" ht="29.25" customHeight="1" x14ac:dyDescent="0.25">
      <c r="A223" s="5" t="s">
        <v>13</v>
      </c>
      <c r="B223" s="5"/>
      <c r="C223" s="13" t="s">
        <v>413</v>
      </c>
      <c r="D223" s="47">
        <f>D224+D225</f>
        <v>2717065</v>
      </c>
      <c r="E223" s="47">
        <f t="shared" ref="E223:O223" si="58">E224+E225</f>
        <v>2519165</v>
      </c>
      <c r="F223" s="47">
        <f t="shared" si="58"/>
        <v>0</v>
      </c>
      <c r="G223" s="47">
        <f t="shared" si="58"/>
        <v>78316.649999999994</v>
      </c>
      <c r="H223" s="47">
        <f t="shared" si="58"/>
        <v>197900</v>
      </c>
      <c r="I223" s="47">
        <f t="shared" si="58"/>
        <v>3004429.33</v>
      </c>
      <c r="J223" s="47">
        <f t="shared" si="58"/>
        <v>1332343.53</v>
      </c>
      <c r="K223" s="47">
        <f t="shared" si="58"/>
        <v>0</v>
      </c>
      <c r="L223" s="47">
        <f t="shared" si="58"/>
        <v>0</v>
      </c>
      <c r="M223" s="47">
        <f t="shared" si="58"/>
        <v>1672085.8</v>
      </c>
      <c r="N223" s="47">
        <f t="shared" si="58"/>
        <v>0</v>
      </c>
      <c r="O223" s="47">
        <f t="shared" si="58"/>
        <v>5721494.3300000001</v>
      </c>
      <c r="P223" s="271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</row>
    <row r="224" spans="1:35" s="8" customFormat="1" ht="122.25" customHeight="1" x14ac:dyDescent="0.25">
      <c r="A224" s="7" t="s">
        <v>468</v>
      </c>
      <c r="B224" s="7" t="s">
        <v>126</v>
      </c>
      <c r="C224" s="14" t="s">
        <v>499</v>
      </c>
      <c r="D224" s="49">
        <f>'дод 3'!E53+'дод 3'!E307+'дод 3'!E263+'дод 3'!E300</f>
        <v>0</v>
      </c>
      <c r="E224" s="49">
        <f>'дод 3'!F53+'дод 3'!F307+'дод 3'!F263+'дод 3'!F300</f>
        <v>0</v>
      </c>
      <c r="F224" s="49">
        <f>'дод 3'!G53+'дод 3'!G307+'дод 3'!G263+'дод 3'!G300</f>
        <v>0</v>
      </c>
      <c r="G224" s="49">
        <f>'дод 3'!H53+'дод 3'!H307+'дод 3'!H263+'дод 3'!H300</f>
        <v>0</v>
      </c>
      <c r="H224" s="49">
        <f>'дод 3'!I53+'дод 3'!I307+'дод 3'!I263+'дод 3'!I300</f>
        <v>0</v>
      </c>
      <c r="I224" s="49">
        <f>'дод 3'!J53+'дод 3'!J307+'дод 3'!J263+'дод 3'!J300</f>
        <v>3004429.33</v>
      </c>
      <c r="J224" s="49">
        <f>'дод 3'!K53+'дод 3'!K307+'дод 3'!K263+'дод 3'!K300</f>
        <v>1332343.53</v>
      </c>
      <c r="K224" s="49">
        <f>'дод 3'!L53+'дод 3'!L307+'дод 3'!L263+'дод 3'!L300</f>
        <v>0</v>
      </c>
      <c r="L224" s="49">
        <f>'дод 3'!M53+'дод 3'!M307+'дод 3'!M263+'дод 3'!M300</f>
        <v>0</v>
      </c>
      <c r="M224" s="49">
        <f>'дод 3'!N53+'дод 3'!N307+'дод 3'!N263+'дод 3'!N300</f>
        <v>1672085.8</v>
      </c>
      <c r="N224" s="49">
        <f>'дод 3'!O53+'дод 3'!O307+'дод 3'!O263+'дод 3'!O300</f>
        <v>0</v>
      </c>
      <c r="O224" s="49">
        <f>'дод 3'!P53+'дод 3'!P307+'дод 3'!P263+'дод 3'!P300</f>
        <v>3004429.33</v>
      </c>
      <c r="P224" s="271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</row>
    <row r="225" spans="1:35" s="8" customFormat="1" ht="30.75" customHeight="1" x14ac:dyDescent="0.25">
      <c r="A225" s="7" t="s">
        <v>383</v>
      </c>
      <c r="B225" s="7" t="s">
        <v>126</v>
      </c>
      <c r="C225" s="14" t="s">
        <v>34</v>
      </c>
      <c r="D225" s="49">
        <f>'дод 3'!E54+'дод 3'!E319</f>
        <v>2717065</v>
      </c>
      <c r="E225" s="49">
        <f>'дод 3'!F54+'дод 3'!F319</f>
        <v>2519165</v>
      </c>
      <c r="F225" s="49">
        <f>'дод 3'!G54+'дод 3'!G319</f>
        <v>0</v>
      </c>
      <c r="G225" s="49">
        <f>'дод 3'!H54+'дод 3'!H319</f>
        <v>78316.649999999994</v>
      </c>
      <c r="H225" s="49">
        <f>'дод 3'!I54+'дод 3'!I319</f>
        <v>197900</v>
      </c>
      <c r="I225" s="49">
        <f>'дод 3'!J54+'дод 3'!J319</f>
        <v>0</v>
      </c>
      <c r="J225" s="49">
        <f>'дод 3'!K54+'дод 3'!K319</f>
        <v>0</v>
      </c>
      <c r="K225" s="49">
        <f>'дод 3'!L54+'дод 3'!L319</f>
        <v>0</v>
      </c>
      <c r="L225" s="49">
        <f>'дод 3'!M54+'дод 3'!M319</f>
        <v>0</v>
      </c>
      <c r="M225" s="49">
        <f>'дод 3'!N54+'дод 3'!N319</f>
        <v>0</v>
      </c>
      <c r="N225" s="49">
        <f>'дод 3'!O54+'дод 3'!O319</f>
        <v>0</v>
      </c>
      <c r="O225" s="49">
        <f>'дод 3'!P54+'дод 3'!P319</f>
        <v>2717065</v>
      </c>
      <c r="P225" s="271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</row>
    <row r="226" spans="1:35" s="21" customFormat="1" ht="23.25" customHeight="1" x14ac:dyDescent="0.25">
      <c r="A226" s="22" t="s">
        <v>141</v>
      </c>
      <c r="B226" s="10"/>
      <c r="C226" s="11" t="s">
        <v>15</v>
      </c>
      <c r="D226" s="48">
        <f>D227+D230+D232+D235+D237+D238</f>
        <v>3337147.4799999986</v>
      </c>
      <c r="E226" s="48">
        <f t="shared" ref="E226:O226" si="59">E227+E230+E232+E235+E237+E238</f>
        <v>3327410.41</v>
      </c>
      <c r="F226" s="48">
        <f t="shared" si="59"/>
        <v>1087750</v>
      </c>
      <c r="G226" s="48">
        <f t="shared" si="59"/>
        <v>328141</v>
      </c>
      <c r="H226" s="48">
        <f t="shared" si="59"/>
        <v>0</v>
      </c>
      <c r="I226" s="48">
        <f t="shared" si="59"/>
        <v>6926408.8700000001</v>
      </c>
      <c r="J226" s="48">
        <f t="shared" si="59"/>
        <v>2493987</v>
      </c>
      <c r="K226" s="48">
        <f t="shared" si="59"/>
        <v>0</v>
      </c>
      <c r="L226" s="48">
        <f t="shared" si="59"/>
        <v>1200</v>
      </c>
      <c r="M226" s="48">
        <f t="shared" si="59"/>
        <v>4432421.87</v>
      </c>
      <c r="N226" s="48">
        <f t="shared" si="59"/>
        <v>113800</v>
      </c>
      <c r="O226" s="48">
        <f t="shared" si="59"/>
        <v>10263556.35</v>
      </c>
      <c r="P226" s="271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</row>
    <row r="227" spans="1:35" s="21" customFormat="1" ht="49.5" customHeight="1" x14ac:dyDescent="0.25">
      <c r="A227" s="22" t="s">
        <v>143</v>
      </c>
      <c r="B227" s="30"/>
      <c r="C227" s="11" t="s">
        <v>16</v>
      </c>
      <c r="D227" s="48">
        <f>D228+D229</f>
        <v>2223743</v>
      </c>
      <c r="E227" s="48">
        <f t="shared" ref="E227:O227" si="60">E228+E229</f>
        <v>2223743</v>
      </c>
      <c r="F227" s="48">
        <f t="shared" si="60"/>
        <v>1087750</v>
      </c>
      <c r="G227" s="48">
        <f t="shared" si="60"/>
        <v>81385</v>
      </c>
      <c r="H227" s="48">
        <f t="shared" si="60"/>
        <v>0</v>
      </c>
      <c r="I227" s="48">
        <f t="shared" si="60"/>
        <v>118900</v>
      </c>
      <c r="J227" s="48">
        <f t="shared" si="60"/>
        <v>5100</v>
      </c>
      <c r="K227" s="48">
        <f t="shared" si="60"/>
        <v>0</v>
      </c>
      <c r="L227" s="48">
        <f t="shared" si="60"/>
        <v>1200</v>
      </c>
      <c r="M227" s="48">
        <f t="shared" si="60"/>
        <v>113800</v>
      </c>
      <c r="N227" s="48">
        <f t="shared" si="60"/>
        <v>113800</v>
      </c>
      <c r="O227" s="48">
        <f t="shared" si="60"/>
        <v>2342643</v>
      </c>
      <c r="P227" s="271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</row>
    <row r="228" spans="1:35" s="21" customFormat="1" ht="36.75" customHeight="1" x14ac:dyDescent="0.25">
      <c r="A228" s="26" t="s">
        <v>17</v>
      </c>
      <c r="B228" s="26" t="s">
        <v>136</v>
      </c>
      <c r="C228" s="13" t="s">
        <v>469</v>
      </c>
      <c r="D228" s="47">
        <f>'дод 3'!E55+'дод 3'!E210</f>
        <v>706633</v>
      </c>
      <c r="E228" s="47">
        <f>'дод 3'!F55+'дод 3'!F210</f>
        <v>706633</v>
      </c>
      <c r="F228" s="47">
        <f>'дод 3'!G55+'дод 3'!G210</f>
        <v>0</v>
      </c>
      <c r="G228" s="47">
        <f>'дод 3'!H55+'дод 3'!H210</f>
        <v>5070</v>
      </c>
      <c r="H228" s="47">
        <f>'дод 3'!I55+'дод 3'!I210</f>
        <v>0</v>
      </c>
      <c r="I228" s="47">
        <f>'дод 3'!J55+'дод 3'!J210</f>
        <v>55900</v>
      </c>
      <c r="J228" s="47">
        <f>'дод 3'!K55+'дод 3'!K210</f>
        <v>0</v>
      </c>
      <c r="K228" s="47">
        <f>'дод 3'!L55+'дод 3'!L210</f>
        <v>0</v>
      </c>
      <c r="L228" s="47">
        <f>'дод 3'!M55+'дод 3'!M210</f>
        <v>0</v>
      </c>
      <c r="M228" s="47">
        <f>'дод 3'!N55+'дод 3'!N210</f>
        <v>55900</v>
      </c>
      <c r="N228" s="47">
        <f>'дод 3'!O55+'дод 3'!O210</f>
        <v>55900</v>
      </c>
      <c r="O228" s="47">
        <f>'дод 3'!P55+'дод 3'!P210</f>
        <v>762533</v>
      </c>
      <c r="P228" s="271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</row>
    <row r="229" spans="1:35" ht="24.75" customHeight="1" x14ac:dyDescent="0.25">
      <c r="A229" s="5" t="s">
        <v>236</v>
      </c>
      <c r="B229" s="12" t="s">
        <v>136</v>
      </c>
      <c r="C229" s="13" t="s">
        <v>18</v>
      </c>
      <c r="D229" s="47">
        <f>'дод 3'!E56</f>
        <v>1517110</v>
      </c>
      <c r="E229" s="47">
        <f>'дод 3'!F56</f>
        <v>1517110</v>
      </c>
      <c r="F229" s="47">
        <f>'дод 3'!G56</f>
        <v>1087750</v>
      </c>
      <c r="G229" s="47">
        <f>'дод 3'!H56</f>
        <v>76315</v>
      </c>
      <c r="H229" s="47">
        <f>'дод 3'!I56</f>
        <v>0</v>
      </c>
      <c r="I229" s="47">
        <f>'дод 3'!J56</f>
        <v>63000</v>
      </c>
      <c r="J229" s="47">
        <f>'дод 3'!K56</f>
        <v>5100</v>
      </c>
      <c r="K229" s="47">
        <f>'дод 3'!L56</f>
        <v>0</v>
      </c>
      <c r="L229" s="47">
        <f>'дод 3'!M56</f>
        <v>1200</v>
      </c>
      <c r="M229" s="47">
        <f>'дод 3'!N56</f>
        <v>57900</v>
      </c>
      <c r="N229" s="47">
        <f>'дод 3'!O56</f>
        <v>57900</v>
      </c>
      <c r="O229" s="47">
        <f>'дод 3'!P56</f>
        <v>1580110</v>
      </c>
      <c r="P229" s="271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</row>
    <row r="230" spans="1:35" s="21" customFormat="1" ht="30" customHeight="1" x14ac:dyDescent="0.25">
      <c r="A230" s="22" t="s">
        <v>394</v>
      </c>
      <c r="B230" s="22"/>
      <c r="C230" s="53" t="s">
        <v>395</v>
      </c>
      <c r="D230" s="48">
        <f t="shared" ref="D230:O230" si="61">D231</f>
        <v>681615</v>
      </c>
      <c r="E230" s="48">
        <f t="shared" si="61"/>
        <v>681615</v>
      </c>
      <c r="F230" s="48">
        <f t="shared" si="61"/>
        <v>0</v>
      </c>
      <c r="G230" s="48">
        <f t="shared" si="61"/>
        <v>246756</v>
      </c>
      <c r="H230" s="48">
        <f t="shared" si="61"/>
        <v>0</v>
      </c>
      <c r="I230" s="48">
        <f t="shared" si="61"/>
        <v>0</v>
      </c>
      <c r="J230" s="48">
        <f t="shared" si="61"/>
        <v>0</v>
      </c>
      <c r="K230" s="48">
        <f t="shared" si="61"/>
        <v>0</v>
      </c>
      <c r="L230" s="48">
        <f t="shared" si="61"/>
        <v>0</v>
      </c>
      <c r="M230" s="48">
        <f t="shared" si="61"/>
        <v>0</v>
      </c>
      <c r="N230" s="48">
        <f t="shared" si="61"/>
        <v>0</v>
      </c>
      <c r="O230" s="48">
        <f t="shared" si="61"/>
        <v>681615</v>
      </c>
      <c r="P230" s="271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</row>
    <row r="231" spans="1:35" ht="30" customHeight="1" x14ac:dyDescent="0.25">
      <c r="A231" s="5" t="s">
        <v>388</v>
      </c>
      <c r="B231" s="12" t="s">
        <v>389</v>
      </c>
      <c r="C231" s="13" t="s">
        <v>390</v>
      </c>
      <c r="D231" s="47">
        <f>'дод 3'!E57</f>
        <v>681615</v>
      </c>
      <c r="E231" s="47">
        <f>'дод 3'!F57</f>
        <v>681615</v>
      </c>
      <c r="F231" s="47">
        <f>'дод 3'!G57</f>
        <v>0</v>
      </c>
      <c r="G231" s="47">
        <f>'дод 3'!H57</f>
        <v>246756</v>
      </c>
      <c r="H231" s="47">
        <f>'дод 3'!I57</f>
        <v>0</v>
      </c>
      <c r="I231" s="47">
        <f>'дод 3'!J57</f>
        <v>0</v>
      </c>
      <c r="J231" s="47">
        <f>'дод 3'!K57</f>
        <v>0</v>
      </c>
      <c r="K231" s="47">
        <f>'дод 3'!L57</f>
        <v>0</v>
      </c>
      <c r="L231" s="47">
        <f>'дод 3'!M57</f>
        <v>0</v>
      </c>
      <c r="M231" s="47">
        <f>'дод 3'!N57</f>
        <v>0</v>
      </c>
      <c r="N231" s="47">
        <f>'дод 3'!O57</f>
        <v>0</v>
      </c>
      <c r="O231" s="47">
        <f>'дод 3'!P57</f>
        <v>681615</v>
      </c>
      <c r="P231" s="271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</row>
    <row r="232" spans="1:35" s="21" customFormat="1" ht="22.5" customHeight="1" x14ac:dyDescent="0.25">
      <c r="A232" s="22" t="s">
        <v>14</v>
      </c>
      <c r="B232" s="34"/>
      <c r="C232" s="11" t="s">
        <v>19</v>
      </c>
      <c r="D232" s="48">
        <f>D233+D234</f>
        <v>76600</v>
      </c>
      <c r="E232" s="48">
        <f t="shared" ref="E232:O232" si="62">E233+E234</f>
        <v>76600</v>
      </c>
      <c r="F232" s="48">
        <f t="shared" si="62"/>
        <v>0</v>
      </c>
      <c r="G232" s="48">
        <f t="shared" si="62"/>
        <v>0</v>
      </c>
      <c r="H232" s="48">
        <f t="shared" si="62"/>
        <v>0</v>
      </c>
      <c r="I232" s="48">
        <f t="shared" si="62"/>
        <v>6807508.8700000001</v>
      </c>
      <c r="J232" s="48">
        <f t="shared" si="62"/>
        <v>2488887</v>
      </c>
      <c r="K232" s="48">
        <f t="shared" si="62"/>
        <v>0</v>
      </c>
      <c r="L232" s="48">
        <f t="shared" si="62"/>
        <v>0</v>
      </c>
      <c r="M232" s="48">
        <f t="shared" si="62"/>
        <v>4318621.87</v>
      </c>
      <c r="N232" s="48">
        <f t="shared" si="62"/>
        <v>0</v>
      </c>
      <c r="O232" s="48">
        <f t="shared" si="62"/>
        <v>6884108.8700000001</v>
      </c>
      <c r="P232" s="271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</row>
    <row r="233" spans="1:35" s="21" customFormat="1" ht="26.25" customHeight="1" x14ac:dyDescent="0.25">
      <c r="A233" s="5" t="s">
        <v>20</v>
      </c>
      <c r="B233" s="5" t="s">
        <v>135</v>
      </c>
      <c r="C233" s="13" t="s">
        <v>35</v>
      </c>
      <c r="D233" s="47">
        <f>'дод 3'!E264</f>
        <v>76600</v>
      </c>
      <c r="E233" s="47">
        <f>'дод 3'!F264</f>
        <v>76600</v>
      </c>
      <c r="F233" s="47">
        <f>'дод 3'!G264</f>
        <v>0</v>
      </c>
      <c r="G233" s="47">
        <f>'дод 3'!H264</f>
        <v>0</v>
      </c>
      <c r="H233" s="47">
        <f>'дод 3'!I264</f>
        <v>0</v>
      </c>
      <c r="I233" s="47">
        <f>'дод 3'!J264</f>
        <v>0</v>
      </c>
      <c r="J233" s="47">
        <f>'дод 3'!K264</f>
        <v>0</v>
      </c>
      <c r="K233" s="47">
        <f>'дод 3'!L264</f>
        <v>0</v>
      </c>
      <c r="L233" s="47">
        <f>'дод 3'!M264</f>
        <v>0</v>
      </c>
      <c r="M233" s="47">
        <f>'дод 3'!N264</f>
        <v>0</v>
      </c>
      <c r="N233" s="47">
        <f>'дод 3'!O264</f>
        <v>0</v>
      </c>
      <c r="O233" s="47">
        <f>'дод 3'!P264</f>
        <v>76600</v>
      </c>
      <c r="P233" s="271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</row>
    <row r="234" spans="1:35" s="21" customFormat="1" ht="37.5" customHeight="1" x14ac:dyDescent="0.25">
      <c r="A234" s="5" t="s">
        <v>21</v>
      </c>
      <c r="B234" s="5" t="s">
        <v>139</v>
      </c>
      <c r="C234" s="13" t="s">
        <v>22</v>
      </c>
      <c r="D234" s="47">
        <f>'дод 3'!E93+'дод 3'!E329+'дод 3'!E58+'дод 3'!E265</f>
        <v>0</v>
      </c>
      <c r="E234" s="47">
        <f>'дод 3'!F93+'дод 3'!F329+'дод 3'!F58+'дод 3'!F265</f>
        <v>0</v>
      </c>
      <c r="F234" s="47">
        <f>'дод 3'!G93+'дод 3'!G329+'дод 3'!G58+'дод 3'!G265</f>
        <v>0</v>
      </c>
      <c r="G234" s="47">
        <f>'дод 3'!H93+'дод 3'!H329+'дод 3'!H58+'дод 3'!H265</f>
        <v>0</v>
      </c>
      <c r="H234" s="47">
        <f>'дод 3'!I93+'дод 3'!I329+'дод 3'!I58+'дод 3'!I265</f>
        <v>0</v>
      </c>
      <c r="I234" s="47">
        <f>'дод 3'!J93+'дод 3'!J329+'дод 3'!J58+'дод 3'!J265+'дод 3'!J130</f>
        <v>6807508.8700000001</v>
      </c>
      <c r="J234" s="47">
        <f>'дод 3'!K93+'дод 3'!K329+'дод 3'!K58+'дод 3'!K265+'дод 3'!K130</f>
        <v>2488887</v>
      </c>
      <c r="K234" s="47">
        <f>'дод 3'!L93+'дод 3'!L329+'дод 3'!L58+'дод 3'!L265</f>
        <v>0</v>
      </c>
      <c r="L234" s="47">
        <f>'дод 3'!M93+'дод 3'!M329+'дод 3'!M58+'дод 3'!M265</f>
        <v>0</v>
      </c>
      <c r="M234" s="47">
        <f>'дод 3'!N93+'дод 3'!N329+'дод 3'!N58+'дод 3'!N265</f>
        <v>4318621.87</v>
      </c>
      <c r="N234" s="47">
        <f>'дод 3'!O93+'дод 3'!O329+'дод 3'!O58+'дод 3'!O265</f>
        <v>0</v>
      </c>
      <c r="O234" s="47">
        <f>'дод 3'!P93+'дод 3'!P329+'дод 3'!P58+'дод 3'!P265+'дод 3'!P130</f>
        <v>6807508.8700000001</v>
      </c>
      <c r="P234" s="271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</row>
    <row r="235" spans="1:35" s="21" customFormat="1" ht="26.25" customHeight="1" x14ac:dyDescent="0.25">
      <c r="A235" s="22" t="s">
        <v>211</v>
      </c>
      <c r="B235" s="34"/>
      <c r="C235" s="11" t="s">
        <v>117</v>
      </c>
      <c r="D235" s="48">
        <f t="shared" ref="D235:O235" si="63">D236</f>
        <v>167500</v>
      </c>
      <c r="E235" s="48">
        <f t="shared" si="63"/>
        <v>167500</v>
      </c>
      <c r="F235" s="48">
        <f t="shared" si="63"/>
        <v>0</v>
      </c>
      <c r="G235" s="48">
        <f t="shared" si="63"/>
        <v>0</v>
      </c>
      <c r="H235" s="48">
        <f t="shared" si="63"/>
        <v>0</v>
      </c>
      <c r="I235" s="48">
        <f t="shared" si="63"/>
        <v>0</v>
      </c>
      <c r="J235" s="48">
        <f t="shared" si="63"/>
        <v>0</v>
      </c>
      <c r="K235" s="48">
        <f t="shared" si="63"/>
        <v>0</v>
      </c>
      <c r="L235" s="48">
        <f t="shared" si="63"/>
        <v>0</v>
      </c>
      <c r="M235" s="48">
        <f t="shared" si="63"/>
        <v>0</v>
      </c>
      <c r="N235" s="48">
        <f t="shared" si="63"/>
        <v>0</v>
      </c>
      <c r="O235" s="48">
        <f t="shared" si="63"/>
        <v>167500</v>
      </c>
      <c r="P235" s="271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</row>
    <row r="236" spans="1:35" s="21" customFormat="1" ht="25.5" customHeight="1" x14ac:dyDescent="0.25">
      <c r="A236" s="5" t="s">
        <v>399</v>
      </c>
      <c r="B236" s="12" t="s">
        <v>118</v>
      </c>
      <c r="C236" s="13" t="s">
        <v>400</v>
      </c>
      <c r="D236" s="47">
        <f>'дод 3'!E59</f>
        <v>167500</v>
      </c>
      <c r="E236" s="47">
        <f>'дод 3'!F59</f>
        <v>167500</v>
      </c>
      <c r="F236" s="47">
        <f>'дод 3'!G59</f>
        <v>0</v>
      </c>
      <c r="G236" s="47">
        <f>'дод 3'!H59</f>
        <v>0</v>
      </c>
      <c r="H236" s="47">
        <f>'дод 3'!I59</f>
        <v>0</v>
      </c>
      <c r="I236" s="47">
        <f>'дод 3'!J59</f>
        <v>0</v>
      </c>
      <c r="J236" s="47">
        <f>'дод 3'!K59</f>
        <v>0</v>
      </c>
      <c r="K236" s="47">
        <f>'дод 3'!L59</f>
        <v>0</v>
      </c>
      <c r="L236" s="47">
        <f>'дод 3'!M59</f>
        <v>0</v>
      </c>
      <c r="M236" s="47">
        <f>'дод 3'!N59</f>
        <v>0</v>
      </c>
      <c r="N236" s="47">
        <f>'дод 3'!O59</f>
        <v>0</v>
      </c>
      <c r="O236" s="47">
        <f>'дод 3'!P59</f>
        <v>167500</v>
      </c>
      <c r="P236" s="271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</row>
    <row r="237" spans="1:35" s="21" customFormat="1" ht="26.25" customHeight="1" x14ac:dyDescent="0.25">
      <c r="A237" s="22" t="s">
        <v>142</v>
      </c>
      <c r="B237" s="22" t="s">
        <v>137</v>
      </c>
      <c r="C237" s="11" t="s">
        <v>23</v>
      </c>
      <c r="D237" s="48">
        <f>'дод 3'!E330</f>
        <v>177952.41</v>
      </c>
      <c r="E237" s="48">
        <f>'дод 3'!F330</f>
        <v>177952.41</v>
      </c>
      <c r="F237" s="48">
        <f>'дод 3'!G330</f>
        <v>0</v>
      </c>
      <c r="G237" s="48">
        <f>'дод 3'!H330</f>
        <v>0</v>
      </c>
      <c r="H237" s="48">
        <f>'дод 3'!I330</f>
        <v>0</v>
      </c>
      <c r="I237" s="48">
        <f>'дод 3'!J330</f>
        <v>0</v>
      </c>
      <c r="J237" s="48">
        <f>'дод 3'!K330</f>
        <v>0</v>
      </c>
      <c r="K237" s="48">
        <f>'дод 3'!L330</f>
        <v>0</v>
      </c>
      <c r="L237" s="48">
        <f>'дод 3'!M330</f>
        <v>0</v>
      </c>
      <c r="M237" s="48">
        <f>'дод 3'!N330</f>
        <v>0</v>
      </c>
      <c r="N237" s="48">
        <f>'дод 3'!O330</f>
        <v>0</v>
      </c>
      <c r="O237" s="48">
        <f>'дод 3'!P330</f>
        <v>177952.41</v>
      </c>
      <c r="P237" s="271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</row>
    <row r="238" spans="1:35" s="21" customFormat="1" ht="26.25" customHeight="1" x14ac:dyDescent="0.25">
      <c r="A238" s="22" t="s">
        <v>24</v>
      </c>
      <c r="B238" s="22" t="s">
        <v>140</v>
      </c>
      <c r="C238" s="11" t="s">
        <v>38</v>
      </c>
      <c r="D238" s="48">
        <f>'дод 3'!E331</f>
        <v>9737.0699999984354</v>
      </c>
      <c r="E238" s="48">
        <f>'дод 3'!F331</f>
        <v>0</v>
      </c>
      <c r="F238" s="48">
        <f>'дод 3'!G331</f>
        <v>0</v>
      </c>
      <c r="G238" s="48">
        <f>'дод 3'!H331</f>
        <v>0</v>
      </c>
      <c r="H238" s="48">
        <f>'дод 3'!I331</f>
        <v>0</v>
      </c>
      <c r="I238" s="48">
        <f>'дод 3'!J331</f>
        <v>0</v>
      </c>
      <c r="J238" s="48">
        <f>'дод 3'!K331</f>
        <v>0</v>
      </c>
      <c r="K238" s="48">
        <f>'дод 3'!L331</f>
        <v>0</v>
      </c>
      <c r="L238" s="48">
        <f>'дод 3'!M331</f>
        <v>0</v>
      </c>
      <c r="M238" s="48">
        <f>'дод 3'!N331</f>
        <v>0</v>
      </c>
      <c r="N238" s="48">
        <f>'дод 3'!O331</f>
        <v>0</v>
      </c>
      <c r="O238" s="48">
        <f>'дод 3'!P331</f>
        <v>9737.0699999984354</v>
      </c>
      <c r="P238" s="271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</row>
    <row r="239" spans="1:35" s="21" customFormat="1" ht="27.75" customHeight="1" x14ac:dyDescent="0.25">
      <c r="A239" s="22" t="s">
        <v>25</v>
      </c>
      <c r="B239" s="22"/>
      <c r="C239" s="11" t="s">
        <v>164</v>
      </c>
      <c r="D239" s="48">
        <f>D241+D243+D247+D249</f>
        <v>90842397</v>
      </c>
      <c r="E239" s="48">
        <f t="shared" ref="E239:O239" si="64">E241+E243+E247+E249</f>
        <v>90842397</v>
      </c>
      <c r="F239" s="48">
        <f t="shared" si="64"/>
        <v>0</v>
      </c>
      <c r="G239" s="48">
        <f t="shared" si="64"/>
        <v>0</v>
      </c>
      <c r="H239" s="48">
        <f t="shared" si="64"/>
        <v>0</v>
      </c>
      <c r="I239" s="48">
        <f t="shared" si="64"/>
        <v>13500580</v>
      </c>
      <c r="J239" s="48">
        <f t="shared" si="64"/>
        <v>4000000</v>
      </c>
      <c r="K239" s="48">
        <f t="shared" si="64"/>
        <v>0</v>
      </c>
      <c r="L239" s="48">
        <f t="shared" si="64"/>
        <v>0</v>
      </c>
      <c r="M239" s="48">
        <f t="shared" si="64"/>
        <v>9500580</v>
      </c>
      <c r="N239" s="48">
        <f t="shared" si="64"/>
        <v>9500580</v>
      </c>
      <c r="O239" s="48">
        <f t="shared" si="64"/>
        <v>104342977</v>
      </c>
      <c r="P239" s="271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</row>
    <row r="240" spans="1:35" s="21" customFormat="1" ht="27.75" customHeight="1" x14ac:dyDescent="0.25">
      <c r="A240" s="22"/>
      <c r="B240" s="22"/>
      <c r="C240" s="211" t="s">
        <v>416</v>
      </c>
      <c r="D240" s="48">
        <f>D244</f>
        <v>0</v>
      </c>
      <c r="E240" s="48">
        <f t="shared" ref="E240:O240" si="65">E244</f>
        <v>0</v>
      </c>
      <c r="F240" s="48">
        <f t="shared" si="65"/>
        <v>0</v>
      </c>
      <c r="G240" s="48">
        <f t="shared" si="65"/>
        <v>0</v>
      </c>
      <c r="H240" s="48">
        <f t="shared" si="65"/>
        <v>0</v>
      </c>
      <c r="I240" s="48">
        <f t="shared" si="65"/>
        <v>4000000</v>
      </c>
      <c r="J240" s="48">
        <f t="shared" si="65"/>
        <v>4000000</v>
      </c>
      <c r="K240" s="48">
        <f t="shared" si="65"/>
        <v>0</v>
      </c>
      <c r="L240" s="48">
        <f t="shared" si="65"/>
        <v>0</v>
      </c>
      <c r="M240" s="48">
        <f t="shared" si="65"/>
        <v>0</v>
      </c>
      <c r="N240" s="48">
        <f t="shared" si="65"/>
        <v>0</v>
      </c>
      <c r="O240" s="48">
        <f t="shared" si="65"/>
        <v>4000000</v>
      </c>
      <c r="P240" s="271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</row>
    <row r="241" spans="1:35" s="21" customFormat="1" ht="27.75" customHeight="1" x14ac:dyDescent="0.25">
      <c r="A241" s="22" t="s">
        <v>397</v>
      </c>
      <c r="B241" s="22"/>
      <c r="C241" s="11" t="s">
        <v>470</v>
      </c>
      <c r="D241" s="48">
        <f t="shared" ref="D241:O241" si="66">D242</f>
        <v>87299600</v>
      </c>
      <c r="E241" s="48">
        <f t="shared" si="66"/>
        <v>87299600</v>
      </c>
      <c r="F241" s="48">
        <f t="shared" si="66"/>
        <v>0</v>
      </c>
      <c r="G241" s="48">
        <f t="shared" si="66"/>
        <v>0</v>
      </c>
      <c r="H241" s="48">
        <f t="shared" si="66"/>
        <v>0</v>
      </c>
      <c r="I241" s="48">
        <f t="shared" si="66"/>
        <v>0</v>
      </c>
      <c r="J241" s="48">
        <f t="shared" si="66"/>
        <v>0</v>
      </c>
      <c r="K241" s="48">
        <f t="shared" si="66"/>
        <v>0</v>
      </c>
      <c r="L241" s="48">
        <f t="shared" si="66"/>
        <v>0</v>
      </c>
      <c r="M241" s="48">
        <f t="shared" si="66"/>
        <v>0</v>
      </c>
      <c r="N241" s="48">
        <f t="shared" si="66"/>
        <v>0</v>
      </c>
      <c r="O241" s="48">
        <f t="shared" si="66"/>
        <v>87299600</v>
      </c>
      <c r="P241" s="271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</row>
    <row r="242" spans="1:35" s="21" customFormat="1" ht="21.75" customHeight="1" x14ac:dyDescent="0.25">
      <c r="A242" s="5" t="s">
        <v>138</v>
      </c>
      <c r="B242" s="12" t="s">
        <v>78</v>
      </c>
      <c r="C242" s="13" t="s">
        <v>162</v>
      </c>
      <c r="D242" s="47">
        <f>'дод 3'!E332</f>
        <v>87299600</v>
      </c>
      <c r="E242" s="47">
        <f>'дод 3'!F332</f>
        <v>87299600</v>
      </c>
      <c r="F242" s="47">
        <f>'дод 3'!G332</f>
        <v>0</v>
      </c>
      <c r="G242" s="47">
        <f>'дод 3'!H332</f>
        <v>0</v>
      </c>
      <c r="H242" s="47">
        <f>'дод 3'!I332</f>
        <v>0</v>
      </c>
      <c r="I242" s="47">
        <f>'дод 3'!J332</f>
        <v>0</v>
      </c>
      <c r="J242" s="47">
        <f>'дод 3'!K332</f>
        <v>0</v>
      </c>
      <c r="K242" s="47">
        <f>'дод 3'!L332</f>
        <v>0</v>
      </c>
      <c r="L242" s="47">
        <f>'дод 3'!M332</f>
        <v>0</v>
      </c>
      <c r="M242" s="47">
        <f>'дод 3'!N332</f>
        <v>0</v>
      </c>
      <c r="N242" s="47">
        <f>'дод 3'!O332</f>
        <v>0</v>
      </c>
      <c r="O242" s="47">
        <f>'дод 3'!P332</f>
        <v>87299600</v>
      </c>
      <c r="P242" s="271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</row>
    <row r="243" spans="1:35" s="21" customFormat="1" ht="67.150000000000006" customHeight="1" x14ac:dyDescent="0.25">
      <c r="A243" s="22" t="s">
        <v>652</v>
      </c>
      <c r="B243" s="12"/>
      <c r="C243" s="230" t="s">
        <v>653</v>
      </c>
      <c r="D243" s="47">
        <f>D245</f>
        <v>0</v>
      </c>
      <c r="E243" s="47"/>
      <c r="F243" s="47"/>
      <c r="G243" s="47"/>
      <c r="H243" s="47"/>
      <c r="I243" s="48">
        <f>I245</f>
        <v>4000000</v>
      </c>
      <c r="J243" s="47">
        <f>J245</f>
        <v>4000000</v>
      </c>
      <c r="K243" s="47"/>
      <c r="L243" s="47"/>
      <c r="M243" s="47"/>
      <c r="N243" s="47"/>
      <c r="O243" s="48">
        <f>O245</f>
        <v>4000000</v>
      </c>
      <c r="P243" s="271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</row>
    <row r="244" spans="1:35" s="28" customFormat="1" ht="23.25" customHeight="1" x14ac:dyDescent="0.25">
      <c r="A244" s="226"/>
      <c r="B244" s="246"/>
      <c r="C244" s="211" t="s">
        <v>416</v>
      </c>
      <c r="D244" s="227"/>
      <c r="E244" s="227"/>
      <c r="F244" s="227"/>
      <c r="G244" s="227"/>
      <c r="H244" s="227"/>
      <c r="I244" s="227">
        <f>I246</f>
        <v>4000000</v>
      </c>
      <c r="J244" s="227">
        <f>J246</f>
        <v>4000000</v>
      </c>
      <c r="K244" s="227"/>
      <c r="L244" s="227"/>
      <c r="M244" s="227"/>
      <c r="N244" s="227"/>
      <c r="O244" s="227">
        <f>I244+D244</f>
        <v>4000000</v>
      </c>
      <c r="P244" s="257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</row>
    <row r="245" spans="1:35" s="21" customFormat="1" ht="112.5" customHeight="1" x14ac:dyDescent="0.25">
      <c r="A245" s="5" t="s">
        <v>651</v>
      </c>
      <c r="B245" s="12" t="s">
        <v>78</v>
      </c>
      <c r="C245" s="229" t="s">
        <v>650</v>
      </c>
      <c r="D245" s="47"/>
      <c r="E245" s="47"/>
      <c r="F245" s="47"/>
      <c r="G245" s="47"/>
      <c r="H245" s="47"/>
      <c r="I245" s="47">
        <f>J245+M245</f>
        <v>4000000</v>
      </c>
      <c r="J245" s="47">
        <f>'дод 3'!K333</f>
        <v>4000000</v>
      </c>
      <c r="K245" s="47"/>
      <c r="L245" s="47"/>
      <c r="M245" s="47"/>
      <c r="N245" s="47"/>
      <c r="O245" s="47">
        <f>I245+D245</f>
        <v>4000000</v>
      </c>
      <c r="P245" s="257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</row>
    <row r="246" spans="1:35" s="21" customFormat="1" ht="23.25" customHeight="1" x14ac:dyDescent="0.25">
      <c r="A246" s="5"/>
      <c r="B246" s="12"/>
      <c r="C246" s="211" t="s">
        <v>416</v>
      </c>
      <c r="D246" s="47"/>
      <c r="E246" s="47"/>
      <c r="F246" s="47"/>
      <c r="G246" s="47"/>
      <c r="H246" s="47"/>
      <c r="I246" s="47">
        <f>J246+M246</f>
        <v>4000000</v>
      </c>
      <c r="J246" s="47">
        <f>'дод 3'!K334</f>
        <v>4000000</v>
      </c>
      <c r="K246" s="47"/>
      <c r="L246" s="47"/>
      <c r="M246" s="47"/>
      <c r="N246" s="47"/>
      <c r="O246" s="47">
        <f>I246+D246</f>
        <v>4000000</v>
      </c>
      <c r="P246" s="257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</row>
    <row r="247" spans="1:35" s="21" customFormat="1" ht="57" customHeight="1" x14ac:dyDescent="0.25">
      <c r="A247" s="22" t="s">
        <v>26</v>
      </c>
      <c r="B247" s="10"/>
      <c r="C247" s="11" t="s">
        <v>27</v>
      </c>
      <c r="D247" s="48">
        <f t="shared" ref="D247:O247" si="67">D248</f>
        <v>2174500</v>
      </c>
      <c r="E247" s="48">
        <f t="shared" si="67"/>
        <v>2174500</v>
      </c>
      <c r="F247" s="48">
        <f t="shared" si="67"/>
        <v>0</v>
      </c>
      <c r="G247" s="48">
        <f t="shared" si="67"/>
        <v>0</v>
      </c>
      <c r="H247" s="48">
        <f t="shared" si="67"/>
        <v>0</v>
      </c>
      <c r="I247" s="48">
        <f t="shared" si="67"/>
        <v>2616800</v>
      </c>
      <c r="J247" s="48">
        <f t="shared" si="67"/>
        <v>0</v>
      </c>
      <c r="K247" s="48">
        <f t="shared" si="67"/>
        <v>0</v>
      </c>
      <c r="L247" s="48">
        <f t="shared" si="67"/>
        <v>0</v>
      </c>
      <c r="M247" s="48">
        <f t="shared" si="67"/>
        <v>2616800</v>
      </c>
      <c r="N247" s="48">
        <f t="shared" si="67"/>
        <v>2616800</v>
      </c>
      <c r="O247" s="48">
        <f t="shared" si="67"/>
        <v>4791300</v>
      </c>
      <c r="P247" s="270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</row>
    <row r="248" spans="1:35" s="21" customFormat="1" ht="33.75" customHeight="1" x14ac:dyDescent="0.25">
      <c r="A248" s="5" t="s">
        <v>28</v>
      </c>
      <c r="B248" s="12" t="s">
        <v>78</v>
      </c>
      <c r="C248" s="18" t="s">
        <v>415</v>
      </c>
      <c r="D248" s="47">
        <f>'дод 3'!E266+'дод 3'!E211+'дод 3'!E335+'дод 3'!E60+'дод 3'!E131</f>
        <v>2174500</v>
      </c>
      <c r="E248" s="47">
        <f>'дод 3'!F266+'дод 3'!F211+'дод 3'!F335+'дод 3'!F60+'дод 3'!F131</f>
        <v>2174500</v>
      </c>
      <c r="F248" s="47">
        <f>'дод 3'!G266+'дод 3'!G211+'дод 3'!G335+'дод 3'!G60+'дод 3'!G131</f>
        <v>0</v>
      </c>
      <c r="G248" s="47">
        <f>'дод 3'!H266+'дод 3'!H211+'дод 3'!H335+'дод 3'!H60+'дод 3'!H131</f>
        <v>0</v>
      </c>
      <c r="H248" s="47">
        <f>'дод 3'!I266+'дод 3'!I211+'дод 3'!I335+'дод 3'!I60+'дод 3'!I131</f>
        <v>0</v>
      </c>
      <c r="I248" s="47">
        <f>'дод 3'!J266+'дод 3'!J211+'дод 3'!J335+'дод 3'!J60+'дод 3'!J131</f>
        <v>2616800</v>
      </c>
      <c r="J248" s="47">
        <f>'дод 3'!K266+'дод 3'!K211+'дод 3'!K335+'дод 3'!K60+'дод 3'!K131</f>
        <v>0</v>
      </c>
      <c r="K248" s="47">
        <f>'дод 3'!L266+'дод 3'!L211+'дод 3'!L335+'дод 3'!L60+'дод 3'!L131</f>
        <v>0</v>
      </c>
      <c r="L248" s="47">
        <f>'дод 3'!M266+'дод 3'!M211+'дод 3'!M335+'дод 3'!M60+'дод 3'!M131</f>
        <v>0</v>
      </c>
      <c r="M248" s="47">
        <f>'дод 3'!N266+'дод 3'!N211+'дод 3'!N335+'дод 3'!N60+'дод 3'!N131</f>
        <v>2616800</v>
      </c>
      <c r="N248" s="47">
        <f>'дод 3'!O266+'дод 3'!O211+'дод 3'!O335+'дод 3'!O60+'дод 3'!O131</f>
        <v>2616800</v>
      </c>
      <c r="O248" s="47">
        <f>'дод 3'!P266+'дод 3'!P211+'дод 3'!P335+'дод 3'!P60+'дод 3'!P131</f>
        <v>4791300</v>
      </c>
      <c r="P248" s="270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</row>
    <row r="249" spans="1:35" s="21" customFormat="1" ht="60" customHeight="1" x14ac:dyDescent="0.25">
      <c r="A249" s="22" t="s">
        <v>590</v>
      </c>
      <c r="B249" s="10"/>
      <c r="C249" s="39" t="s">
        <v>591</v>
      </c>
      <c r="D249" s="48">
        <f>D250</f>
        <v>1368297</v>
      </c>
      <c r="E249" s="48">
        <f t="shared" ref="E249:O249" si="68">E250</f>
        <v>1368297</v>
      </c>
      <c r="F249" s="48">
        <f t="shared" si="68"/>
        <v>0</v>
      </c>
      <c r="G249" s="48">
        <f t="shared" si="68"/>
        <v>0</v>
      </c>
      <c r="H249" s="48">
        <f t="shared" si="68"/>
        <v>0</v>
      </c>
      <c r="I249" s="48">
        <f t="shared" si="68"/>
        <v>6883780</v>
      </c>
      <c r="J249" s="48">
        <f t="shared" si="68"/>
        <v>0</v>
      </c>
      <c r="K249" s="48">
        <f t="shared" si="68"/>
        <v>0</v>
      </c>
      <c r="L249" s="48">
        <f t="shared" si="68"/>
        <v>0</v>
      </c>
      <c r="M249" s="48">
        <f t="shared" si="68"/>
        <v>6883780</v>
      </c>
      <c r="N249" s="48">
        <f t="shared" si="68"/>
        <v>6883780</v>
      </c>
      <c r="O249" s="48">
        <f t="shared" si="68"/>
        <v>8252077</v>
      </c>
      <c r="P249" s="270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</row>
    <row r="250" spans="1:35" s="21" customFormat="1" ht="60.75" customHeight="1" x14ac:dyDescent="0.25">
      <c r="A250" s="5" t="s">
        <v>590</v>
      </c>
      <c r="B250" s="12" t="s">
        <v>78</v>
      </c>
      <c r="C250" s="18" t="s">
        <v>591</v>
      </c>
      <c r="D250" s="47">
        <f>'дод 3'!E61+'дод 3'!E94+'дод 3'!E320</f>
        <v>1368297</v>
      </c>
      <c r="E250" s="47">
        <f>'дод 3'!F61+'дод 3'!F94+'дод 3'!F320</f>
        <v>1368297</v>
      </c>
      <c r="F250" s="47">
        <f>'дод 3'!G61+'дод 3'!G94+'дод 3'!G320</f>
        <v>0</v>
      </c>
      <c r="G250" s="47">
        <f>'дод 3'!H61+'дод 3'!H94+'дод 3'!H320</f>
        <v>0</v>
      </c>
      <c r="H250" s="47">
        <f>'дод 3'!I61+'дод 3'!I94+'дод 3'!I320</f>
        <v>0</v>
      </c>
      <c r="I250" s="47">
        <f>'дод 3'!J61+'дод 3'!J94+'дод 3'!J320</f>
        <v>6883780</v>
      </c>
      <c r="J250" s="47">
        <f>'дод 3'!K61+'дод 3'!K94+'дод 3'!K320</f>
        <v>0</v>
      </c>
      <c r="K250" s="47">
        <f>'дод 3'!L61+'дод 3'!L94+'дод 3'!L320</f>
        <v>0</v>
      </c>
      <c r="L250" s="47">
        <f>'дод 3'!M61+'дод 3'!M94+'дод 3'!M320</f>
        <v>0</v>
      </c>
      <c r="M250" s="47">
        <f>'дод 3'!N61+'дод 3'!N94+'дод 3'!N320</f>
        <v>6883780</v>
      </c>
      <c r="N250" s="47">
        <f>'дод 3'!O61+'дод 3'!O94+'дод 3'!O320</f>
        <v>6883780</v>
      </c>
      <c r="O250" s="47">
        <f>'дод 3'!P61+'дод 3'!P94+'дод 3'!P320</f>
        <v>8252077</v>
      </c>
      <c r="P250" s="270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</row>
    <row r="251" spans="1:35" s="21" customFormat="1" ht="25.5" customHeight="1" x14ac:dyDescent="0.25">
      <c r="A251" s="22"/>
      <c r="B251" s="22"/>
      <c r="C251" s="11" t="s">
        <v>39</v>
      </c>
      <c r="D251" s="48">
        <f>D239+D226+D182+D161+D151+D145+D63+D35+D16+D13</f>
        <v>2947057828.2600002</v>
      </c>
      <c r="E251" s="48">
        <f t="shared" ref="E251:O251" si="69">E239+E226+E182+E161+E151+E145+E63+E35+E16+E13</f>
        <v>2900064342.6900005</v>
      </c>
      <c r="F251" s="48">
        <f t="shared" si="69"/>
        <v>673264046.73000002</v>
      </c>
      <c r="G251" s="48">
        <f t="shared" si="69"/>
        <v>100370595.65000001</v>
      </c>
      <c r="H251" s="48">
        <f t="shared" si="69"/>
        <v>46983748.5</v>
      </c>
      <c r="I251" s="48">
        <f t="shared" si="69"/>
        <v>660293645.05000007</v>
      </c>
      <c r="J251" s="48">
        <f t="shared" si="69"/>
        <v>119352387.86</v>
      </c>
      <c r="K251" s="48">
        <f t="shared" si="69"/>
        <v>6315206</v>
      </c>
      <c r="L251" s="48">
        <f t="shared" si="69"/>
        <v>2472134</v>
      </c>
      <c r="M251" s="48">
        <f t="shared" si="69"/>
        <v>540941257.19000006</v>
      </c>
      <c r="N251" s="48">
        <f t="shared" si="69"/>
        <v>517984636.63999993</v>
      </c>
      <c r="O251" s="48">
        <f t="shared" si="69"/>
        <v>3607351473.3100004</v>
      </c>
      <c r="P251" s="270"/>
      <c r="Q251" s="179">
        <f>O251-D251-I251</f>
        <v>0</v>
      </c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</row>
    <row r="252" spans="1:35" s="21" customFormat="1" ht="25.5" customHeight="1" x14ac:dyDescent="0.25">
      <c r="A252" s="22"/>
      <c r="B252" s="22"/>
      <c r="C252" s="11" t="s">
        <v>416</v>
      </c>
      <c r="D252" s="48">
        <f>D240+D162+D64+D36+D17</f>
        <v>1649767512.9000001</v>
      </c>
      <c r="E252" s="48">
        <f>E240+E162+E64+E36+E17</f>
        <v>1649767512.9000001</v>
      </c>
      <c r="F252" s="48">
        <f>F240+F162+F64+F36+F17</f>
        <v>213388985</v>
      </c>
      <c r="G252" s="48">
        <f>G240+G162+G64+G36+G17</f>
        <v>0</v>
      </c>
      <c r="H252" s="48">
        <f>H240+H162+H64+H36+H17</f>
        <v>0</v>
      </c>
      <c r="I252" s="48">
        <f>I240+I162+I64+I36+I17+I186+I201</f>
        <v>103346733.02000001</v>
      </c>
      <c r="J252" s="48">
        <f t="shared" ref="J252:O252" si="70">J240+J162+J64+J36+J17+J186+J201</f>
        <v>45900000</v>
      </c>
      <c r="K252" s="48">
        <f t="shared" si="70"/>
        <v>0</v>
      </c>
      <c r="L252" s="48">
        <f t="shared" si="70"/>
        <v>0</v>
      </c>
      <c r="M252" s="48">
        <f t="shared" si="70"/>
        <v>57446733.020000003</v>
      </c>
      <c r="N252" s="48">
        <f t="shared" si="70"/>
        <v>41161369.969999999</v>
      </c>
      <c r="O252" s="48">
        <f t="shared" si="70"/>
        <v>1753114245.9199998</v>
      </c>
      <c r="P252" s="270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</row>
    <row r="253" spans="1:35" s="21" customFormat="1" ht="51" customHeight="1" x14ac:dyDescent="0.25">
      <c r="A253" s="93"/>
      <c r="B253" s="93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270"/>
      <c r="Q253" s="180"/>
      <c r="R253" s="180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2"/>
    </row>
    <row r="254" spans="1:35" s="21" customFormat="1" ht="39.75" customHeight="1" x14ac:dyDescent="0.25">
      <c r="A254" s="273"/>
      <c r="B254" s="274"/>
      <c r="C254" s="274"/>
      <c r="D254" s="220"/>
      <c r="E254" s="255"/>
      <c r="F254" s="255"/>
      <c r="G254" s="255"/>
      <c r="H254" s="255"/>
      <c r="I254" s="255"/>
      <c r="J254" s="255"/>
      <c r="K254" s="255"/>
      <c r="L254" s="255"/>
      <c r="M254" s="219"/>
      <c r="N254" s="198"/>
      <c r="O254" s="198"/>
      <c r="P254" s="270"/>
      <c r="Q254" s="180"/>
      <c r="R254" s="180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2"/>
    </row>
    <row r="255" spans="1:35" s="223" customFormat="1" ht="39.75" customHeight="1" x14ac:dyDescent="0.4">
      <c r="A255" s="196"/>
      <c r="B255" s="217"/>
      <c r="C255" s="217"/>
      <c r="D255" s="217"/>
      <c r="E255" s="217"/>
      <c r="F255" s="217"/>
      <c r="G255" s="217"/>
      <c r="H255" s="217"/>
      <c r="I255" s="255"/>
      <c r="J255" s="255"/>
      <c r="K255" s="197"/>
      <c r="L255" s="255"/>
      <c r="M255" s="198"/>
      <c r="N255" s="198"/>
      <c r="O255" s="198"/>
      <c r="P255" s="270"/>
      <c r="Q255" s="221"/>
      <c r="R255" s="221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222"/>
    </row>
    <row r="256" spans="1:35" s="223" customFormat="1" ht="31.5" customHeight="1" x14ac:dyDescent="0.35">
      <c r="A256" s="273" t="s">
        <v>680</v>
      </c>
      <c r="B256" s="274"/>
      <c r="C256" s="274"/>
      <c r="D256" s="220"/>
      <c r="E256" s="263"/>
      <c r="F256" s="263"/>
      <c r="G256" s="263"/>
      <c r="H256" s="263"/>
      <c r="I256" s="263"/>
      <c r="J256" s="263"/>
      <c r="K256" s="263"/>
      <c r="L256" s="263"/>
      <c r="M256" s="219" t="s">
        <v>681</v>
      </c>
      <c r="N256" s="198"/>
      <c r="O256" s="198"/>
      <c r="P256" s="270"/>
      <c r="Q256" s="221"/>
      <c r="R256" s="221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222"/>
    </row>
    <row r="257" spans="1:35" s="223" customFormat="1" ht="35.25" customHeight="1" x14ac:dyDescent="0.4">
      <c r="A257" s="196"/>
      <c r="B257" s="217"/>
      <c r="C257" s="217"/>
      <c r="D257" s="217"/>
      <c r="E257" s="217"/>
      <c r="F257" s="217"/>
      <c r="G257" s="217"/>
      <c r="H257" s="217"/>
      <c r="I257" s="263"/>
      <c r="J257" s="263"/>
      <c r="K257" s="197"/>
      <c r="L257" s="263"/>
      <c r="M257" s="198"/>
      <c r="N257" s="198"/>
      <c r="O257" s="198"/>
      <c r="P257" s="270"/>
      <c r="Q257" s="221"/>
      <c r="R257" s="221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222"/>
    </row>
    <row r="258" spans="1:35" s="223" customFormat="1" ht="23.45" customHeight="1" x14ac:dyDescent="0.4">
      <c r="A258" s="279" t="s">
        <v>682</v>
      </c>
      <c r="B258" s="279"/>
      <c r="C258" s="279"/>
      <c r="D258" s="199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98"/>
      <c r="P258" s="270"/>
      <c r="Q258" s="221"/>
      <c r="R258" s="221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222"/>
    </row>
    <row r="259" spans="1:35" s="21" customFormat="1" ht="29.25" customHeight="1" x14ac:dyDescent="0.4">
      <c r="A259" s="241"/>
      <c r="B259" s="242"/>
      <c r="C259" s="242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270"/>
      <c r="Q259" s="180"/>
      <c r="R259" s="180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2"/>
    </row>
    <row r="260" spans="1:35" s="200" customFormat="1" ht="27" x14ac:dyDescent="0.4">
      <c r="A260" s="17"/>
      <c r="B260" s="6"/>
      <c r="C260" s="43"/>
      <c r="D260" s="56"/>
      <c r="E260" s="56"/>
      <c r="F260" s="16"/>
      <c r="G260" s="16"/>
      <c r="H260" s="16"/>
      <c r="I260" s="16"/>
      <c r="J260" s="55"/>
      <c r="K260" s="55"/>
      <c r="L260" s="16"/>
      <c r="M260" s="16"/>
      <c r="N260" s="16"/>
      <c r="O260" s="240"/>
      <c r="P260" s="270"/>
      <c r="Q260" s="224"/>
      <c r="R260" s="224"/>
      <c r="AI260" s="225"/>
    </row>
    <row r="261" spans="1:35" s="16" customFormat="1" ht="27" customHeight="1" x14ac:dyDescent="0.25">
      <c r="A261" s="256"/>
      <c r="B261" s="89"/>
      <c r="C261" s="89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219"/>
      <c r="O261" s="91"/>
      <c r="P261" s="270"/>
      <c r="Q261" s="180"/>
      <c r="R261" s="180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7"/>
    </row>
    <row r="262" spans="1:35" s="16" customFormat="1" ht="27.75" x14ac:dyDescent="0.25">
      <c r="A262" s="204"/>
      <c r="B262" s="204"/>
      <c r="C262" s="204"/>
      <c r="D262" s="66"/>
      <c r="E262" s="218"/>
      <c r="F262" s="258"/>
      <c r="G262" s="258"/>
      <c r="H262" s="258"/>
      <c r="I262" s="258"/>
      <c r="J262" s="258"/>
      <c r="K262" s="258"/>
      <c r="L262" s="258"/>
      <c r="M262" s="287"/>
      <c r="N262" s="287"/>
      <c r="O262" s="287"/>
      <c r="P262" s="270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7"/>
    </row>
    <row r="263" spans="1:35" s="16" customFormat="1" ht="26.25" x14ac:dyDescent="0.4">
      <c r="A263" s="204"/>
      <c r="B263" s="204"/>
      <c r="C263" s="204"/>
      <c r="D263" s="249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P263" s="270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7"/>
    </row>
    <row r="264" spans="1:35" s="16" customFormat="1" ht="27.75" x14ac:dyDescent="0.4">
      <c r="A264" s="250"/>
      <c r="B264" s="242"/>
      <c r="C264" s="242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P264" s="270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7"/>
    </row>
    <row r="265" spans="1:35" s="16" customFormat="1" x14ac:dyDescent="0.25">
      <c r="A265" s="17"/>
      <c r="B265" s="6"/>
      <c r="C265" s="43"/>
      <c r="D265" s="56"/>
      <c r="E265" s="56"/>
      <c r="J265" s="55"/>
      <c r="K265" s="55"/>
      <c r="P265" s="270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7"/>
    </row>
    <row r="266" spans="1:35" s="16" customFormat="1" x14ac:dyDescent="0.25">
      <c r="A266" s="17"/>
      <c r="B266" s="6"/>
      <c r="C266" s="43"/>
      <c r="J266" s="55"/>
      <c r="K266" s="55"/>
      <c r="P266" s="270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7"/>
    </row>
    <row r="267" spans="1:35" s="16" customFormat="1" x14ac:dyDescent="0.25">
      <c r="A267" s="17"/>
      <c r="B267" s="6"/>
      <c r="C267" s="43"/>
      <c r="D267" s="55"/>
      <c r="J267" s="55"/>
      <c r="K267" s="55"/>
      <c r="P267" s="270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7"/>
    </row>
    <row r="268" spans="1:35" s="16" customFormat="1" x14ac:dyDescent="0.25">
      <c r="A268" s="17"/>
      <c r="B268" s="6"/>
      <c r="C268" s="43"/>
      <c r="D268" s="55"/>
      <c r="J268" s="55"/>
      <c r="K268" s="55"/>
      <c r="P268" s="270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7"/>
    </row>
    <row r="269" spans="1:35" s="16" customFormat="1" x14ac:dyDescent="0.25">
      <c r="A269" s="17"/>
      <c r="B269" s="6"/>
      <c r="C269" s="43"/>
      <c r="J269" s="55"/>
      <c r="K269" s="55"/>
      <c r="P269" s="270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7"/>
    </row>
    <row r="270" spans="1:35" s="16" customFormat="1" x14ac:dyDescent="0.25">
      <c r="A270" s="17"/>
      <c r="B270" s="6"/>
      <c r="C270" s="43"/>
      <c r="J270" s="55"/>
      <c r="K270" s="55"/>
      <c r="P270" s="270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7"/>
    </row>
    <row r="271" spans="1:35" s="16" customFormat="1" x14ac:dyDescent="0.25">
      <c r="A271" s="17"/>
      <c r="B271" s="6"/>
      <c r="C271" s="43"/>
      <c r="D271" s="55"/>
      <c r="J271" s="55"/>
      <c r="K271" s="55"/>
      <c r="P271" s="270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7"/>
    </row>
    <row r="272" spans="1:35" s="16" customFormat="1" x14ac:dyDescent="0.25">
      <c r="A272" s="17"/>
      <c r="B272" s="6"/>
      <c r="C272" s="43"/>
      <c r="J272" s="55"/>
      <c r="K272" s="55"/>
      <c r="P272" s="270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7"/>
    </row>
    <row r="273" spans="1:35" s="16" customFormat="1" x14ac:dyDescent="0.25">
      <c r="A273" s="17"/>
      <c r="B273" s="6"/>
      <c r="C273" s="43"/>
      <c r="J273" s="55"/>
      <c r="K273" s="55"/>
      <c r="P273" s="270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7"/>
    </row>
    <row r="274" spans="1:35" s="16" customFormat="1" x14ac:dyDescent="0.25">
      <c r="A274" s="17"/>
      <c r="B274" s="6"/>
      <c r="C274" s="43"/>
      <c r="D274" s="55"/>
      <c r="J274" s="55"/>
      <c r="K274" s="55"/>
      <c r="P274" s="27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7"/>
    </row>
    <row r="275" spans="1:35" s="16" customFormat="1" x14ac:dyDescent="0.25">
      <c r="A275" s="17"/>
      <c r="B275" s="6"/>
      <c r="C275" s="43"/>
      <c r="P275" s="270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7"/>
    </row>
    <row r="276" spans="1:35" s="16" customFormat="1" x14ac:dyDescent="0.25">
      <c r="A276" s="17"/>
      <c r="B276" s="6"/>
      <c r="C276" s="43"/>
      <c r="P276" s="270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7"/>
    </row>
    <row r="277" spans="1:35" s="16" customFormat="1" ht="27.75" x14ac:dyDescent="0.25">
      <c r="A277" s="273"/>
      <c r="B277" s="274"/>
      <c r="C277" s="274"/>
      <c r="D277" s="220"/>
      <c r="E277" s="258"/>
      <c r="F277" s="258"/>
      <c r="G277" s="258"/>
      <c r="H277" s="258"/>
      <c r="I277" s="258"/>
      <c r="J277" s="258"/>
      <c r="K277" s="258"/>
      <c r="L277" s="258"/>
      <c r="M277" s="219"/>
      <c r="N277" s="198"/>
      <c r="P277" s="270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7"/>
    </row>
    <row r="278" spans="1:35" s="16" customFormat="1" ht="27.75" x14ac:dyDescent="0.4">
      <c r="A278" s="196"/>
      <c r="B278" s="217"/>
      <c r="C278" s="217"/>
      <c r="D278" s="217"/>
      <c r="E278" s="217"/>
      <c r="F278" s="217"/>
      <c r="G278" s="217"/>
      <c r="H278" s="217"/>
      <c r="I278" s="258"/>
      <c r="J278" s="258"/>
      <c r="K278" s="261"/>
      <c r="L278" s="258"/>
      <c r="M278" s="198"/>
      <c r="N278" s="198"/>
      <c r="P278" s="270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7"/>
    </row>
    <row r="279" spans="1:35" s="16" customFormat="1" ht="26.25" x14ac:dyDescent="0.4">
      <c r="A279" s="279"/>
      <c r="B279" s="279"/>
      <c r="C279" s="279"/>
      <c r="D279" s="249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P279" s="270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7"/>
    </row>
    <row r="280" spans="1:35" s="16" customFormat="1" ht="27.75" x14ac:dyDescent="0.4">
      <c r="A280" s="250"/>
      <c r="B280" s="242"/>
      <c r="C280" s="242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P280" s="270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7"/>
    </row>
    <row r="281" spans="1:35" s="16" customFormat="1" x14ac:dyDescent="0.25">
      <c r="A281" s="17"/>
      <c r="B281" s="6"/>
      <c r="C281" s="43"/>
      <c r="D281" s="56"/>
      <c r="E281" s="56"/>
      <c r="J281" s="20"/>
      <c r="K281" s="20"/>
      <c r="P281" s="252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7"/>
    </row>
    <row r="282" spans="1:35" s="16" customFormat="1" x14ac:dyDescent="0.25">
      <c r="A282" s="17"/>
      <c r="B282" s="6"/>
      <c r="C282" s="43"/>
      <c r="J282" s="20"/>
      <c r="K282" s="20"/>
      <c r="P282" s="252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7"/>
    </row>
    <row r="283" spans="1:35" s="16" customFormat="1" x14ac:dyDescent="0.25">
      <c r="A283" s="17"/>
      <c r="B283" s="6"/>
      <c r="C283" s="43"/>
      <c r="P283" s="252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7"/>
    </row>
    <row r="284" spans="1:35" s="16" customFormat="1" x14ac:dyDescent="0.25">
      <c r="A284" s="17"/>
      <c r="B284" s="6"/>
      <c r="C284" s="43"/>
      <c r="P284" s="252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7"/>
    </row>
    <row r="285" spans="1:35" s="16" customFormat="1" x14ac:dyDescent="0.25">
      <c r="A285" s="17"/>
      <c r="B285" s="6"/>
      <c r="C285" s="43"/>
      <c r="P285" s="252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7"/>
    </row>
    <row r="286" spans="1:35" s="16" customFormat="1" x14ac:dyDescent="0.25">
      <c r="A286" s="17"/>
      <c r="B286" s="6"/>
      <c r="C286" s="43"/>
      <c r="P286" s="252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7"/>
    </row>
    <row r="287" spans="1:35" s="16" customFormat="1" x14ac:dyDescent="0.25">
      <c r="A287" s="17"/>
      <c r="B287" s="6"/>
      <c r="C287" s="43"/>
      <c r="P287" s="252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7"/>
    </row>
    <row r="288" spans="1:35" s="16" customFormat="1" ht="6.75" customHeight="1" x14ac:dyDescent="0.25">
      <c r="A288" s="17"/>
      <c r="B288" s="6"/>
      <c r="C288" s="43"/>
      <c r="P288" s="252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7"/>
    </row>
    <row r="289" spans="1:35" s="16" customFormat="1" ht="1.5" customHeight="1" x14ac:dyDescent="0.25">
      <c r="A289" s="17"/>
      <c r="B289" s="6"/>
      <c r="C289" s="43"/>
      <c r="D289" s="55">
        <f>D269-D270-D260</f>
        <v>0</v>
      </c>
      <c r="P289" s="252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7"/>
    </row>
    <row r="290" spans="1:35" s="16" customFormat="1" ht="22.5" customHeight="1" x14ac:dyDescent="0.25">
      <c r="A290" s="17"/>
      <c r="B290" s="6"/>
      <c r="C290" s="43"/>
      <c r="D290" s="16">
        <v>259300600</v>
      </c>
      <c r="P290" s="252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7"/>
    </row>
    <row r="291" spans="1:35" s="16" customFormat="1" x14ac:dyDescent="0.25">
      <c r="A291" s="17"/>
      <c r="B291" s="6"/>
      <c r="C291" s="43"/>
      <c r="D291" s="16">
        <v>213805600</v>
      </c>
      <c r="P291" s="252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7"/>
    </row>
    <row r="292" spans="1:35" s="16" customFormat="1" x14ac:dyDescent="0.25">
      <c r="A292" s="17"/>
      <c r="B292" s="6"/>
      <c r="C292" s="43"/>
      <c r="D292" s="55">
        <f>D289+D290+D291</f>
        <v>473106200</v>
      </c>
      <c r="P292" s="252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7"/>
    </row>
    <row r="293" spans="1:35" s="16" customFormat="1" x14ac:dyDescent="0.25">
      <c r="A293" s="17"/>
      <c r="B293" s="6"/>
      <c r="C293" s="43"/>
      <c r="P293" s="252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7"/>
    </row>
    <row r="294" spans="1:35" s="16" customFormat="1" x14ac:dyDescent="0.25">
      <c r="A294" s="17"/>
      <c r="B294" s="6"/>
      <c r="C294" s="43"/>
      <c r="P294" s="252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7"/>
    </row>
    <row r="295" spans="1:35" s="16" customFormat="1" x14ac:dyDescent="0.25">
      <c r="A295" s="17"/>
      <c r="B295" s="6"/>
      <c r="C295" s="43"/>
      <c r="P295" s="193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7"/>
    </row>
    <row r="296" spans="1:35" s="16" customFormat="1" x14ac:dyDescent="0.25">
      <c r="A296" s="17"/>
      <c r="B296" s="6"/>
      <c r="C296" s="43"/>
      <c r="P296" s="193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7"/>
    </row>
    <row r="297" spans="1:35" s="16" customFormat="1" x14ac:dyDescent="0.25">
      <c r="A297" s="17"/>
      <c r="B297" s="6"/>
      <c r="C297" s="43"/>
      <c r="P297" s="193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7"/>
    </row>
    <row r="298" spans="1:35" s="16" customFormat="1" x14ac:dyDescent="0.25">
      <c r="A298" s="17"/>
      <c r="B298" s="6"/>
      <c r="C298" s="43"/>
      <c r="P298" s="193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7"/>
    </row>
    <row r="299" spans="1:35" s="16" customFormat="1" x14ac:dyDescent="0.25">
      <c r="A299" s="17"/>
      <c r="B299" s="6"/>
      <c r="C299" s="43"/>
      <c r="P299" s="193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7"/>
    </row>
    <row r="300" spans="1:35" s="16" customFormat="1" x14ac:dyDescent="0.25">
      <c r="A300" s="17"/>
      <c r="B300" s="6"/>
      <c r="C300" s="43"/>
      <c r="P300" s="193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7"/>
    </row>
    <row r="301" spans="1:35" s="16" customFormat="1" x14ac:dyDescent="0.25">
      <c r="A301" s="17"/>
      <c r="B301" s="6"/>
      <c r="C301" s="43"/>
      <c r="P301" s="193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7"/>
    </row>
    <row r="302" spans="1:35" s="16" customFormat="1" x14ac:dyDescent="0.25">
      <c r="A302" s="17"/>
      <c r="B302" s="6"/>
      <c r="C302" s="43"/>
      <c r="P302" s="193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7"/>
    </row>
    <row r="303" spans="1:35" s="16" customFormat="1" x14ac:dyDescent="0.25">
      <c r="A303" s="17"/>
      <c r="B303" s="6"/>
      <c r="C303" s="43"/>
      <c r="P303" s="193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7"/>
    </row>
    <row r="304" spans="1:35" s="16" customFormat="1" x14ac:dyDescent="0.25">
      <c r="A304" s="17"/>
      <c r="B304" s="6"/>
      <c r="C304" s="43"/>
      <c r="P304" s="193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7"/>
    </row>
    <row r="305" spans="1:35" s="16" customFormat="1" x14ac:dyDescent="0.25">
      <c r="A305" s="17"/>
      <c r="B305" s="6"/>
      <c r="C305" s="43"/>
      <c r="P305" s="193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7"/>
    </row>
    <row r="306" spans="1:35" s="16" customFormat="1" x14ac:dyDescent="0.25">
      <c r="A306" s="17"/>
      <c r="B306" s="6"/>
      <c r="C306" s="43"/>
      <c r="P306" s="193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7"/>
    </row>
    <row r="307" spans="1:35" s="16" customFormat="1" x14ac:dyDescent="0.25">
      <c r="A307" s="17"/>
      <c r="B307" s="6"/>
      <c r="C307" s="43"/>
      <c r="P307" s="193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7"/>
    </row>
    <row r="308" spans="1:35" s="16" customFormat="1" x14ac:dyDescent="0.25">
      <c r="A308" s="17"/>
      <c r="B308" s="6"/>
      <c r="C308" s="43"/>
      <c r="P308" s="193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7"/>
    </row>
    <row r="309" spans="1:35" s="16" customFormat="1" x14ac:dyDescent="0.25">
      <c r="A309" s="17"/>
      <c r="B309" s="6"/>
      <c r="C309" s="43"/>
      <c r="P309" s="193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7"/>
    </row>
    <row r="310" spans="1:35" s="16" customFormat="1" x14ac:dyDescent="0.25">
      <c r="A310" s="17"/>
      <c r="B310" s="6"/>
      <c r="C310" s="43"/>
      <c r="P310" s="193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7"/>
    </row>
    <row r="311" spans="1:35" s="16" customFormat="1" x14ac:dyDescent="0.25">
      <c r="A311" s="17"/>
      <c r="B311" s="6"/>
      <c r="C311" s="43"/>
      <c r="P311" s="193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7"/>
    </row>
    <row r="312" spans="1:35" s="16" customFormat="1" x14ac:dyDescent="0.25">
      <c r="A312" s="17"/>
      <c r="B312" s="6"/>
      <c r="C312" s="43"/>
      <c r="P312" s="193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7"/>
    </row>
    <row r="313" spans="1:35" s="16" customFormat="1" x14ac:dyDescent="0.25">
      <c r="A313" s="17"/>
      <c r="B313" s="6"/>
      <c r="C313" s="43"/>
      <c r="P313" s="193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7"/>
    </row>
    <row r="314" spans="1:35" s="16" customFormat="1" x14ac:dyDescent="0.25">
      <c r="A314" s="17"/>
      <c r="B314" s="6"/>
      <c r="C314" s="43"/>
      <c r="P314" s="193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7"/>
    </row>
    <row r="315" spans="1:35" s="16" customFormat="1" x14ac:dyDescent="0.25">
      <c r="A315" s="17"/>
      <c r="B315" s="6"/>
      <c r="C315" s="43"/>
      <c r="P315" s="193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7"/>
    </row>
    <row r="316" spans="1:35" s="16" customFormat="1" x14ac:dyDescent="0.25">
      <c r="A316" s="17"/>
      <c r="B316" s="6"/>
      <c r="C316" s="43"/>
      <c r="P316" s="193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7"/>
    </row>
    <row r="317" spans="1:35" s="16" customFormat="1" x14ac:dyDescent="0.25">
      <c r="A317" s="17"/>
      <c r="B317" s="6"/>
      <c r="C317" s="43"/>
      <c r="P317" s="193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7"/>
    </row>
    <row r="318" spans="1:35" s="16" customFormat="1" x14ac:dyDescent="0.25">
      <c r="A318" s="17"/>
      <c r="B318" s="6"/>
      <c r="C318" s="43"/>
      <c r="P318" s="193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7"/>
    </row>
    <row r="319" spans="1:35" s="16" customFormat="1" x14ac:dyDescent="0.25">
      <c r="A319" s="17"/>
      <c r="B319" s="6"/>
      <c r="C319" s="43"/>
      <c r="P319" s="193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7"/>
    </row>
    <row r="320" spans="1:35" s="16" customFormat="1" x14ac:dyDescent="0.25">
      <c r="A320" s="17"/>
      <c r="B320" s="6"/>
      <c r="C320" s="43"/>
      <c r="P320" s="193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7"/>
    </row>
    <row r="321" spans="1:35" s="16" customFormat="1" x14ac:dyDescent="0.25">
      <c r="A321" s="17"/>
      <c r="B321" s="6"/>
      <c r="C321" s="43"/>
      <c r="P321" s="193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7"/>
    </row>
    <row r="322" spans="1:35" s="16" customFormat="1" x14ac:dyDescent="0.25">
      <c r="A322" s="17"/>
      <c r="B322" s="6"/>
      <c r="C322" s="43"/>
      <c r="P322" s="193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7"/>
    </row>
    <row r="323" spans="1:35" s="16" customFormat="1" x14ac:dyDescent="0.25">
      <c r="A323" s="17"/>
      <c r="B323" s="6"/>
      <c r="C323" s="43"/>
      <c r="P323" s="193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7"/>
    </row>
    <row r="324" spans="1:35" s="16" customFormat="1" x14ac:dyDescent="0.25">
      <c r="A324" s="17"/>
      <c r="B324" s="6"/>
      <c r="C324" s="43"/>
      <c r="P324" s="193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7"/>
    </row>
    <row r="325" spans="1:35" s="16" customFormat="1" x14ac:dyDescent="0.25">
      <c r="A325" s="17"/>
      <c r="B325" s="6"/>
      <c r="C325" s="43"/>
      <c r="P325" s="193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7"/>
    </row>
    <row r="326" spans="1:35" s="16" customFormat="1" x14ac:dyDescent="0.25">
      <c r="A326" s="17"/>
      <c r="B326" s="6"/>
      <c r="C326" s="43"/>
      <c r="P326" s="193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7"/>
    </row>
    <row r="327" spans="1:35" s="16" customFormat="1" x14ac:dyDescent="0.25">
      <c r="A327" s="17"/>
      <c r="B327" s="6"/>
      <c r="C327" s="43"/>
      <c r="P327" s="193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7"/>
    </row>
    <row r="328" spans="1:35" s="16" customFormat="1" x14ac:dyDescent="0.25">
      <c r="A328" s="17"/>
      <c r="B328" s="6"/>
      <c r="C328" s="43"/>
      <c r="P328" s="193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7"/>
    </row>
    <row r="329" spans="1:35" s="16" customFormat="1" x14ac:dyDescent="0.25">
      <c r="A329" s="17"/>
      <c r="B329" s="6"/>
      <c r="C329" s="43"/>
      <c r="P329" s="193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7"/>
    </row>
    <row r="330" spans="1:35" s="16" customFormat="1" x14ac:dyDescent="0.25">
      <c r="A330" s="17"/>
      <c r="B330" s="6"/>
      <c r="C330" s="43"/>
      <c r="P330" s="193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7"/>
    </row>
    <row r="331" spans="1:35" s="16" customFormat="1" x14ac:dyDescent="0.25">
      <c r="A331" s="17"/>
      <c r="B331" s="6"/>
      <c r="C331" s="43"/>
      <c r="P331" s="193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7"/>
    </row>
    <row r="332" spans="1:35" s="16" customFormat="1" x14ac:dyDescent="0.25">
      <c r="A332" s="17"/>
      <c r="B332" s="6"/>
      <c r="C332" s="43"/>
      <c r="P332" s="193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7"/>
    </row>
    <row r="333" spans="1:35" s="16" customFormat="1" x14ac:dyDescent="0.25">
      <c r="A333" s="17"/>
      <c r="B333" s="6"/>
      <c r="C333" s="43"/>
      <c r="P333" s="193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7"/>
    </row>
    <row r="334" spans="1:35" s="16" customFormat="1" x14ac:dyDescent="0.25">
      <c r="A334" s="17"/>
      <c r="B334" s="6"/>
      <c r="C334" s="43"/>
      <c r="P334" s="193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7"/>
    </row>
    <row r="335" spans="1:35" s="16" customFormat="1" x14ac:dyDescent="0.25">
      <c r="A335" s="17"/>
      <c r="B335" s="6"/>
      <c r="C335" s="43"/>
      <c r="P335" s="193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7"/>
    </row>
    <row r="336" spans="1:35" s="16" customFormat="1" x14ac:dyDescent="0.25">
      <c r="A336" s="17"/>
      <c r="B336" s="6"/>
      <c r="C336" s="43"/>
      <c r="P336" s="193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7"/>
    </row>
    <row r="337" spans="1:35" s="16" customFormat="1" x14ac:dyDescent="0.25">
      <c r="A337" s="17"/>
      <c r="B337" s="6"/>
      <c r="C337" s="43"/>
      <c r="P337" s="193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7"/>
    </row>
    <row r="338" spans="1:35" s="16" customFormat="1" x14ac:dyDescent="0.25">
      <c r="A338" s="17"/>
      <c r="B338" s="6"/>
      <c r="C338" s="43"/>
      <c r="P338" s="193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7"/>
    </row>
    <row r="339" spans="1:35" s="16" customFormat="1" x14ac:dyDescent="0.25">
      <c r="A339" s="17"/>
      <c r="B339" s="6"/>
      <c r="C339" s="43"/>
      <c r="P339" s="193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7"/>
    </row>
    <row r="340" spans="1:35" s="16" customFormat="1" x14ac:dyDescent="0.25">
      <c r="A340" s="17"/>
      <c r="B340" s="6"/>
      <c r="C340" s="43"/>
      <c r="P340" s="193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7"/>
    </row>
    <row r="341" spans="1:35" s="16" customFormat="1" x14ac:dyDescent="0.25">
      <c r="A341" s="17"/>
      <c r="B341" s="6"/>
      <c r="C341" s="43"/>
      <c r="P341" s="193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7"/>
    </row>
    <row r="342" spans="1:35" s="16" customFormat="1" x14ac:dyDescent="0.25">
      <c r="A342" s="17"/>
      <c r="B342" s="6"/>
      <c r="C342" s="43"/>
      <c r="P342" s="193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7"/>
    </row>
    <row r="343" spans="1:35" s="16" customFormat="1" x14ac:dyDescent="0.25">
      <c r="A343" s="17"/>
      <c r="B343" s="6"/>
      <c r="C343" s="43"/>
      <c r="P343" s="193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7"/>
    </row>
    <row r="344" spans="1:35" s="16" customFormat="1" x14ac:dyDescent="0.25">
      <c r="A344" s="17"/>
      <c r="B344" s="6"/>
      <c r="C344" s="43"/>
      <c r="P344" s="193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7"/>
    </row>
    <row r="345" spans="1:35" s="16" customFormat="1" x14ac:dyDescent="0.25">
      <c r="A345" s="17"/>
      <c r="B345" s="6"/>
      <c r="C345" s="43"/>
      <c r="P345" s="193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7"/>
    </row>
    <row r="346" spans="1:35" s="16" customFormat="1" x14ac:dyDescent="0.25">
      <c r="A346" s="17"/>
      <c r="B346" s="6"/>
      <c r="C346" s="43"/>
      <c r="P346" s="193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7"/>
    </row>
    <row r="347" spans="1:35" s="16" customFormat="1" x14ac:dyDescent="0.25">
      <c r="A347" s="17"/>
      <c r="B347" s="6"/>
      <c r="C347" s="43"/>
      <c r="P347" s="193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7"/>
    </row>
    <row r="348" spans="1:35" s="16" customFormat="1" x14ac:dyDescent="0.25">
      <c r="A348" s="17"/>
      <c r="B348" s="6"/>
      <c r="C348" s="43"/>
      <c r="P348" s="193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7"/>
    </row>
    <row r="349" spans="1:35" s="16" customFormat="1" x14ac:dyDescent="0.25">
      <c r="A349" s="17"/>
      <c r="B349" s="6"/>
      <c r="C349" s="43"/>
      <c r="P349" s="193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7"/>
    </row>
    <row r="350" spans="1:35" s="16" customFormat="1" x14ac:dyDescent="0.25">
      <c r="A350" s="17"/>
      <c r="B350" s="6"/>
      <c r="C350" s="43"/>
      <c r="P350" s="193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7"/>
    </row>
    <row r="351" spans="1:35" s="16" customFormat="1" x14ac:dyDescent="0.25">
      <c r="A351" s="17"/>
      <c r="B351" s="6"/>
      <c r="C351" s="43"/>
      <c r="P351" s="193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7"/>
    </row>
    <row r="352" spans="1:35" s="16" customFormat="1" x14ac:dyDescent="0.25">
      <c r="A352" s="17"/>
      <c r="B352" s="6"/>
      <c r="C352" s="43"/>
      <c r="P352" s="193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7"/>
    </row>
    <row r="353" spans="1:35" s="16" customFormat="1" x14ac:dyDescent="0.25">
      <c r="A353" s="17"/>
      <c r="B353" s="6"/>
      <c r="C353" s="43"/>
      <c r="P353" s="193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7"/>
    </row>
    <row r="354" spans="1:35" s="16" customFormat="1" x14ac:dyDescent="0.25">
      <c r="A354" s="17"/>
      <c r="B354" s="6"/>
      <c r="C354" s="43"/>
      <c r="P354" s="193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7"/>
    </row>
    <row r="355" spans="1:35" s="16" customFormat="1" x14ac:dyDescent="0.25">
      <c r="A355" s="17"/>
      <c r="B355" s="6"/>
      <c r="C355" s="43"/>
      <c r="P355" s="193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7"/>
    </row>
    <row r="356" spans="1:35" s="16" customFormat="1" x14ac:dyDescent="0.25">
      <c r="A356" s="17"/>
      <c r="B356" s="6"/>
      <c r="C356" s="43"/>
      <c r="P356" s="193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7"/>
    </row>
    <row r="357" spans="1:35" s="16" customFormat="1" x14ac:dyDescent="0.25">
      <c r="A357" s="17"/>
      <c r="B357" s="6"/>
      <c r="C357" s="43"/>
      <c r="P357" s="193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7"/>
    </row>
    <row r="358" spans="1:35" s="16" customFormat="1" x14ac:dyDescent="0.25">
      <c r="A358" s="17"/>
      <c r="B358" s="6"/>
      <c r="C358" s="43"/>
      <c r="P358" s="193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7"/>
    </row>
    <row r="359" spans="1:35" s="16" customFormat="1" x14ac:dyDescent="0.25">
      <c r="A359" s="17"/>
      <c r="B359" s="6"/>
      <c r="C359" s="43"/>
      <c r="P359" s="193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7"/>
    </row>
    <row r="360" spans="1:35" s="16" customFormat="1" x14ac:dyDescent="0.25">
      <c r="A360" s="17"/>
      <c r="B360" s="6"/>
      <c r="C360" s="43"/>
      <c r="P360" s="193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7"/>
    </row>
    <row r="361" spans="1:35" s="16" customFormat="1" x14ac:dyDescent="0.25">
      <c r="A361" s="17"/>
      <c r="B361" s="6"/>
      <c r="C361" s="43"/>
      <c r="P361" s="193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7"/>
    </row>
    <row r="362" spans="1:35" s="16" customFormat="1" x14ac:dyDescent="0.25">
      <c r="A362" s="17"/>
      <c r="B362" s="6"/>
      <c r="C362" s="43"/>
      <c r="P362" s="193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7"/>
    </row>
    <row r="363" spans="1:35" s="16" customFormat="1" x14ac:dyDescent="0.25">
      <c r="A363" s="17"/>
      <c r="B363" s="6"/>
      <c r="C363" s="43"/>
      <c r="P363" s="193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7"/>
    </row>
    <row r="364" spans="1:35" s="16" customFormat="1" x14ac:dyDescent="0.25">
      <c r="A364" s="17"/>
      <c r="B364" s="6"/>
      <c r="C364" s="43"/>
      <c r="P364" s="193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7"/>
    </row>
    <row r="365" spans="1:35" s="16" customFormat="1" x14ac:dyDescent="0.25">
      <c r="A365" s="17"/>
      <c r="B365" s="6"/>
      <c r="C365" s="43"/>
      <c r="P365" s="193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7"/>
    </row>
    <row r="366" spans="1:35" s="16" customFormat="1" x14ac:dyDescent="0.25">
      <c r="A366" s="17"/>
      <c r="B366" s="6"/>
      <c r="C366" s="43"/>
      <c r="P366" s="193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7"/>
    </row>
    <row r="367" spans="1:35" s="16" customFormat="1" x14ac:dyDescent="0.25">
      <c r="A367" s="17"/>
      <c r="B367" s="6"/>
      <c r="C367" s="43"/>
      <c r="P367" s="193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7"/>
    </row>
    <row r="368" spans="1:35" s="16" customFormat="1" x14ac:dyDescent="0.25">
      <c r="A368" s="17"/>
      <c r="B368" s="6"/>
      <c r="C368" s="43"/>
      <c r="P368" s="193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7"/>
    </row>
    <row r="369" spans="1:35" s="16" customFormat="1" x14ac:dyDescent="0.25">
      <c r="A369" s="17"/>
      <c r="B369" s="6"/>
      <c r="C369" s="43"/>
      <c r="P369" s="193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7"/>
    </row>
    <row r="370" spans="1:35" s="16" customFormat="1" x14ac:dyDescent="0.25">
      <c r="A370" s="17"/>
      <c r="B370" s="6"/>
      <c r="C370" s="43"/>
      <c r="P370" s="193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7"/>
    </row>
    <row r="371" spans="1:35" s="16" customFormat="1" x14ac:dyDescent="0.25">
      <c r="A371" s="17"/>
      <c r="B371" s="6"/>
      <c r="C371" s="43"/>
      <c r="P371" s="193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7"/>
    </row>
    <row r="372" spans="1:35" s="16" customFormat="1" x14ac:dyDescent="0.25">
      <c r="A372" s="17"/>
      <c r="B372" s="6"/>
      <c r="C372" s="43"/>
      <c r="P372" s="193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7"/>
    </row>
    <row r="373" spans="1:35" s="16" customFormat="1" x14ac:dyDescent="0.25">
      <c r="A373" s="17"/>
      <c r="B373" s="6"/>
      <c r="C373" s="43"/>
      <c r="P373" s="193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7"/>
    </row>
    <row r="374" spans="1:35" s="16" customFormat="1" x14ac:dyDescent="0.25">
      <c r="A374" s="17"/>
      <c r="B374" s="6"/>
      <c r="C374" s="43"/>
      <c r="P374" s="193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7"/>
    </row>
    <row r="375" spans="1:35" s="16" customFormat="1" x14ac:dyDescent="0.25">
      <c r="A375" s="17"/>
      <c r="B375" s="6"/>
      <c r="C375" s="43"/>
      <c r="P375" s="193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7"/>
    </row>
    <row r="376" spans="1:35" s="16" customFormat="1" x14ac:dyDescent="0.25">
      <c r="A376" s="17"/>
      <c r="B376" s="6"/>
      <c r="C376" s="43"/>
      <c r="P376" s="193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7"/>
    </row>
    <row r="377" spans="1:35" s="16" customFormat="1" x14ac:dyDescent="0.25">
      <c r="A377" s="17"/>
      <c r="B377" s="6"/>
      <c r="C377" s="43"/>
      <c r="P377" s="193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7"/>
    </row>
    <row r="378" spans="1:35" s="16" customFormat="1" x14ac:dyDescent="0.25">
      <c r="A378" s="17"/>
      <c r="B378" s="6"/>
      <c r="C378" s="43"/>
      <c r="P378" s="193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7"/>
    </row>
    <row r="379" spans="1:35" s="16" customFormat="1" x14ac:dyDescent="0.25">
      <c r="A379" s="17"/>
      <c r="B379" s="6"/>
      <c r="C379" s="43"/>
      <c r="P379" s="193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7"/>
    </row>
    <row r="380" spans="1:35" s="16" customFormat="1" x14ac:dyDescent="0.25">
      <c r="A380" s="17"/>
      <c r="B380" s="6"/>
      <c r="C380" s="43"/>
      <c r="P380" s="193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7"/>
    </row>
    <row r="381" spans="1:35" s="16" customFormat="1" x14ac:dyDescent="0.25">
      <c r="A381" s="17"/>
      <c r="B381" s="6"/>
      <c r="C381" s="43"/>
      <c r="P381" s="193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7"/>
    </row>
    <row r="382" spans="1:35" s="16" customFormat="1" x14ac:dyDescent="0.25">
      <c r="A382" s="17"/>
      <c r="B382" s="6"/>
      <c r="C382" s="43"/>
      <c r="P382" s="193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7"/>
    </row>
    <row r="383" spans="1:35" s="16" customFormat="1" x14ac:dyDescent="0.25">
      <c r="A383" s="17"/>
      <c r="B383" s="6"/>
      <c r="C383" s="43"/>
      <c r="P383" s="193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7"/>
    </row>
    <row r="384" spans="1:35" s="16" customFormat="1" x14ac:dyDescent="0.25">
      <c r="A384" s="17"/>
      <c r="B384" s="6"/>
      <c r="C384" s="43"/>
      <c r="P384" s="193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7"/>
    </row>
    <row r="385" spans="1:35" s="16" customFormat="1" x14ac:dyDescent="0.25">
      <c r="A385" s="17"/>
      <c r="B385" s="6"/>
      <c r="C385" s="43"/>
      <c r="P385" s="193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7"/>
    </row>
    <row r="386" spans="1:35" s="16" customFormat="1" x14ac:dyDescent="0.25">
      <c r="A386" s="17"/>
      <c r="B386" s="6"/>
      <c r="C386" s="43"/>
      <c r="P386" s="193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7"/>
    </row>
    <row r="387" spans="1:35" s="16" customFormat="1" x14ac:dyDescent="0.25">
      <c r="A387" s="17"/>
      <c r="B387" s="6"/>
      <c r="C387" s="43"/>
      <c r="P387" s="193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7"/>
    </row>
    <row r="388" spans="1:35" s="16" customFormat="1" x14ac:dyDescent="0.25">
      <c r="A388" s="17"/>
      <c r="B388" s="6"/>
      <c r="C388" s="43"/>
      <c r="P388" s="193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7"/>
    </row>
    <row r="389" spans="1:35" s="16" customFormat="1" x14ac:dyDescent="0.25">
      <c r="A389" s="17"/>
      <c r="B389" s="6"/>
      <c r="C389" s="43"/>
      <c r="P389" s="193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7"/>
    </row>
    <row r="390" spans="1:35" s="16" customFormat="1" x14ac:dyDescent="0.25">
      <c r="A390" s="17"/>
      <c r="B390" s="6"/>
      <c r="C390" s="43"/>
      <c r="P390" s="193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7"/>
    </row>
    <row r="391" spans="1:35" s="16" customFormat="1" x14ac:dyDescent="0.25">
      <c r="A391" s="17"/>
      <c r="B391" s="6"/>
      <c r="C391" s="43"/>
      <c r="P391" s="193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7"/>
    </row>
    <row r="392" spans="1:35" s="16" customFormat="1" x14ac:dyDescent="0.25">
      <c r="A392" s="17"/>
      <c r="B392" s="6"/>
      <c r="C392" s="43"/>
      <c r="P392" s="193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7"/>
    </row>
    <row r="393" spans="1:35" s="16" customFormat="1" x14ac:dyDescent="0.25">
      <c r="A393" s="17"/>
      <c r="B393" s="6"/>
      <c r="C393" s="43"/>
      <c r="P393" s="193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7"/>
    </row>
    <row r="394" spans="1:35" s="16" customFormat="1" x14ac:dyDescent="0.25">
      <c r="A394" s="17"/>
      <c r="B394" s="6"/>
      <c r="C394" s="43"/>
      <c r="P394" s="193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7"/>
    </row>
    <row r="395" spans="1:35" s="16" customFormat="1" x14ac:dyDescent="0.25">
      <c r="A395" s="17"/>
      <c r="B395" s="6"/>
      <c r="C395" s="43"/>
      <c r="P395" s="193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7"/>
    </row>
    <row r="396" spans="1:35" s="16" customFormat="1" x14ac:dyDescent="0.25">
      <c r="A396" s="17"/>
      <c r="B396" s="6"/>
      <c r="C396" s="43"/>
      <c r="P396" s="193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7"/>
    </row>
    <row r="397" spans="1:35" s="16" customFormat="1" x14ac:dyDescent="0.25">
      <c r="A397" s="17"/>
      <c r="B397" s="6"/>
      <c r="C397" s="43"/>
      <c r="P397" s="193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7"/>
    </row>
    <row r="398" spans="1:35" s="16" customFormat="1" x14ac:dyDescent="0.25">
      <c r="A398" s="17"/>
      <c r="B398" s="6"/>
      <c r="C398" s="43"/>
      <c r="P398" s="193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7"/>
    </row>
    <row r="399" spans="1:35" s="16" customFormat="1" x14ac:dyDescent="0.25">
      <c r="A399" s="17"/>
      <c r="B399" s="6"/>
      <c r="C399" s="43"/>
      <c r="P399" s="193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7"/>
    </row>
    <row r="400" spans="1:35" s="16" customFormat="1" x14ac:dyDescent="0.25">
      <c r="A400" s="17"/>
      <c r="B400" s="6"/>
      <c r="C400" s="43"/>
      <c r="P400" s="193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7"/>
    </row>
    <row r="401" spans="1:35" s="16" customFormat="1" x14ac:dyDescent="0.25">
      <c r="A401" s="17"/>
      <c r="B401" s="6"/>
      <c r="C401" s="43"/>
      <c r="P401" s="193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7"/>
    </row>
    <row r="402" spans="1:35" s="16" customFormat="1" x14ac:dyDescent="0.25">
      <c r="A402" s="17"/>
      <c r="B402" s="6"/>
      <c r="C402" s="43"/>
      <c r="P402" s="193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7"/>
    </row>
    <row r="403" spans="1:35" s="16" customFormat="1" x14ac:dyDescent="0.25">
      <c r="A403" s="17"/>
      <c r="B403" s="6"/>
      <c r="C403" s="43"/>
      <c r="P403" s="193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7"/>
    </row>
    <row r="404" spans="1:35" s="16" customFormat="1" x14ac:dyDescent="0.25">
      <c r="A404" s="17"/>
      <c r="B404" s="6"/>
      <c r="C404" s="43"/>
      <c r="P404" s="193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7"/>
    </row>
    <row r="405" spans="1:35" s="16" customFormat="1" x14ac:dyDescent="0.25">
      <c r="A405" s="17"/>
      <c r="B405" s="6"/>
      <c r="C405" s="43"/>
      <c r="P405" s="193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7"/>
    </row>
    <row r="406" spans="1:35" s="16" customFormat="1" x14ac:dyDescent="0.25">
      <c r="A406" s="17"/>
      <c r="B406" s="6"/>
      <c r="C406" s="43"/>
      <c r="P406" s="193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7"/>
    </row>
    <row r="407" spans="1:35" s="16" customFormat="1" x14ac:dyDescent="0.25">
      <c r="A407" s="17"/>
      <c r="B407" s="6"/>
      <c r="C407" s="43"/>
      <c r="P407" s="193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7"/>
    </row>
    <row r="408" spans="1:35" s="16" customFormat="1" x14ac:dyDescent="0.25">
      <c r="A408" s="17"/>
      <c r="B408" s="6"/>
      <c r="C408" s="43"/>
      <c r="P408" s="193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7"/>
    </row>
    <row r="409" spans="1:35" s="16" customFormat="1" x14ac:dyDescent="0.25">
      <c r="A409" s="17"/>
      <c r="B409" s="6"/>
      <c r="C409" s="43"/>
      <c r="P409" s="193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7"/>
    </row>
    <row r="410" spans="1:35" s="16" customFormat="1" x14ac:dyDescent="0.25">
      <c r="A410" s="17"/>
      <c r="B410" s="6"/>
      <c r="C410" s="43"/>
      <c r="P410" s="193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7"/>
    </row>
    <row r="411" spans="1:35" s="16" customFormat="1" x14ac:dyDescent="0.25">
      <c r="A411" s="17"/>
      <c r="B411" s="6"/>
      <c r="C411" s="43"/>
      <c r="P411" s="193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7"/>
    </row>
    <row r="412" spans="1:35" s="16" customFormat="1" x14ac:dyDescent="0.25">
      <c r="A412" s="17"/>
      <c r="B412" s="6"/>
      <c r="C412" s="43"/>
      <c r="P412" s="193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7"/>
    </row>
    <row r="413" spans="1:35" s="16" customFormat="1" x14ac:dyDescent="0.25">
      <c r="A413" s="17"/>
      <c r="B413" s="6"/>
      <c r="C413" s="43"/>
      <c r="P413" s="193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7"/>
    </row>
    <row r="414" spans="1:35" s="16" customFormat="1" x14ac:dyDescent="0.25">
      <c r="A414" s="17"/>
      <c r="B414" s="6"/>
      <c r="C414" s="43"/>
      <c r="P414" s="193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7"/>
    </row>
    <row r="415" spans="1:35" s="16" customFormat="1" x14ac:dyDescent="0.25">
      <c r="A415" s="17"/>
      <c r="B415" s="6"/>
      <c r="C415" s="43"/>
      <c r="P415" s="193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7"/>
    </row>
    <row r="416" spans="1:35" s="16" customFormat="1" x14ac:dyDescent="0.25">
      <c r="A416" s="17"/>
      <c r="B416" s="6"/>
      <c r="C416" s="43"/>
      <c r="P416" s="193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7"/>
    </row>
    <row r="417" spans="1:35" s="16" customFormat="1" x14ac:dyDescent="0.25">
      <c r="A417" s="17"/>
      <c r="B417" s="6"/>
      <c r="C417" s="43"/>
      <c r="P417" s="193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7"/>
    </row>
    <row r="418" spans="1:35" s="16" customFormat="1" x14ac:dyDescent="0.25">
      <c r="A418" s="17"/>
      <c r="B418" s="6"/>
      <c r="C418" s="43"/>
      <c r="P418" s="193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7"/>
    </row>
    <row r="419" spans="1:35" s="16" customFormat="1" x14ac:dyDescent="0.25">
      <c r="A419" s="17"/>
      <c r="B419" s="6"/>
      <c r="C419" s="43"/>
      <c r="P419" s="193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7"/>
    </row>
    <row r="420" spans="1:35" s="16" customFormat="1" x14ac:dyDescent="0.25">
      <c r="A420" s="17"/>
      <c r="B420" s="6"/>
      <c r="C420" s="43"/>
      <c r="P420" s="193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7"/>
    </row>
    <row r="421" spans="1:35" s="16" customFormat="1" x14ac:dyDescent="0.25">
      <c r="A421" s="17"/>
      <c r="B421" s="6"/>
      <c r="C421" s="43"/>
      <c r="P421" s="193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7"/>
    </row>
    <row r="422" spans="1:35" s="16" customFormat="1" x14ac:dyDescent="0.25">
      <c r="A422" s="17"/>
      <c r="B422" s="6"/>
      <c r="C422" s="43"/>
      <c r="P422" s="193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7"/>
    </row>
    <row r="423" spans="1:35" s="16" customFormat="1" x14ac:dyDescent="0.25">
      <c r="A423" s="17"/>
      <c r="B423" s="6"/>
      <c r="C423" s="43"/>
      <c r="P423" s="193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7"/>
    </row>
    <row r="424" spans="1:35" s="16" customFormat="1" x14ac:dyDescent="0.25">
      <c r="A424" s="17"/>
      <c r="B424" s="6"/>
      <c r="C424" s="43"/>
      <c r="P424" s="193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7"/>
    </row>
    <row r="425" spans="1:35" s="16" customFormat="1" x14ac:dyDescent="0.25">
      <c r="A425" s="17"/>
      <c r="B425" s="6"/>
      <c r="C425" s="43"/>
      <c r="P425" s="193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7"/>
    </row>
    <row r="426" spans="1:35" s="16" customFormat="1" x14ac:dyDescent="0.25">
      <c r="A426" s="17"/>
      <c r="B426" s="6"/>
      <c r="C426" s="43"/>
      <c r="P426" s="193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7"/>
    </row>
    <row r="427" spans="1:35" s="16" customFormat="1" x14ac:dyDescent="0.25">
      <c r="A427" s="17"/>
      <c r="B427" s="6"/>
      <c r="C427" s="43"/>
      <c r="P427" s="193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7"/>
    </row>
    <row r="428" spans="1:35" s="16" customFormat="1" x14ac:dyDescent="0.25">
      <c r="A428" s="17"/>
      <c r="B428" s="6"/>
      <c r="C428" s="43"/>
      <c r="P428" s="193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7"/>
    </row>
    <row r="429" spans="1:35" s="16" customFormat="1" x14ac:dyDescent="0.25">
      <c r="A429" s="17"/>
      <c r="B429" s="6"/>
      <c r="C429" s="43"/>
      <c r="P429" s="193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7"/>
    </row>
    <row r="430" spans="1:35" s="16" customFormat="1" x14ac:dyDescent="0.25">
      <c r="A430" s="17"/>
      <c r="B430" s="6"/>
      <c r="C430" s="43"/>
      <c r="P430" s="193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7"/>
    </row>
    <row r="431" spans="1:35" s="16" customFormat="1" x14ac:dyDescent="0.25">
      <c r="A431" s="17"/>
      <c r="B431" s="6"/>
      <c r="C431" s="43"/>
      <c r="P431" s="193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7"/>
    </row>
    <row r="432" spans="1:35" s="16" customFormat="1" x14ac:dyDescent="0.25">
      <c r="A432" s="17"/>
      <c r="B432" s="6"/>
      <c r="C432" s="43"/>
      <c r="P432" s="193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7"/>
    </row>
    <row r="433" spans="1:35" s="16" customFormat="1" x14ac:dyDescent="0.25">
      <c r="A433" s="17"/>
      <c r="B433" s="6"/>
      <c r="C433" s="43"/>
      <c r="P433" s="193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7"/>
    </row>
    <row r="434" spans="1:35" s="16" customFormat="1" x14ac:dyDescent="0.25">
      <c r="A434" s="17"/>
      <c r="B434" s="6"/>
      <c r="C434" s="43"/>
      <c r="P434" s="193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7"/>
    </row>
    <row r="435" spans="1:35" s="16" customFormat="1" x14ac:dyDescent="0.25">
      <c r="A435" s="17"/>
      <c r="B435" s="6"/>
      <c r="C435" s="43"/>
      <c r="P435" s="193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7"/>
    </row>
    <row r="436" spans="1:35" s="16" customFormat="1" x14ac:dyDescent="0.25">
      <c r="A436" s="17"/>
      <c r="B436" s="6"/>
      <c r="C436" s="43"/>
      <c r="P436" s="193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7"/>
    </row>
    <row r="437" spans="1:35" s="16" customFormat="1" x14ac:dyDescent="0.25">
      <c r="A437" s="17"/>
      <c r="B437" s="6"/>
      <c r="C437" s="43"/>
      <c r="P437" s="193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7"/>
    </row>
    <row r="438" spans="1:35" s="16" customFormat="1" x14ac:dyDescent="0.25">
      <c r="A438" s="17"/>
      <c r="B438" s="6"/>
      <c r="C438" s="43"/>
      <c r="P438" s="193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7"/>
    </row>
    <row r="439" spans="1:35" s="16" customFormat="1" x14ac:dyDescent="0.25">
      <c r="A439" s="17"/>
      <c r="B439" s="6"/>
      <c r="C439" s="43"/>
      <c r="P439" s="193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7"/>
    </row>
    <row r="440" spans="1:35" s="16" customFormat="1" x14ac:dyDescent="0.25">
      <c r="A440" s="17"/>
      <c r="B440" s="6"/>
      <c r="C440" s="43"/>
      <c r="P440" s="193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7"/>
    </row>
    <row r="441" spans="1:35" s="16" customFormat="1" x14ac:dyDescent="0.25">
      <c r="A441" s="17"/>
      <c r="B441" s="6"/>
      <c r="C441" s="43"/>
      <c r="P441" s="193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7"/>
    </row>
    <row r="442" spans="1:35" s="16" customFormat="1" x14ac:dyDescent="0.25">
      <c r="A442" s="17"/>
      <c r="B442" s="6"/>
      <c r="C442" s="43"/>
      <c r="P442" s="193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7"/>
    </row>
    <row r="443" spans="1:35" s="16" customFormat="1" x14ac:dyDescent="0.25">
      <c r="A443" s="17"/>
      <c r="B443" s="6"/>
      <c r="C443" s="43"/>
      <c r="P443" s="193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7"/>
    </row>
    <row r="444" spans="1:35" s="16" customFormat="1" x14ac:dyDescent="0.25">
      <c r="A444" s="17"/>
      <c r="B444" s="6"/>
      <c r="C444" s="43"/>
      <c r="P444" s="193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7"/>
    </row>
    <row r="445" spans="1:35" s="16" customFormat="1" x14ac:dyDescent="0.25">
      <c r="A445" s="17"/>
      <c r="B445" s="6"/>
      <c r="C445" s="43"/>
      <c r="P445" s="193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7"/>
    </row>
    <row r="446" spans="1:35" s="16" customFormat="1" x14ac:dyDescent="0.25">
      <c r="A446" s="17"/>
      <c r="B446" s="6"/>
      <c r="C446" s="43"/>
      <c r="P446" s="193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7"/>
    </row>
    <row r="447" spans="1:35" s="16" customFormat="1" x14ac:dyDescent="0.25">
      <c r="A447" s="17"/>
      <c r="B447" s="6"/>
      <c r="C447" s="43"/>
      <c r="P447" s="193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7"/>
    </row>
    <row r="448" spans="1:35" s="16" customFormat="1" x14ac:dyDescent="0.25">
      <c r="A448" s="17"/>
      <c r="B448" s="6"/>
      <c r="C448" s="43"/>
      <c r="P448" s="193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7"/>
    </row>
    <row r="449" spans="1:35" s="16" customFormat="1" x14ac:dyDescent="0.25">
      <c r="A449" s="17"/>
      <c r="B449" s="6"/>
      <c r="C449" s="43"/>
      <c r="P449" s="193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7"/>
    </row>
    <row r="450" spans="1:35" s="16" customFormat="1" x14ac:dyDescent="0.25">
      <c r="A450" s="17"/>
      <c r="B450" s="6"/>
      <c r="C450" s="43"/>
      <c r="P450" s="193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7"/>
    </row>
    <row r="451" spans="1:35" s="16" customFormat="1" x14ac:dyDescent="0.25">
      <c r="A451" s="17"/>
      <c r="B451" s="6"/>
      <c r="C451" s="43"/>
      <c r="P451" s="193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7"/>
    </row>
    <row r="452" spans="1:35" s="16" customFormat="1" x14ac:dyDescent="0.25">
      <c r="A452" s="17"/>
      <c r="B452" s="6"/>
      <c r="C452" s="43"/>
      <c r="P452" s="193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7"/>
    </row>
    <row r="453" spans="1:35" s="16" customFormat="1" x14ac:dyDescent="0.25">
      <c r="A453" s="17"/>
      <c r="B453" s="6"/>
      <c r="C453" s="43"/>
      <c r="P453" s="193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7"/>
    </row>
    <row r="454" spans="1:35" s="16" customFormat="1" x14ac:dyDescent="0.25">
      <c r="A454" s="17"/>
      <c r="B454" s="6"/>
      <c r="C454" s="43"/>
      <c r="P454" s="193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7"/>
    </row>
    <row r="455" spans="1:35" s="16" customFormat="1" x14ac:dyDescent="0.25">
      <c r="A455" s="17"/>
      <c r="B455" s="6"/>
      <c r="C455" s="43"/>
      <c r="P455" s="193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7"/>
    </row>
    <row r="456" spans="1:35" s="16" customFormat="1" x14ac:dyDescent="0.25">
      <c r="A456" s="17"/>
      <c r="B456" s="6"/>
      <c r="C456" s="43"/>
      <c r="P456" s="193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7"/>
    </row>
    <row r="457" spans="1:35" s="16" customFormat="1" x14ac:dyDescent="0.25">
      <c r="A457" s="17"/>
      <c r="B457" s="6"/>
      <c r="C457" s="43"/>
      <c r="P457" s="193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7"/>
    </row>
    <row r="458" spans="1:35" s="16" customFormat="1" x14ac:dyDescent="0.25">
      <c r="A458" s="17"/>
      <c r="B458" s="6"/>
      <c r="C458" s="43"/>
      <c r="P458" s="193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7"/>
    </row>
    <row r="459" spans="1:35" s="16" customFormat="1" x14ac:dyDescent="0.25">
      <c r="A459" s="17"/>
      <c r="B459" s="6"/>
      <c r="C459" s="43"/>
      <c r="P459" s="193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7"/>
    </row>
    <row r="460" spans="1:35" s="16" customFormat="1" x14ac:dyDescent="0.25">
      <c r="A460" s="17"/>
      <c r="B460" s="6"/>
      <c r="C460" s="43"/>
      <c r="P460" s="193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7"/>
    </row>
    <row r="461" spans="1:35" s="16" customFormat="1" x14ac:dyDescent="0.25">
      <c r="A461" s="17"/>
      <c r="B461" s="6"/>
      <c r="C461" s="43"/>
      <c r="P461" s="193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7"/>
    </row>
    <row r="462" spans="1:35" s="16" customFormat="1" x14ac:dyDescent="0.25">
      <c r="A462" s="17"/>
      <c r="B462" s="6"/>
      <c r="C462" s="43"/>
      <c r="P462" s="193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7"/>
    </row>
    <row r="463" spans="1:35" s="16" customFormat="1" x14ac:dyDescent="0.25">
      <c r="A463" s="17"/>
      <c r="B463" s="6"/>
      <c r="C463" s="43"/>
      <c r="P463" s="193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7"/>
    </row>
    <row r="464" spans="1:35" s="16" customFormat="1" x14ac:dyDescent="0.25">
      <c r="A464" s="17"/>
      <c r="B464" s="6"/>
      <c r="C464" s="43"/>
      <c r="P464" s="193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7"/>
    </row>
    <row r="465" spans="1:35" s="16" customFormat="1" x14ac:dyDescent="0.25">
      <c r="A465" s="17"/>
      <c r="B465" s="6"/>
      <c r="C465" s="43"/>
      <c r="P465" s="193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7"/>
    </row>
    <row r="466" spans="1:35" s="16" customFormat="1" x14ac:dyDescent="0.25">
      <c r="A466" s="17"/>
      <c r="B466" s="6"/>
      <c r="C466" s="43"/>
      <c r="P466" s="193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7"/>
    </row>
    <row r="467" spans="1:35" s="16" customFormat="1" x14ac:dyDescent="0.25">
      <c r="A467" s="17"/>
      <c r="B467" s="6"/>
      <c r="C467" s="43"/>
      <c r="P467" s="193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7"/>
    </row>
    <row r="468" spans="1:35" s="16" customFormat="1" x14ac:dyDescent="0.25">
      <c r="A468" s="17"/>
      <c r="B468" s="6"/>
      <c r="C468" s="43"/>
      <c r="P468" s="193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7"/>
    </row>
    <row r="469" spans="1:35" s="16" customFormat="1" x14ac:dyDescent="0.25">
      <c r="A469" s="17"/>
      <c r="B469" s="6"/>
      <c r="C469" s="43"/>
      <c r="P469" s="193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7"/>
    </row>
    <row r="470" spans="1:35" s="16" customFormat="1" x14ac:dyDescent="0.25">
      <c r="A470" s="17"/>
      <c r="B470" s="6"/>
      <c r="C470" s="43"/>
      <c r="P470" s="193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7"/>
    </row>
    <row r="471" spans="1:35" s="16" customFormat="1" x14ac:dyDescent="0.25">
      <c r="A471" s="17"/>
      <c r="B471" s="6"/>
      <c r="C471" s="43"/>
      <c r="P471" s="193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7"/>
    </row>
    <row r="472" spans="1:35" s="16" customFormat="1" x14ac:dyDescent="0.25">
      <c r="A472" s="17"/>
      <c r="B472" s="6"/>
      <c r="C472" s="43"/>
      <c r="P472" s="193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7"/>
    </row>
    <row r="473" spans="1:35" s="16" customFormat="1" x14ac:dyDescent="0.25">
      <c r="A473" s="17"/>
      <c r="B473" s="6"/>
      <c r="C473" s="43"/>
      <c r="P473" s="193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7"/>
    </row>
    <row r="474" spans="1:35" s="16" customFormat="1" x14ac:dyDescent="0.25">
      <c r="A474" s="17"/>
      <c r="B474" s="6"/>
      <c r="C474" s="43"/>
      <c r="P474" s="193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7"/>
    </row>
    <row r="475" spans="1:35" s="16" customFormat="1" x14ac:dyDescent="0.25">
      <c r="A475" s="17"/>
      <c r="B475" s="6"/>
      <c r="C475" s="43"/>
      <c r="P475" s="193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7"/>
    </row>
    <row r="476" spans="1:35" s="16" customFormat="1" x14ac:dyDescent="0.25">
      <c r="A476" s="17"/>
      <c r="B476" s="6"/>
      <c r="C476" s="43"/>
      <c r="P476" s="193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7"/>
    </row>
    <row r="477" spans="1:35" s="16" customFormat="1" x14ac:dyDescent="0.25">
      <c r="A477" s="17"/>
      <c r="B477" s="6"/>
      <c r="C477" s="43"/>
      <c r="P477" s="193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7"/>
    </row>
    <row r="478" spans="1:35" s="16" customFormat="1" x14ac:dyDescent="0.25">
      <c r="A478" s="17"/>
      <c r="B478" s="6"/>
      <c r="C478" s="43"/>
      <c r="P478" s="193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7"/>
    </row>
    <row r="479" spans="1:35" s="16" customFormat="1" x14ac:dyDescent="0.25">
      <c r="A479" s="17"/>
      <c r="B479" s="6"/>
      <c r="C479" s="43"/>
      <c r="P479" s="193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7"/>
    </row>
    <row r="480" spans="1:35" s="16" customFormat="1" x14ac:dyDescent="0.25">
      <c r="A480" s="17"/>
      <c r="B480" s="6"/>
      <c r="C480" s="43"/>
      <c r="P480" s="193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7"/>
    </row>
    <row r="481" spans="1:35" s="16" customFormat="1" x14ac:dyDescent="0.25">
      <c r="A481" s="17"/>
      <c r="B481" s="6"/>
      <c r="C481" s="43"/>
      <c r="P481" s="193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7"/>
    </row>
    <row r="482" spans="1:35" s="16" customFormat="1" x14ac:dyDescent="0.25">
      <c r="A482" s="17"/>
      <c r="B482" s="6"/>
      <c r="C482" s="43"/>
      <c r="P482" s="193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7"/>
    </row>
    <row r="483" spans="1:35" s="16" customFormat="1" x14ac:dyDescent="0.25">
      <c r="A483" s="17"/>
      <c r="B483" s="6"/>
      <c r="C483" s="43"/>
      <c r="P483" s="193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7"/>
    </row>
    <row r="484" spans="1:35" s="16" customFormat="1" x14ac:dyDescent="0.25">
      <c r="A484" s="17"/>
      <c r="B484" s="6"/>
      <c r="C484" s="43"/>
      <c r="P484" s="193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7"/>
    </row>
    <row r="485" spans="1:35" s="16" customFormat="1" x14ac:dyDescent="0.25">
      <c r="A485" s="17"/>
      <c r="B485" s="6"/>
      <c r="C485" s="43"/>
      <c r="P485" s="193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7"/>
    </row>
    <row r="486" spans="1:35" s="16" customFormat="1" x14ac:dyDescent="0.25">
      <c r="A486" s="17"/>
      <c r="B486" s="6"/>
      <c r="C486" s="43"/>
      <c r="P486" s="193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7"/>
    </row>
    <row r="487" spans="1:35" s="16" customFormat="1" x14ac:dyDescent="0.25">
      <c r="A487" s="17"/>
      <c r="B487" s="6"/>
      <c r="C487" s="43"/>
      <c r="P487" s="193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7"/>
    </row>
    <row r="488" spans="1:35" s="16" customFormat="1" x14ac:dyDescent="0.25">
      <c r="A488" s="17"/>
      <c r="B488" s="6"/>
      <c r="C488" s="43"/>
      <c r="P488" s="193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7"/>
    </row>
    <row r="489" spans="1:35" s="16" customFormat="1" x14ac:dyDescent="0.25">
      <c r="A489" s="17"/>
      <c r="B489" s="6"/>
      <c r="C489" s="43"/>
      <c r="P489" s="193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7"/>
    </row>
    <row r="490" spans="1:35" s="16" customFormat="1" x14ac:dyDescent="0.25">
      <c r="A490" s="17"/>
      <c r="B490" s="6"/>
      <c r="C490" s="43"/>
      <c r="P490" s="193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7"/>
    </row>
    <row r="491" spans="1:35" s="16" customFormat="1" x14ac:dyDescent="0.25">
      <c r="A491" s="17"/>
      <c r="B491" s="6"/>
      <c r="C491" s="43"/>
      <c r="P491" s="193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7"/>
    </row>
    <row r="492" spans="1:35" s="16" customFormat="1" x14ac:dyDescent="0.25">
      <c r="A492" s="17"/>
      <c r="B492" s="6"/>
      <c r="C492" s="43"/>
      <c r="P492" s="193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7"/>
    </row>
    <row r="493" spans="1:35" s="16" customFormat="1" x14ac:dyDescent="0.25">
      <c r="A493" s="17"/>
      <c r="B493" s="6"/>
      <c r="C493" s="43"/>
      <c r="P493" s="193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7"/>
    </row>
    <row r="494" spans="1:35" s="16" customFormat="1" x14ac:dyDescent="0.25">
      <c r="A494" s="17"/>
      <c r="B494" s="6"/>
      <c r="C494" s="43"/>
      <c r="P494" s="193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7"/>
    </row>
    <row r="495" spans="1:35" s="16" customFormat="1" x14ac:dyDescent="0.25">
      <c r="A495" s="17"/>
      <c r="B495" s="6"/>
      <c r="C495" s="43"/>
      <c r="P495" s="193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7"/>
    </row>
    <row r="496" spans="1:35" s="16" customFormat="1" x14ac:dyDescent="0.25">
      <c r="A496" s="17"/>
      <c r="B496" s="6"/>
      <c r="C496" s="43"/>
      <c r="P496" s="193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7"/>
    </row>
    <row r="497" spans="1:35" s="16" customFormat="1" x14ac:dyDescent="0.25">
      <c r="A497" s="17"/>
      <c r="B497" s="6"/>
      <c r="C497" s="43"/>
      <c r="P497" s="193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7"/>
    </row>
    <row r="498" spans="1:35" s="16" customFormat="1" x14ac:dyDescent="0.25">
      <c r="A498" s="17"/>
      <c r="B498" s="6"/>
      <c r="C498" s="43"/>
      <c r="P498" s="193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7"/>
    </row>
    <row r="499" spans="1:35" s="16" customFormat="1" x14ac:dyDescent="0.25">
      <c r="A499" s="17"/>
      <c r="B499" s="6"/>
      <c r="C499" s="43"/>
      <c r="P499" s="193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7"/>
    </row>
    <row r="500" spans="1:35" s="16" customFormat="1" x14ac:dyDescent="0.25">
      <c r="A500" s="17"/>
      <c r="B500" s="6"/>
      <c r="C500" s="43"/>
      <c r="P500" s="193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7"/>
    </row>
    <row r="501" spans="1:35" s="16" customFormat="1" x14ac:dyDescent="0.25">
      <c r="A501" s="17"/>
      <c r="B501" s="6"/>
      <c r="C501" s="43"/>
      <c r="P501" s="193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7"/>
    </row>
    <row r="502" spans="1:35" s="16" customFormat="1" x14ac:dyDescent="0.25">
      <c r="A502" s="17"/>
      <c r="B502" s="6"/>
      <c r="C502" s="43"/>
      <c r="P502" s="193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7"/>
    </row>
    <row r="503" spans="1:35" s="16" customFormat="1" x14ac:dyDescent="0.25">
      <c r="A503" s="17"/>
      <c r="B503" s="6"/>
      <c r="C503" s="43"/>
      <c r="P503" s="193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7"/>
    </row>
    <row r="504" spans="1:35" s="16" customFormat="1" x14ac:dyDescent="0.25">
      <c r="A504" s="17"/>
      <c r="B504" s="6"/>
      <c r="C504" s="43"/>
      <c r="P504" s="193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7"/>
    </row>
    <row r="505" spans="1:35" s="16" customFormat="1" x14ac:dyDescent="0.25">
      <c r="A505" s="17"/>
      <c r="B505" s="6"/>
      <c r="C505" s="43"/>
      <c r="P505" s="193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7"/>
    </row>
    <row r="506" spans="1:35" s="16" customFormat="1" x14ac:dyDescent="0.25">
      <c r="A506" s="17"/>
      <c r="B506" s="6"/>
      <c r="C506" s="43"/>
      <c r="P506" s="193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7"/>
    </row>
    <row r="507" spans="1:35" s="16" customFormat="1" x14ac:dyDescent="0.25">
      <c r="A507" s="17"/>
      <c r="B507" s="6"/>
      <c r="C507" s="43"/>
      <c r="P507" s="193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7"/>
    </row>
    <row r="508" spans="1:35" s="16" customFormat="1" x14ac:dyDescent="0.25">
      <c r="A508" s="17"/>
      <c r="B508" s="6"/>
      <c r="C508" s="43"/>
      <c r="P508" s="193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7"/>
    </row>
    <row r="509" spans="1:35" s="16" customFormat="1" x14ac:dyDescent="0.25">
      <c r="A509" s="17"/>
      <c r="B509" s="6"/>
      <c r="C509" s="43"/>
      <c r="P509" s="193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7"/>
    </row>
    <row r="510" spans="1:35" s="16" customFormat="1" x14ac:dyDescent="0.25">
      <c r="A510" s="17"/>
      <c r="B510" s="6"/>
      <c r="C510" s="43"/>
      <c r="P510" s="193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7"/>
    </row>
    <row r="511" spans="1:35" s="16" customFormat="1" x14ac:dyDescent="0.25">
      <c r="A511" s="17"/>
      <c r="B511" s="6"/>
      <c r="C511" s="43"/>
      <c r="P511" s="193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7"/>
    </row>
    <row r="512" spans="1:35" s="16" customFormat="1" x14ac:dyDescent="0.25">
      <c r="A512" s="17"/>
      <c r="B512" s="6"/>
      <c r="C512" s="43"/>
      <c r="P512" s="193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7"/>
    </row>
    <row r="513" spans="1:35" s="16" customFormat="1" x14ac:dyDescent="0.25">
      <c r="A513" s="17"/>
      <c r="B513" s="6"/>
      <c r="C513" s="43"/>
      <c r="P513" s="193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7"/>
    </row>
    <row r="514" spans="1:35" s="16" customFormat="1" x14ac:dyDescent="0.25">
      <c r="A514" s="17"/>
      <c r="B514" s="6"/>
      <c r="C514" s="43"/>
      <c r="P514" s="193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7"/>
    </row>
    <row r="515" spans="1:35" s="16" customFormat="1" x14ac:dyDescent="0.25">
      <c r="A515" s="17"/>
      <c r="B515" s="6"/>
      <c r="C515" s="43"/>
      <c r="P515" s="193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7"/>
    </row>
    <row r="516" spans="1:35" s="16" customFormat="1" x14ac:dyDescent="0.25">
      <c r="A516" s="17"/>
      <c r="B516" s="6"/>
      <c r="C516" s="43"/>
      <c r="P516" s="193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7"/>
    </row>
    <row r="517" spans="1:35" s="16" customFormat="1" x14ac:dyDescent="0.25">
      <c r="A517" s="17"/>
      <c r="B517" s="6"/>
      <c r="C517" s="43"/>
      <c r="P517" s="193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7"/>
    </row>
    <row r="518" spans="1:35" s="16" customFormat="1" x14ac:dyDescent="0.25">
      <c r="A518" s="17"/>
      <c r="B518" s="6"/>
      <c r="C518" s="43"/>
      <c r="P518" s="193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7"/>
    </row>
    <row r="519" spans="1:35" s="16" customFormat="1" x14ac:dyDescent="0.25">
      <c r="A519" s="17"/>
      <c r="B519" s="6"/>
      <c r="C519" s="43"/>
      <c r="P519" s="193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7"/>
    </row>
    <row r="520" spans="1:35" s="16" customFormat="1" x14ac:dyDescent="0.25">
      <c r="A520" s="17"/>
      <c r="B520" s="6"/>
      <c r="C520" s="43"/>
      <c r="P520" s="193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7"/>
    </row>
    <row r="521" spans="1:35" s="16" customFormat="1" x14ac:dyDescent="0.25">
      <c r="A521" s="17"/>
      <c r="B521" s="6"/>
      <c r="C521" s="43"/>
      <c r="P521" s="193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7"/>
    </row>
    <row r="522" spans="1:35" s="16" customFormat="1" x14ac:dyDescent="0.25">
      <c r="A522" s="17"/>
      <c r="B522" s="6"/>
      <c r="C522" s="43"/>
      <c r="P522" s="193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7"/>
    </row>
    <row r="523" spans="1:35" s="16" customFormat="1" x14ac:dyDescent="0.25">
      <c r="A523" s="17"/>
      <c r="B523" s="6"/>
      <c r="C523" s="43"/>
      <c r="P523" s="193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7"/>
    </row>
    <row r="524" spans="1:35" s="16" customFormat="1" x14ac:dyDescent="0.25">
      <c r="A524" s="17"/>
      <c r="B524" s="6"/>
      <c r="C524" s="43"/>
      <c r="P524" s="193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7"/>
    </row>
    <row r="525" spans="1:35" s="16" customFormat="1" x14ac:dyDescent="0.25">
      <c r="A525" s="17"/>
      <c r="B525" s="6"/>
      <c r="C525" s="43"/>
      <c r="P525" s="193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7"/>
    </row>
    <row r="526" spans="1:35" s="16" customFormat="1" x14ac:dyDescent="0.25">
      <c r="A526" s="17"/>
      <c r="B526" s="6"/>
      <c r="C526" s="43"/>
      <c r="P526" s="193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7"/>
    </row>
    <row r="527" spans="1:35" s="16" customFormat="1" x14ac:dyDescent="0.25">
      <c r="A527" s="17"/>
      <c r="B527" s="6"/>
      <c r="C527" s="43"/>
      <c r="P527" s="193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7"/>
    </row>
    <row r="528" spans="1:35" s="16" customFormat="1" x14ac:dyDescent="0.25">
      <c r="A528" s="17"/>
      <c r="B528" s="6"/>
      <c r="C528" s="43"/>
      <c r="P528" s="193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7"/>
    </row>
    <row r="529" spans="1:35" s="16" customFormat="1" x14ac:dyDescent="0.25">
      <c r="A529" s="17"/>
      <c r="B529" s="6"/>
      <c r="C529" s="43"/>
      <c r="P529" s="193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7"/>
    </row>
    <row r="530" spans="1:35" s="16" customFormat="1" x14ac:dyDescent="0.25">
      <c r="A530" s="17"/>
      <c r="B530" s="6"/>
      <c r="C530" s="43"/>
      <c r="P530" s="193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7"/>
    </row>
    <row r="531" spans="1:35" s="16" customFormat="1" x14ac:dyDescent="0.25">
      <c r="A531" s="17"/>
      <c r="B531" s="6"/>
      <c r="C531" s="43"/>
      <c r="P531" s="193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7"/>
    </row>
    <row r="532" spans="1:35" s="16" customFormat="1" x14ac:dyDescent="0.25">
      <c r="A532" s="17"/>
      <c r="B532" s="6"/>
      <c r="C532" s="43"/>
      <c r="P532" s="193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7"/>
    </row>
    <row r="533" spans="1:35" s="16" customFormat="1" x14ac:dyDescent="0.25">
      <c r="A533" s="17"/>
      <c r="B533" s="6"/>
      <c r="C533" s="43"/>
      <c r="P533" s="193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7"/>
    </row>
    <row r="534" spans="1:35" s="16" customFormat="1" x14ac:dyDescent="0.25">
      <c r="A534" s="17"/>
      <c r="B534" s="6"/>
      <c r="C534" s="43"/>
      <c r="P534" s="193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7"/>
    </row>
    <row r="535" spans="1:35" s="16" customFormat="1" x14ac:dyDescent="0.25">
      <c r="A535" s="17"/>
      <c r="B535" s="6"/>
      <c r="C535" s="43"/>
      <c r="P535" s="193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7"/>
    </row>
    <row r="536" spans="1:35" s="16" customFormat="1" x14ac:dyDescent="0.25">
      <c r="A536" s="17"/>
      <c r="B536" s="6"/>
      <c r="C536" s="43"/>
      <c r="P536" s="193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7"/>
    </row>
    <row r="537" spans="1:35" s="16" customFormat="1" x14ac:dyDescent="0.25">
      <c r="A537" s="17"/>
      <c r="B537" s="6"/>
      <c r="C537" s="43"/>
      <c r="P537" s="193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7"/>
    </row>
    <row r="538" spans="1:35" s="16" customFormat="1" x14ac:dyDescent="0.25">
      <c r="A538" s="17"/>
      <c r="B538" s="6"/>
      <c r="C538" s="43"/>
      <c r="P538" s="193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7"/>
    </row>
    <row r="539" spans="1:35" s="16" customFormat="1" x14ac:dyDescent="0.25">
      <c r="A539" s="17"/>
      <c r="B539" s="6"/>
      <c r="C539" s="43"/>
      <c r="P539" s="193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7"/>
    </row>
    <row r="540" spans="1:35" s="16" customFormat="1" x14ac:dyDescent="0.25">
      <c r="A540" s="17"/>
      <c r="B540" s="6"/>
      <c r="C540" s="43"/>
      <c r="P540" s="193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7"/>
    </row>
    <row r="541" spans="1:35" s="16" customFormat="1" x14ac:dyDescent="0.25">
      <c r="A541" s="17"/>
      <c r="B541" s="6"/>
      <c r="C541" s="43"/>
      <c r="P541" s="193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7"/>
    </row>
    <row r="542" spans="1:35" s="16" customFormat="1" x14ac:dyDescent="0.25">
      <c r="A542" s="17"/>
      <c r="B542" s="6"/>
      <c r="C542" s="43"/>
      <c r="P542" s="193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7"/>
    </row>
    <row r="543" spans="1:35" s="16" customFormat="1" x14ac:dyDescent="0.25">
      <c r="A543" s="17"/>
      <c r="B543" s="6"/>
      <c r="C543" s="43"/>
      <c r="P543" s="193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7"/>
    </row>
    <row r="544" spans="1:35" s="16" customFormat="1" x14ac:dyDescent="0.25">
      <c r="A544" s="17"/>
      <c r="B544" s="6"/>
      <c r="C544" s="43"/>
      <c r="P544" s="193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7"/>
    </row>
    <row r="545" spans="1:35" s="16" customFormat="1" x14ac:dyDescent="0.25">
      <c r="A545" s="17"/>
      <c r="B545" s="6"/>
      <c r="C545" s="43"/>
      <c r="P545" s="193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7"/>
    </row>
    <row r="546" spans="1:35" s="16" customFormat="1" x14ac:dyDescent="0.25">
      <c r="A546" s="17"/>
      <c r="B546" s="6"/>
      <c r="C546" s="43"/>
      <c r="P546" s="193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7"/>
    </row>
    <row r="547" spans="1:35" s="16" customFormat="1" x14ac:dyDescent="0.25">
      <c r="A547" s="17"/>
      <c r="B547" s="6"/>
      <c r="C547" s="43"/>
      <c r="P547" s="193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7"/>
    </row>
    <row r="548" spans="1:35" s="16" customFormat="1" x14ac:dyDescent="0.25">
      <c r="A548" s="17"/>
      <c r="B548" s="6"/>
      <c r="C548" s="43"/>
      <c r="P548" s="193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7"/>
    </row>
    <row r="549" spans="1:35" s="16" customFormat="1" x14ac:dyDescent="0.25">
      <c r="A549" s="17"/>
      <c r="B549" s="6"/>
      <c r="C549" s="43"/>
      <c r="P549" s="193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7"/>
    </row>
    <row r="550" spans="1:35" s="16" customFormat="1" x14ac:dyDescent="0.25">
      <c r="A550" s="17"/>
      <c r="B550" s="6"/>
      <c r="C550" s="43"/>
      <c r="P550" s="193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7"/>
    </row>
    <row r="551" spans="1:35" s="16" customFormat="1" x14ac:dyDescent="0.25">
      <c r="A551" s="17"/>
      <c r="B551" s="6"/>
      <c r="C551" s="43"/>
      <c r="P551" s="193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7"/>
    </row>
    <row r="552" spans="1:35" s="16" customFormat="1" x14ac:dyDescent="0.25">
      <c r="A552" s="17"/>
      <c r="B552" s="6"/>
      <c r="C552" s="43"/>
      <c r="P552" s="193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7"/>
    </row>
    <row r="553" spans="1:35" s="16" customFormat="1" x14ac:dyDescent="0.25">
      <c r="A553" s="17"/>
      <c r="B553" s="6"/>
      <c r="C553" s="43"/>
      <c r="P553" s="193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7"/>
    </row>
    <row r="554" spans="1:35" s="16" customFormat="1" x14ac:dyDescent="0.25">
      <c r="A554" s="17"/>
      <c r="B554" s="6"/>
      <c r="C554" s="43"/>
      <c r="P554" s="193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7"/>
    </row>
    <row r="555" spans="1:35" s="16" customFormat="1" x14ac:dyDescent="0.25">
      <c r="A555" s="17"/>
      <c r="B555" s="6"/>
      <c r="C555" s="43"/>
      <c r="P555" s="193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7"/>
    </row>
    <row r="556" spans="1:35" s="16" customFormat="1" x14ac:dyDescent="0.25">
      <c r="A556" s="17"/>
      <c r="B556" s="6"/>
      <c r="C556" s="43"/>
      <c r="P556" s="193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7"/>
    </row>
    <row r="557" spans="1:35" s="16" customFormat="1" x14ac:dyDescent="0.25">
      <c r="A557" s="17"/>
      <c r="B557" s="6"/>
      <c r="C557" s="43"/>
      <c r="P557" s="193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7"/>
    </row>
    <row r="558" spans="1:35" s="16" customFormat="1" x14ac:dyDescent="0.25">
      <c r="A558" s="17"/>
      <c r="B558" s="6"/>
      <c r="C558" s="43"/>
      <c r="P558" s="193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7"/>
    </row>
    <row r="559" spans="1:35" s="16" customFormat="1" x14ac:dyDescent="0.25">
      <c r="A559" s="17"/>
      <c r="B559" s="6"/>
      <c r="C559" s="43"/>
      <c r="P559" s="193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7"/>
    </row>
    <row r="560" spans="1:35" s="16" customFormat="1" x14ac:dyDescent="0.25">
      <c r="A560" s="17"/>
      <c r="B560" s="6"/>
      <c r="C560" s="43"/>
      <c r="P560" s="193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7"/>
    </row>
    <row r="561" spans="1:35" s="16" customFormat="1" x14ac:dyDescent="0.25">
      <c r="A561" s="17"/>
      <c r="B561" s="6"/>
      <c r="C561" s="43"/>
      <c r="P561" s="193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7"/>
    </row>
    <row r="562" spans="1:35" s="16" customFormat="1" x14ac:dyDescent="0.25">
      <c r="A562" s="17"/>
      <c r="B562" s="6"/>
      <c r="C562" s="43"/>
      <c r="P562" s="193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7"/>
    </row>
    <row r="563" spans="1:35" s="16" customFormat="1" x14ac:dyDescent="0.25">
      <c r="A563" s="17"/>
      <c r="B563" s="6"/>
      <c r="C563" s="43"/>
      <c r="P563" s="193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7"/>
    </row>
    <row r="564" spans="1:35" s="16" customFormat="1" x14ac:dyDescent="0.25">
      <c r="A564" s="17"/>
      <c r="B564" s="6"/>
      <c r="C564" s="43"/>
      <c r="P564" s="193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7"/>
    </row>
    <row r="565" spans="1:35" s="16" customFormat="1" x14ac:dyDescent="0.25">
      <c r="A565" s="17"/>
      <c r="B565" s="6"/>
      <c r="C565" s="43"/>
      <c r="P565" s="193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7"/>
    </row>
    <row r="566" spans="1:35" s="16" customFormat="1" x14ac:dyDescent="0.25">
      <c r="A566" s="17"/>
      <c r="B566" s="6"/>
      <c r="C566" s="43"/>
      <c r="P566" s="193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7"/>
    </row>
    <row r="567" spans="1:35" s="16" customFormat="1" x14ac:dyDescent="0.25">
      <c r="A567" s="17"/>
      <c r="B567" s="6"/>
      <c r="C567" s="43"/>
      <c r="P567" s="193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7"/>
    </row>
    <row r="568" spans="1:35" s="16" customFormat="1" x14ac:dyDescent="0.25">
      <c r="A568" s="17"/>
      <c r="B568" s="6"/>
      <c r="C568" s="43"/>
      <c r="P568" s="193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7"/>
    </row>
    <row r="569" spans="1:35" s="16" customFormat="1" x14ac:dyDescent="0.25">
      <c r="A569" s="17"/>
      <c r="B569" s="6"/>
      <c r="C569" s="43"/>
      <c r="P569" s="193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7"/>
    </row>
    <row r="570" spans="1:35" s="16" customFormat="1" x14ac:dyDescent="0.25">
      <c r="A570" s="17"/>
      <c r="B570" s="6"/>
      <c r="C570" s="43"/>
      <c r="P570" s="193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7"/>
    </row>
    <row r="571" spans="1:35" s="16" customFormat="1" x14ac:dyDescent="0.25">
      <c r="A571" s="17"/>
      <c r="B571" s="6"/>
      <c r="C571" s="43"/>
      <c r="P571" s="193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7"/>
    </row>
    <row r="572" spans="1:35" s="16" customFormat="1" x14ac:dyDescent="0.25">
      <c r="A572" s="17"/>
      <c r="B572" s="6"/>
      <c r="C572" s="43"/>
      <c r="P572" s="193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7"/>
    </row>
    <row r="573" spans="1:35" s="16" customFormat="1" x14ac:dyDescent="0.25">
      <c r="A573" s="17"/>
      <c r="B573" s="6"/>
      <c r="C573" s="43"/>
      <c r="P573" s="193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7"/>
    </row>
    <row r="574" spans="1:35" s="16" customFormat="1" x14ac:dyDescent="0.25">
      <c r="A574" s="17"/>
      <c r="B574" s="6"/>
      <c r="C574" s="43"/>
      <c r="P574" s="193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7"/>
    </row>
    <row r="575" spans="1:35" s="16" customFormat="1" x14ac:dyDescent="0.25">
      <c r="A575" s="17"/>
      <c r="B575" s="6"/>
      <c r="C575" s="43"/>
      <c r="P575" s="193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7"/>
    </row>
    <row r="576" spans="1:35" s="16" customFormat="1" x14ac:dyDescent="0.25">
      <c r="A576" s="17"/>
      <c r="B576" s="6"/>
      <c r="C576" s="43"/>
      <c r="P576" s="193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7"/>
    </row>
    <row r="577" spans="1:35" s="16" customFormat="1" x14ac:dyDescent="0.25">
      <c r="A577" s="17"/>
      <c r="B577" s="6"/>
      <c r="C577" s="43"/>
      <c r="P577" s="193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7"/>
    </row>
    <row r="578" spans="1:35" s="16" customFormat="1" x14ac:dyDescent="0.25">
      <c r="A578" s="17"/>
      <c r="B578" s="6"/>
      <c r="C578" s="43"/>
      <c r="P578" s="193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7"/>
    </row>
    <row r="579" spans="1:35" s="16" customFormat="1" x14ac:dyDescent="0.25">
      <c r="A579" s="17"/>
      <c r="B579" s="6"/>
      <c r="C579" s="43"/>
      <c r="P579" s="193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7"/>
    </row>
    <row r="580" spans="1:35" s="16" customFormat="1" x14ac:dyDescent="0.25">
      <c r="A580" s="17"/>
      <c r="B580" s="6"/>
      <c r="C580" s="43"/>
      <c r="P580" s="193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7"/>
    </row>
    <row r="581" spans="1:35" s="16" customFormat="1" x14ac:dyDescent="0.25">
      <c r="A581" s="17"/>
      <c r="B581" s="6"/>
      <c r="C581" s="43"/>
      <c r="P581" s="193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7"/>
    </row>
    <row r="582" spans="1:35" s="16" customFormat="1" x14ac:dyDescent="0.25">
      <c r="A582" s="17"/>
      <c r="B582" s="6"/>
      <c r="C582" s="43"/>
      <c r="P582" s="193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7"/>
    </row>
    <row r="583" spans="1:35" s="16" customFormat="1" x14ac:dyDescent="0.25">
      <c r="A583" s="17"/>
      <c r="B583" s="6"/>
      <c r="C583" s="43"/>
      <c r="P583" s="193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7"/>
    </row>
    <row r="584" spans="1:35" s="16" customFormat="1" x14ac:dyDescent="0.25">
      <c r="A584" s="17"/>
      <c r="B584" s="6"/>
      <c r="C584" s="43"/>
      <c r="P584" s="193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7"/>
    </row>
    <row r="585" spans="1:35" s="16" customFormat="1" x14ac:dyDescent="0.25">
      <c r="A585" s="17"/>
      <c r="B585" s="6"/>
      <c r="C585" s="43"/>
      <c r="P585" s="193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7"/>
    </row>
    <row r="586" spans="1:35" s="16" customFormat="1" x14ac:dyDescent="0.25">
      <c r="A586" s="17"/>
      <c r="B586" s="6"/>
      <c r="C586" s="43"/>
      <c r="P586" s="193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7"/>
    </row>
    <row r="587" spans="1:35" s="16" customFormat="1" x14ac:dyDescent="0.25">
      <c r="A587" s="17"/>
      <c r="B587" s="6"/>
      <c r="C587" s="43"/>
      <c r="P587" s="193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7"/>
    </row>
    <row r="588" spans="1:35" s="16" customFormat="1" x14ac:dyDescent="0.25">
      <c r="A588" s="17"/>
      <c r="B588" s="6"/>
      <c r="C588" s="43"/>
      <c r="P588" s="193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7"/>
    </row>
    <row r="589" spans="1:35" s="16" customFormat="1" x14ac:dyDescent="0.25">
      <c r="A589" s="17"/>
      <c r="B589" s="6"/>
      <c r="C589" s="43"/>
      <c r="P589" s="193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7"/>
    </row>
    <row r="590" spans="1:35" s="16" customFormat="1" x14ac:dyDescent="0.25">
      <c r="A590" s="17"/>
      <c r="B590" s="6"/>
      <c r="C590" s="43"/>
      <c r="P590" s="193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7"/>
    </row>
    <row r="591" spans="1:35" s="16" customFormat="1" x14ac:dyDescent="0.25">
      <c r="A591" s="17"/>
      <c r="B591" s="6"/>
      <c r="C591" s="43"/>
      <c r="P591" s="193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7"/>
    </row>
    <row r="592" spans="1:35" s="16" customFormat="1" x14ac:dyDescent="0.25">
      <c r="A592" s="17"/>
      <c r="B592" s="6"/>
      <c r="C592" s="43"/>
      <c r="P592" s="193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7"/>
    </row>
    <row r="593" spans="1:35" s="16" customFormat="1" x14ac:dyDescent="0.25">
      <c r="A593" s="17"/>
      <c r="B593" s="6"/>
      <c r="C593" s="43"/>
      <c r="P593" s="193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7"/>
    </row>
    <row r="594" spans="1:35" s="16" customFormat="1" x14ac:dyDescent="0.25">
      <c r="A594" s="17"/>
      <c r="B594" s="6"/>
      <c r="C594" s="43"/>
      <c r="P594" s="193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7"/>
    </row>
    <row r="595" spans="1:35" s="16" customFormat="1" x14ac:dyDescent="0.25">
      <c r="A595" s="17"/>
      <c r="B595" s="6"/>
      <c r="C595" s="43"/>
      <c r="P595" s="193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7"/>
    </row>
    <row r="596" spans="1:35" s="16" customFormat="1" x14ac:dyDescent="0.25">
      <c r="A596" s="17"/>
      <c r="B596" s="6"/>
      <c r="C596" s="43"/>
      <c r="P596" s="193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7"/>
    </row>
    <row r="597" spans="1:35" s="16" customFormat="1" x14ac:dyDescent="0.25">
      <c r="A597" s="17"/>
      <c r="B597" s="6"/>
      <c r="C597" s="43"/>
      <c r="P597" s="193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7"/>
    </row>
    <row r="598" spans="1:35" s="16" customFormat="1" x14ac:dyDescent="0.25">
      <c r="A598" s="17"/>
      <c r="B598" s="6"/>
      <c r="C598" s="43"/>
      <c r="P598" s="193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  <c r="AI598" s="127"/>
    </row>
  </sheetData>
  <mergeCells count="44">
    <mergeCell ref="P73:P101"/>
    <mergeCell ref="P102:P123"/>
    <mergeCell ref="A279:C279"/>
    <mergeCell ref="A277:C277"/>
    <mergeCell ref="P124:P137"/>
    <mergeCell ref="P138:P159"/>
    <mergeCell ref="P160:P181"/>
    <mergeCell ref="P182:P213"/>
    <mergeCell ref="P214:P243"/>
    <mergeCell ref="P247:P280"/>
    <mergeCell ref="A254:C254"/>
    <mergeCell ref="A256:C256"/>
    <mergeCell ref="M262:O262"/>
    <mergeCell ref="A258:C258"/>
    <mergeCell ref="J10:J12"/>
    <mergeCell ref="A9:A12"/>
    <mergeCell ref="D10:D12"/>
    <mergeCell ref="E10:E12"/>
    <mergeCell ref="B9:B12"/>
    <mergeCell ref="F10:G10"/>
    <mergeCell ref="G11:G12"/>
    <mergeCell ref="F11:F12"/>
    <mergeCell ref="Z8:AI8"/>
    <mergeCell ref="Z9:AC10"/>
    <mergeCell ref="AD9:AD12"/>
    <mergeCell ref="AE9:AE12"/>
    <mergeCell ref="AF9:AI9"/>
    <mergeCell ref="AF10:AF12"/>
    <mergeCell ref="K1:N1"/>
    <mergeCell ref="P1:P38"/>
    <mergeCell ref="P39:P72"/>
    <mergeCell ref="L11:L12"/>
    <mergeCell ref="K5:O5"/>
    <mergeCell ref="K10:L10"/>
    <mergeCell ref="N11:N12"/>
    <mergeCell ref="O9:O12"/>
    <mergeCell ref="M10:M12"/>
    <mergeCell ref="K11:K12"/>
    <mergeCell ref="A7:O7"/>
    <mergeCell ref="I10:I12"/>
    <mergeCell ref="C9:C12"/>
    <mergeCell ref="D9:H9"/>
    <mergeCell ref="I9:N9"/>
    <mergeCell ref="H10:H12"/>
  </mergeCells>
  <phoneticPr fontId="3" type="noConversion"/>
  <printOptions horizontalCentered="1"/>
  <pageMargins left="0.27559055118110237" right="0.27559055118110237" top="0.59055118110236227" bottom="0.39370078740157483" header="0.27559055118110237" footer="0.23622047244094491"/>
  <pageSetup paperSize="9" scale="43" fitToHeight="10" orientation="landscape" verticalDpi="300" r:id="rId1"/>
  <headerFooter alignWithMargins="0">
    <oddFooter xml:space="preserve">&amp;R&amp;20Сторінка  &amp;P </oddFooter>
  </headerFooter>
  <rowBreaks count="1" manualBreakCount="1">
    <brk id="2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дод. 4</vt:lpstr>
      <vt:lpstr>'дод 3'!Заголовки_для_печати</vt:lpstr>
      <vt:lpstr>'дод. 4'!Заголовки_для_печати</vt:lpstr>
      <vt:lpstr>'дод 3'!Область_печати</vt:lpstr>
      <vt:lpstr>'дод.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2018-08-31T13:11:13Z</cp:lastPrinted>
  <dcterms:created xsi:type="dcterms:W3CDTF">2014-01-17T10:52:16Z</dcterms:created>
  <dcterms:modified xsi:type="dcterms:W3CDTF">2018-08-31T13:11:14Z</dcterms:modified>
</cp:coreProperties>
</file>