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ova_y\Desktop\Мої документи 2020\Рішення виконавчого комітету\АТ СНВО встан тарифів до 1 червня 2020\розрахунки до 1 червня 2020\"/>
    </mc:Choice>
  </mc:AlternateContent>
  <bookViews>
    <workbookView xWindow="0" yWindow="0" windowWidth="28800" windowHeight="12300" activeTab="1"/>
  </bookViews>
  <sheets>
    <sheet name="тариф" sheetId="6" r:id="rId1"/>
    <sheet name="виробництво" sheetId="1" r:id="rId2"/>
    <sheet name="транспортування" sheetId="3" r:id="rId3"/>
    <sheet name="постачання" sheetId="4" r:id="rId4"/>
    <sheet name="Лист7" sheetId="7" r:id="rId5"/>
    <sheet name="Лист8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 iterate="1"/>
</workbook>
</file>

<file path=xl/calcChain.xml><?xml version="1.0" encoding="utf-8"?>
<calcChain xmlns="http://schemas.openxmlformats.org/spreadsheetml/2006/main">
  <c r="D29" i="8" l="1"/>
  <c r="C29" i="8"/>
  <c r="D27" i="8"/>
  <c r="C27" i="8"/>
  <c r="D26" i="8"/>
  <c r="D30" i="8" s="1"/>
  <c r="C26" i="8"/>
  <c r="G25" i="8"/>
  <c r="F25" i="8"/>
  <c r="E25" i="8"/>
  <c r="G23" i="8"/>
  <c r="G24" i="8" s="1"/>
  <c r="F23" i="8"/>
  <c r="E23" i="8"/>
  <c r="E24" i="8" s="1"/>
  <c r="D23" i="8"/>
  <c r="C23" i="8"/>
  <c r="D22" i="8"/>
  <c r="C22" i="8"/>
  <c r="G21" i="8"/>
  <c r="F21" i="8"/>
  <c r="E21" i="8"/>
  <c r="D21" i="8"/>
  <c r="C21" i="8"/>
  <c r="G20" i="8"/>
  <c r="F20" i="8"/>
  <c r="E20" i="8"/>
  <c r="D18" i="8"/>
  <c r="C18" i="8"/>
  <c r="D16" i="8"/>
  <c r="C16" i="8"/>
  <c r="C15" i="8" s="1"/>
  <c r="D15" i="8"/>
  <c r="G13" i="8"/>
  <c r="G22" i="8" s="1"/>
  <c r="G26" i="8" s="1"/>
  <c r="G30" i="8" s="1"/>
  <c r="F13" i="8"/>
  <c r="F22" i="8" s="1"/>
  <c r="F26" i="8" s="1"/>
  <c r="F30" i="8" s="1"/>
  <c r="E13" i="8"/>
  <c r="D13" i="8"/>
  <c r="C13" i="8"/>
  <c r="X42" i="6"/>
  <c r="X46" i="6"/>
  <c r="X47" i="6"/>
  <c r="L51" i="6"/>
  <c r="Q49" i="6"/>
  <c r="J49" i="6"/>
  <c r="H49" i="6"/>
  <c r="F49" i="6"/>
  <c r="D49" i="6"/>
  <c r="J47" i="6"/>
  <c r="H47" i="6"/>
  <c r="F47" i="6"/>
  <c r="D47" i="6"/>
  <c r="L46" i="6"/>
  <c r="O45" i="6"/>
  <c r="K44" i="6"/>
  <c r="J44" i="6"/>
  <c r="I44" i="6"/>
  <c r="H44" i="6"/>
  <c r="G44" i="6"/>
  <c r="F44" i="6"/>
  <c r="K43" i="6"/>
  <c r="J43" i="6"/>
  <c r="I43" i="6"/>
  <c r="H43" i="6"/>
  <c r="G43" i="6"/>
  <c r="F43" i="6"/>
  <c r="J42" i="6"/>
  <c r="K42" i="6" s="1"/>
  <c r="H42" i="6"/>
  <c r="I42" i="6" s="1"/>
  <c r="F42" i="6"/>
  <c r="G42" i="6" s="1"/>
  <c r="D42" i="6"/>
  <c r="K41" i="6"/>
  <c r="J41" i="6"/>
  <c r="I41" i="6"/>
  <c r="H41" i="6"/>
  <c r="G41" i="6"/>
  <c r="F41" i="6"/>
  <c r="E41" i="6"/>
  <c r="D41" i="6"/>
  <c r="L41" i="6" s="1"/>
  <c r="K40" i="6"/>
  <c r="J40" i="6"/>
  <c r="I40" i="6"/>
  <c r="H40" i="6"/>
  <c r="G40" i="6"/>
  <c r="F40" i="6"/>
  <c r="F39" i="6" s="1"/>
  <c r="K38" i="6"/>
  <c r="J38" i="6"/>
  <c r="I38" i="6"/>
  <c r="H38" i="6" s="1"/>
  <c r="G38" i="6"/>
  <c r="F38" i="6"/>
  <c r="E38" i="6"/>
  <c r="D38" i="6" s="1"/>
  <c r="L38" i="6" s="1"/>
  <c r="K37" i="6"/>
  <c r="I37" i="6"/>
  <c r="H37" i="6" s="1"/>
  <c r="G37" i="6"/>
  <c r="F37" i="6" s="1"/>
  <c r="E37" i="6"/>
  <c r="D37" i="6" s="1"/>
  <c r="K29" i="6"/>
  <c r="I29" i="6"/>
  <c r="H29" i="6" s="1"/>
  <c r="G29" i="6"/>
  <c r="F29" i="6" s="1"/>
  <c r="E29" i="6"/>
  <c r="D29" i="6" s="1"/>
  <c r="K28" i="6"/>
  <c r="I28" i="6"/>
  <c r="H28" i="6" s="1"/>
  <c r="G28" i="6"/>
  <c r="F28" i="6" s="1"/>
  <c r="E28" i="6"/>
  <c r="D28" i="6" s="1"/>
  <c r="K27" i="6"/>
  <c r="J27" i="6"/>
  <c r="I27" i="6"/>
  <c r="H27" i="6" s="1"/>
  <c r="G27" i="6"/>
  <c r="F27" i="6" s="1"/>
  <c r="E27" i="6"/>
  <c r="D27" i="6"/>
  <c r="K26" i="6"/>
  <c r="G26" i="6"/>
  <c r="E26" i="6"/>
  <c r="K25" i="6"/>
  <c r="J25" i="6" s="1"/>
  <c r="I25" i="6"/>
  <c r="H25" i="6"/>
  <c r="G25" i="6"/>
  <c r="F25" i="6" s="1"/>
  <c r="E25" i="6"/>
  <c r="D25" i="6" s="1"/>
  <c r="K24" i="6"/>
  <c r="J24" i="6"/>
  <c r="I24" i="6"/>
  <c r="H24" i="6" s="1"/>
  <c r="G24" i="6"/>
  <c r="F24" i="6" s="1"/>
  <c r="E24" i="6"/>
  <c r="D24" i="6" s="1"/>
  <c r="K23" i="6"/>
  <c r="J23" i="6" s="1"/>
  <c r="I23" i="6"/>
  <c r="H23" i="6"/>
  <c r="H22" i="6" s="1"/>
  <c r="G23" i="6"/>
  <c r="F23" i="6" s="1"/>
  <c r="F22" i="6" s="1"/>
  <c r="E23" i="6"/>
  <c r="D23" i="6" s="1"/>
  <c r="K22" i="6"/>
  <c r="I22" i="6"/>
  <c r="G22" i="6"/>
  <c r="E22" i="6"/>
  <c r="K21" i="6"/>
  <c r="I21" i="6"/>
  <c r="H21" i="6" s="1"/>
  <c r="G21" i="6"/>
  <c r="F21" i="6" s="1"/>
  <c r="E21" i="6"/>
  <c r="D21" i="6" s="1"/>
  <c r="K20" i="6"/>
  <c r="J20" i="6" s="1"/>
  <c r="I20" i="6"/>
  <c r="H20" i="6" s="1"/>
  <c r="G20" i="6"/>
  <c r="F20" i="6" s="1"/>
  <c r="E20" i="6"/>
  <c r="D20" i="6" s="1"/>
  <c r="K19" i="6"/>
  <c r="I19" i="6"/>
  <c r="H19" i="6" s="1"/>
  <c r="G19" i="6"/>
  <c r="F19" i="6" s="1"/>
  <c r="E19" i="6"/>
  <c r="D19" i="6" s="1"/>
  <c r="K18" i="6"/>
  <c r="I18" i="6"/>
  <c r="K17" i="6"/>
  <c r="I17" i="6"/>
  <c r="H17" i="6" s="1"/>
  <c r="G17" i="6"/>
  <c r="F17" i="6" s="1"/>
  <c r="F50" i="6" s="1"/>
  <c r="E17" i="6"/>
  <c r="K16" i="6"/>
  <c r="I16" i="6"/>
  <c r="H16" i="6" s="1"/>
  <c r="G16" i="6"/>
  <c r="F16" i="6" s="1"/>
  <c r="E16" i="6"/>
  <c r="D16" i="6" s="1"/>
  <c r="K15" i="6"/>
  <c r="I15" i="6"/>
  <c r="H15" i="6" s="1"/>
  <c r="G15" i="6"/>
  <c r="F15" i="6" s="1"/>
  <c r="E15" i="6"/>
  <c r="D15" i="6" s="1"/>
  <c r="K14" i="6"/>
  <c r="I14" i="6"/>
  <c r="H14" i="6" s="1"/>
  <c r="G14" i="6"/>
  <c r="F14" i="6" s="1"/>
  <c r="E14" i="6"/>
  <c r="D14" i="6" s="1"/>
  <c r="J13" i="6"/>
  <c r="H13" i="6"/>
  <c r="I13" i="6" s="1"/>
  <c r="F13" i="6"/>
  <c r="G13" i="6" s="1"/>
  <c r="E13" i="6"/>
  <c r="D13" i="6"/>
  <c r="J12" i="6"/>
  <c r="H12" i="6"/>
  <c r="I12" i="6" s="1"/>
  <c r="F12" i="6"/>
  <c r="G12" i="6" s="1"/>
  <c r="E12" i="6"/>
  <c r="D12" i="6"/>
  <c r="K11" i="6"/>
  <c r="J11" i="6" s="1"/>
  <c r="I11" i="6"/>
  <c r="H11" i="6" s="1"/>
  <c r="G11" i="6"/>
  <c r="F11" i="6" s="1"/>
  <c r="E11" i="6"/>
  <c r="D11" i="6" s="1"/>
  <c r="K10" i="6"/>
  <c r="J10" i="6" s="1"/>
  <c r="I10" i="6"/>
  <c r="H10" i="6" s="1"/>
  <c r="G10" i="6"/>
  <c r="F10" i="6" s="1"/>
  <c r="E10" i="6"/>
  <c r="D10" i="6" s="1"/>
  <c r="E53" i="7"/>
  <c r="E52" i="7"/>
  <c r="M51" i="7"/>
  <c r="K51" i="7"/>
  <c r="I51" i="7"/>
  <c r="G51" i="7"/>
  <c r="E51" i="7"/>
  <c r="J50" i="7"/>
  <c r="H50" i="7"/>
  <c r="F50" i="7"/>
  <c r="D50" i="7"/>
  <c r="N49" i="7"/>
  <c r="L49" i="7"/>
  <c r="J49" i="7"/>
  <c r="S48" i="7"/>
  <c r="R48" i="7"/>
  <c r="U47" i="7"/>
  <c r="L47" i="7"/>
  <c r="C47" i="7"/>
  <c r="H47" i="7" s="1"/>
  <c r="W46" i="7"/>
  <c r="V46" i="7"/>
  <c r="T46" i="7"/>
  <c r="T47" i="7" s="1"/>
  <c r="W45" i="7"/>
  <c r="V45" i="7"/>
  <c r="S45" i="7"/>
  <c r="U45" i="7" s="1"/>
  <c r="U46" i="7" s="1"/>
  <c r="J45" i="7"/>
  <c r="D45" i="7"/>
  <c r="J42" i="7"/>
  <c r="D42" i="7"/>
  <c r="C42" i="7"/>
  <c r="C41" i="7" s="1"/>
  <c r="L40" i="7"/>
  <c r="J40" i="7" s="1"/>
  <c r="H40" i="7"/>
  <c r="F40" i="7"/>
  <c r="D40" i="7" s="1"/>
  <c r="C40" i="7" s="1"/>
  <c r="P39" i="7"/>
  <c r="N39" i="7"/>
  <c r="V47" i="7" s="1"/>
  <c r="L39" i="7"/>
  <c r="R39" i="7" s="1"/>
  <c r="H38" i="7"/>
  <c r="F38" i="7"/>
  <c r="D38" i="7" s="1"/>
  <c r="Q37" i="7"/>
  <c r="P22" i="7" s="1"/>
  <c r="P24" i="7" s="1"/>
  <c r="Q24" i="7" s="1"/>
  <c r="O37" i="7"/>
  <c r="M37" i="7"/>
  <c r="C37" i="7"/>
  <c r="Q36" i="7"/>
  <c r="P13" i="7" s="1"/>
  <c r="Q13" i="7" s="1"/>
  <c r="Q32" i="7" s="1"/>
  <c r="O36" i="7"/>
  <c r="M36" i="7"/>
  <c r="C36" i="7"/>
  <c r="C35" i="7"/>
  <c r="R34" i="7"/>
  <c r="J34" i="7"/>
  <c r="H34" i="7"/>
  <c r="H22" i="7" s="1"/>
  <c r="F34" i="7"/>
  <c r="D34" i="7" s="1"/>
  <c r="C34" i="7" s="1"/>
  <c r="J30" i="7"/>
  <c r="D30" i="7"/>
  <c r="J25" i="7"/>
  <c r="N22" i="7"/>
  <c r="N24" i="7" s="1"/>
  <c r="L22" i="7"/>
  <c r="J21" i="7"/>
  <c r="I21" i="7"/>
  <c r="D21" i="7"/>
  <c r="C21" i="7" s="1"/>
  <c r="C20" i="7"/>
  <c r="J17" i="7"/>
  <c r="C17" i="7"/>
  <c r="J15" i="7"/>
  <c r="J16" i="7" s="1"/>
  <c r="J14" i="7"/>
  <c r="N13" i="7"/>
  <c r="O13" i="7" s="1"/>
  <c r="O32" i="7" s="1"/>
  <c r="L13" i="7"/>
  <c r="M13" i="7" s="1"/>
  <c r="M32" i="7" s="1"/>
  <c r="A6" i="7"/>
  <c r="G59" i="3"/>
  <c r="I51" i="3"/>
  <c r="I56" i="3" s="1"/>
  <c r="G51" i="3"/>
  <c r="G58" i="3" s="1"/>
  <c r="E51" i="3"/>
  <c r="E57" i="3" s="1"/>
  <c r="C51" i="3"/>
  <c r="C55" i="3" s="1"/>
  <c r="G48" i="3"/>
  <c r="I45" i="3"/>
  <c r="G45" i="3"/>
  <c r="E45" i="3"/>
  <c r="E48" i="3" s="1"/>
  <c r="C45" i="3"/>
  <c r="K37" i="3"/>
  <c r="J37" i="3"/>
  <c r="I37" i="3"/>
  <c r="H37" i="3"/>
  <c r="G37" i="3"/>
  <c r="F37" i="3"/>
  <c r="E37" i="3"/>
  <c r="D37" i="3"/>
  <c r="C37" i="3"/>
  <c r="I36" i="3"/>
  <c r="G36" i="3"/>
  <c r="H36" i="3" s="1"/>
  <c r="E36" i="3"/>
  <c r="F36" i="3" s="1"/>
  <c r="C36" i="3"/>
  <c r="D36" i="3" s="1"/>
  <c r="K25" i="3"/>
  <c r="J25" i="3"/>
  <c r="I25" i="3"/>
  <c r="G25" i="3"/>
  <c r="E25" i="3"/>
  <c r="F25" i="3" s="1"/>
  <c r="C25" i="3"/>
  <c r="L25" i="3" s="1"/>
  <c r="K21" i="3"/>
  <c r="J21" i="3"/>
  <c r="I21" i="3"/>
  <c r="G21" i="3"/>
  <c r="H21" i="3" s="1"/>
  <c r="E21" i="3"/>
  <c r="F21" i="3" s="1"/>
  <c r="C21" i="3"/>
  <c r="J17" i="3"/>
  <c r="K13" i="3"/>
  <c r="K11" i="3" s="1"/>
  <c r="K10" i="3" s="1"/>
  <c r="K35" i="3" s="1"/>
  <c r="I13" i="3"/>
  <c r="I11" i="3" s="1"/>
  <c r="I10" i="3" s="1"/>
  <c r="I35" i="3" s="1"/>
  <c r="I43" i="3" s="1"/>
  <c r="I44" i="3" s="1"/>
  <c r="K60" i="3" s="1"/>
  <c r="G13" i="3"/>
  <c r="H13" i="3" s="1"/>
  <c r="H11" i="3" s="1"/>
  <c r="H10" i="3" s="1"/>
  <c r="F13" i="3"/>
  <c r="F11" i="3" s="1"/>
  <c r="F10" i="3" s="1"/>
  <c r="F35" i="3" s="1"/>
  <c r="F43" i="3" s="1"/>
  <c r="E13" i="3"/>
  <c r="E11" i="3" s="1"/>
  <c r="E10" i="3" s="1"/>
  <c r="E35" i="3" s="1"/>
  <c r="E43" i="3" s="1"/>
  <c r="E44" i="3" s="1"/>
  <c r="F60" i="3" s="1"/>
  <c r="C13" i="3"/>
  <c r="D13" i="3" s="1"/>
  <c r="D11" i="3" s="1"/>
  <c r="C12" i="3"/>
  <c r="C11" i="3" s="1"/>
  <c r="C10" i="3" s="1"/>
  <c r="C35" i="3" s="1"/>
  <c r="J11" i="3"/>
  <c r="J10" i="3" s="1"/>
  <c r="G11" i="3"/>
  <c r="G10" i="3" s="1"/>
  <c r="G35" i="3" s="1"/>
  <c r="G43" i="3" s="1"/>
  <c r="G44" i="3" s="1"/>
  <c r="H60" i="3" s="1"/>
  <c r="I54" i="1"/>
  <c r="G54" i="1"/>
  <c r="E54" i="1"/>
  <c r="C54" i="1"/>
  <c r="I53" i="1"/>
  <c r="G53" i="1"/>
  <c r="H29" i="1" s="1"/>
  <c r="E53" i="1"/>
  <c r="C53" i="1"/>
  <c r="I46" i="1"/>
  <c r="J46" i="1" s="1"/>
  <c r="G46" i="1"/>
  <c r="H46" i="1" s="1"/>
  <c r="E46" i="1"/>
  <c r="F46" i="1" s="1"/>
  <c r="C46" i="1"/>
  <c r="I45" i="1"/>
  <c r="J45" i="1" s="1"/>
  <c r="G45" i="1"/>
  <c r="H45" i="1" s="1"/>
  <c r="E45" i="1"/>
  <c r="F45" i="1" s="1"/>
  <c r="C45" i="1"/>
  <c r="D45" i="1" s="1"/>
  <c r="E43" i="6" s="1"/>
  <c r="D43" i="6" s="1"/>
  <c r="K44" i="1"/>
  <c r="J43" i="1"/>
  <c r="I43" i="1"/>
  <c r="G43" i="1"/>
  <c r="H43" i="1" s="1"/>
  <c r="F43" i="1"/>
  <c r="E43" i="1"/>
  <c r="E41" i="1" s="1"/>
  <c r="F41" i="1" s="1"/>
  <c r="C43" i="1"/>
  <c r="I42" i="1"/>
  <c r="J42" i="1" s="1"/>
  <c r="G42" i="1"/>
  <c r="E42" i="1"/>
  <c r="C42" i="1"/>
  <c r="D41" i="1"/>
  <c r="C41" i="1"/>
  <c r="I40" i="1"/>
  <c r="J40" i="1" s="1"/>
  <c r="G40" i="1"/>
  <c r="E40" i="1"/>
  <c r="F40" i="1" s="1"/>
  <c r="C40" i="1"/>
  <c r="K39" i="1"/>
  <c r="I31" i="1"/>
  <c r="J31" i="1" s="1"/>
  <c r="G31" i="1"/>
  <c r="H31" i="1" s="1"/>
  <c r="E31" i="1"/>
  <c r="F31" i="1" s="1"/>
  <c r="C31" i="1"/>
  <c r="D31" i="1" s="1"/>
  <c r="I30" i="1"/>
  <c r="J30" i="1" s="1"/>
  <c r="G30" i="1"/>
  <c r="H30" i="1" s="1"/>
  <c r="E30" i="1"/>
  <c r="F30" i="1" s="1"/>
  <c r="C30" i="1"/>
  <c r="I29" i="1"/>
  <c r="J29" i="1" s="1"/>
  <c r="G29" i="1"/>
  <c r="E29" i="1"/>
  <c r="E28" i="1" s="1"/>
  <c r="F28" i="1" s="1"/>
  <c r="D29" i="1"/>
  <c r="C29" i="1"/>
  <c r="G28" i="1"/>
  <c r="H28" i="1" s="1"/>
  <c r="C28" i="1"/>
  <c r="I27" i="1"/>
  <c r="J27" i="1" s="1"/>
  <c r="G27" i="1"/>
  <c r="E27" i="1"/>
  <c r="E24" i="1" s="1"/>
  <c r="F24" i="1" s="1"/>
  <c r="D27" i="1"/>
  <c r="C27" i="1"/>
  <c r="I26" i="1"/>
  <c r="J26" i="1" s="1"/>
  <c r="G26" i="1"/>
  <c r="H26" i="1" s="1"/>
  <c r="E26" i="1"/>
  <c r="F26" i="1" s="1"/>
  <c r="C26" i="1"/>
  <c r="I25" i="1"/>
  <c r="J25" i="1" s="1"/>
  <c r="G25" i="1"/>
  <c r="E25" i="1"/>
  <c r="F25" i="1" s="1"/>
  <c r="D25" i="1"/>
  <c r="C25" i="1"/>
  <c r="G24" i="1"/>
  <c r="H24" i="1" s="1"/>
  <c r="C24" i="1"/>
  <c r="I23" i="1"/>
  <c r="J23" i="1" s="1"/>
  <c r="G23" i="1"/>
  <c r="E23" i="1"/>
  <c r="E20" i="1" s="1"/>
  <c r="D23" i="1"/>
  <c r="C23" i="1"/>
  <c r="I22" i="1"/>
  <c r="J22" i="1" s="1"/>
  <c r="G22" i="1"/>
  <c r="H22" i="1" s="1"/>
  <c r="E22" i="1"/>
  <c r="F22" i="1" s="1"/>
  <c r="C22" i="1"/>
  <c r="I21" i="1"/>
  <c r="J21" i="1" s="1"/>
  <c r="G21" i="1"/>
  <c r="E21" i="1"/>
  <c r="F21" i="1" s="1"/>
  <c r="D21" i="1"/>
  <c r="C21" i="1"/>
  <c r="G20" i="1"/>
  <c r="C20" i="1"/>
  <c r="I19" i="1"/>
  <c r="J19" i="1" s="1"/>
  <c r="G19" i="1"/>
  <c r="E19" i="1"/>
  <c r="F19" i="1" s="1"/>
  <c r="D19" i="1"/>
  <c r="C19" i="1"/>
  <c r="I18" i="1"/>
  <c r="J18" i="1" s="1"/>
  <c r="G18" i="1"/>
  <c r="H18" i="1" s="1"/>
  <c r="E18" i="1"/>
  <c r="F18" i="1" s="1"/>
  <c r="C18" i="1"/>
  <c r="I17" i="1"/>
  <c r="J17" i="1" s="1"/>
  <c r="G17" i="1"/>
  <c r="E17" i="1"/>
  <c r="F17" i="1" s="1"/>
  <c r="D17" i="1"/>
  <c r="C17" i="1"/>
  <c r="G16" i="1"/>
  <c r="E16" i="1"/>
  <c r="D16" i="1"/>
  <c r="I15" i="1"/>
  <c r="J15" i="1" s="1"/>
  <c r="G15" i="1"/>
  <c r="E15" i="1"/>
  <c r="F15" i="1" s="1"/>
  <c r="C15" i="1"/>
  <c r="C10" i="1" s="1"/>
  <c r="C9" i="1" s="1"/>
  <c r="I14" i="1"/>
  <c r="J14" i="1" s="1"/>
  <c r="H14" i="1"/>
  <c r="G14" i="1"/>
  <c r="D14" i="1"/>
  <c r="I13" i="1"/>
  <c r="J13" i="1" s="1"/>
  <c r="G13" i="1"/>
  <c r="E13" i="1"/>
  <c r="F13" i="1" s="1"/>
  <c r="D13" i="1"/>
  <c r="C13" i="1"/>
  <c r="I12" i="1"/>
  <c r="J12" i="1" s="1"/>
  <c r="G12" i="1"/>
  <c r="H12" i="1" s="1"/>
  <c r="E12" i="1"/>
  <c r="F12" i="1" s="1"/>
  <c r="C12" i="1"/>
  <c r="D12" i="1" s="1"/>
  <c r="I11" i="1"/>
  <c r="J11" i="1" s="1"/>
  <c r="J49" i="1" s="1"/>
  <c r="G11" i="1"/>
  <c r="E11" i="1"/>
  <c r="E10" i="1" s="1"/>
  <c r="E9" i="1" s="1"/>
  <c r="E38" i="1" s="1"/>
  <c r="D11" i="1"/>
  <c r="D49" i="1" s="1"/>
  <c r="C11" i="1"/>
  <c r="G10" i="1"/>
  <c r="G9" i="1" s="1"/>
  <c r="G38" i="1" s="1"/>
  <c r="I40" i="4"/>
  <c r="G40" i="4"/>
  <c r="E40" i="4"/>
  <c r="C40" i="4"/>
  <c r="J32" i="4"/>
  <c r="I32" i="4"/>
  <c r="H32" i="4"/>
  <c r="G32" i="4"/>
  <c r="F32" i="4"/>
  <c r="E32" i="4"/>
  <c r="D32" i="4"/>
  <c r="C32" i="4"/>
  <c r="I23" i="4"/>
  <c r="J23" i="4" s="1"/>
  <c r="G23" i="4"/>
  <c r="H23" i="4" s="1"/>
  <c r="E23" i="4"/>
  <c r="F23" i="4" s="1"/>
  <c r="C23" i="4"/>
  <c r="D23" i="4" s="1"/>
  <c r="I22" i="4"/>
  <c r="J22" i="4" s="1"/>
  <c r="G22" i="4"/>
  <c r="H22" i="4" s="1"/>
  <c r="E22" i="4"/>
  <c r="F22" i="4" s="1"/>
  <c r="C22" i="4"/>
  <c r="D22" i="4" s="1"/>
  <c r="I21" i="4"/>
  <c r="J21" i="4" s="1"/>
  <c r="J20" i="4" s="1"/>
  <c r="G21" i="4"/>
  <c r="H21" i="4" s="1"/>
  <c r="H20" i="4" s="1"/>
  <c r="E21" i="4"/>
  <c r="F21" i="4" s="1"/>
  <c r="F20" i="4" s="1"/>
  <c r="C21" i="4"/>
  <c r="D21" i="4" s="1"/>
  <c r="D20" i="4" s="1"/>
  <c r="I19" i="4"/>
  <c r="J19" i="4" s="1"/>
  <c r="H19" i="4"/>
  <c r="G19" i="4"/>
  <c r="F19" i="4"/>
  <c r="E19" i="4"/>
  <c r="D19" i="4"/>
  <c r="C19" i="4"/>
  <c r="K19" i="4" s="1"/>
  <c r="J18" i="4"/>
  <c r="I18" i="4"/>
  <c r="H18" i="4"/>
  <c r="G18" i="4"/>
  <c r="F18" i="4"/>
  <c r="E18" i="4"/>
  <c r="D18" i="4"/>
  <c r="C18" i="4"/>
  <c r="K18" i="4" s="1"/>
  <c r="J17" i="4"/>
  <c r="I17" i="4"/>
  <c r="H17" i="4"/>
  <c r="H16" i="4" s="1"/>
  <c r="G17" i="4"/>
  <c r="G16" i="4" s="1"/>
  <c r="F17" i="4"/>
  <c r="F16" i="4" s="1"/>
  <c r="E17" i="4"/>
  <c r="D17" i="4"/>
  <c r="D16" i="4" s="1"/>
  <c r="C17" i="4"/>
  <c r="K17" i="4" s="1"/>
  <c r="I16" i="4"/>
  <c r="E16" i="4"/>
  <c r="C16" i="4"/>
  <c r="I15" i="4"/>
  <c r="J15" i="4" s="1"/>
  <c r="G15" i="4"/>
  <c r="E15" i="4"/>
  <c r="F15" i="4" s="1"/>
  <c r="C15" i="4"/>
  <c r="D15" i="4" s="1"/>
  <c r="I14" i="4"/>
  <c r="J14" i="4" s="1"/>
  <c r="G14" i="4"/>
  <c r="E14" i="4"/>
  <c r="F14" i="4" s="1"/>
  <c r="C14" i="4"/>
  <c r="D14" i="4" s="1"/>
  <c r="I13" i="4"/>
  <c r="J13" i="4" s="1"/>
  <c r="G13" i="4"/>
  <c r="E13" i="4"/>
  <c r="F13" i="4" s="1"/>
  <c r="C13" i="4"/>
  <c r="D13" i="4" s="1"/>
  <c r="I11" i="4"/>
  <c r="J11" i="4" s="1"/>
  <c r="G11" i="4"/>
  <c r="E11" i="4"/>
  <c r="F11" i="4" s="1"/>
  <c r="C11" i="4"/>
  <c r="D11" i="4" s="1"/>
  <c r="I10" i="4"/>
  <c r="J10" i="4" s="1"/>
  <c r="G10" i="4"/>
  <c r="E10" i="4"/>
  <c r="F10" i="4" s="1"/>
  <c r="C10" i="4"/>
  <c r="D10" i="4" s="1"/>
  <c r="K16" i="4" l="1"/>
  <c r="J22" i="6"/>
  <c r="L24" i="6"/>
  <c r="H10" i="4"/>
  <c r="H11" i="4"/>
  <c r="H13" i="4"/>
  <c r="H14" i="4"/>
  <c r="H15" i="4"/>
  <c r="J16" i="4"/>
  <c r="I10" i="1"/>
  <c r="F11" i="1"/>
  <c r="F49" i="1" s="1"/>
  <c r="H15" i="1"/>
  <c r="H16" i="1"/>
  <c r="I20" i="1"/>
  <c r="J20" i="1"/>
  <c r="F23" i="1"/>
  <c r="I24" i="1"/>
  <c r="J24" i="1" s="1"/>
  <c r="F27" i="1"/>
  <c r="I28" i="1"/>
  <c r="J28" i="1" s="1"/>
  <c r="F29" i="1"/>
  <c r="H40" i="1"/>
  <c r="K42" i="1"/>
  <c r="X40" i="6" s="1"/>
  <c r="K43" i="1"/>
  <c r="X41" i="6" s="1"/>
  <c r="K36" i="3"/>
  <c r="F13" i="7"/>
  <c r="G13" i="7" s="1"/>
  <c r="E21" i="7"/>
  <c r="O24" i="7"/>
  <c r="L12" i="6"/>
  <c r="K12" i="6"/>
  <c r="K9" i="6" s="1"/>
  <c r="K8" i="6" s="1"/>
  <c r="K36" i="6" s="1"/>
  <c r="H50" i="6"/>
  <c r="J28" i="6"/>
  <c r="J29" i="6"/>
  <c r="J37" i="6"/>
  <c r="H39" i="6"/>
  <c r="X14" i="6"/>
  <c r="K23" i="4"/>
  <c r="K15" i="4"/>
  <c r="K11" i="4"/>
  <c r="F24" i="8"/>
  <c r="K11" i="1"/>
  <c r="X10" i="6" s="1"/>
  <c r="K13" i="1"/>
  <c r="K17" i="1"/>
  <c r="X15" i="6" s="1"/>
  <c r="K18" i="1"/>
  <c r="X16" i="6" s="1"/>
  <c r="K19" i="1"/>
  <c r="X17" i="6" s="1"/>
  <c r="K20" i="1"/>
  <c r="K21" i="1"/>
  <c r="K22" i="1"/>
  <c r="X20" i="6" s="1"/>
  <c r="K23" i="1"/>
  <c r="X21" i="6" s="1"/>
  <c r="K25" i="1"/>
  <c r="K26" i="1"/>
  <c r="X24" i="6" s="1"/>
  <c r="K27" i="1"/>
  <c r="X25" i="6" s="1"/>
  <c r="K29" i="1"/>
  <c r="X27" i="6" s="1"/>
  <c r="K30" i="1"/>
  <c r="F42" i="1"/>
  <c r="D43" i="1"/>
  <c r="K46" i="1"/>
  <c r="X44" i="6" s="1"/>
  <c r="K53" i="1"/>
  <c r="L21" i="3"/>
  <c r="H25" i="3"/>
  <c r="H35" i="3" s="1"/>
  <c r="H43" i="3" s="1"/>
  <c r="I48" i="3"/>
  <c r="H13" i="7"/>
  <c r="H32" i="7" s="1"/>
  <c r="I32" i="7" s="1"/>
  <c r="K14" i="7"/>
  <c r="G21" i="7"/>
  <c r="F22" i="7"/>
  <c r="D22" i="7" s="1"/>
  <c r="E22" i="7" s="1"/>
  <c r="J39" i="7"/>
  <c r="K16" i="7" s="1"/>
  <c r="L13" i="6"/>
  <c r="K13" i="6"/>
  <c r="J14" i="6"/>
  <c r="J15" i="6"/>
  <c r="J16" i="6"/>
  <c r="J17" i="6"/>
  <c r="J50" i="6" s="1"/>
  <c r="W18" i="6"/>
  <c r="J19" i="6"/>
  <c r="L25" i="6"/>
  <c r="I26" i="6"/>
  <c r="L37" i="6"/>
  <c r="K22" i="4"/>
  <c r="K14" i="4"/>
  <c r="K10" i="4"/>
  <c r="C30" i="8"/>
  <c r="C32" i="8" s="1"/>
  <c r="D33" i="8" s="1"/>
  <c r="F18" i="6"/>
  <c r="H11" i="1"/>
  <c r="H49" i="1" s="1"/>
  <c r="H13" i="1"/>
  <c r="H17" i="1"/>
  <c r="H10" i="1" s="1"/>
  <c r="H19" i="1"/>
  <c r="H21" i="1"/>
  <c r="F20" i="1"/>
  <c r="H23" i="1"/>
  <c r="H20" i="1" s="1"/>
  <c r="H25" i="1"/>
  <c r="H27" i="1"/>
  <c r="K40" i="1"/>
  <c r="X38" i="6" s="1"/>
  <c r="G41" i="1"/>
  <c r="H41" i="1" s="1"/>
  <c r="H42" i="1"/>
  <c r="J35" i="3"/>
  <c r="J43" i="3" s="1"/>
  <c r="J44" i="3" s="1"/>
  <c r="L45" i="3"/>
  <c r="C48" i="3"/>
  <c r="K25" i="7"/>
  <c r="L48" i="7"/>
  <c r="L18" i="7" s="1"/>
  <c r="M18" i="7" s="1"/>
  <c r="S47" i="7"/>
  <c r="L14" i="6"/>
  <c r="W17" i="6"/>
  <c r="G18" i="6"/>
  <c r="L19" i="6"/>
  <c r="D18" i="6"/>
  <c r="J21" i="6"/>
  <c r="L21" i="6" s="1"/>
  <c r="J39" i="6"/>
  <c r="K21" i="4"/>
  <c r="K13" i="4"/>
  <c r="E22" i="8"/>
  <c r="E26" i="8" s="1"/>
  <c r="E30" i="8" s="1"/>
  <c r="F31" i="8"/>
  <c r="F32" i="8" s="1"/>
  <c r="C31" i="8"/>
  <c r="E31" i="8"/>
  <c r="E32" i="8" s="1"/>
  <c r="G31" i="8"/>
  <c r="G32" i="8" s="1"/>
  <c r="D31" i="8"/>
  <c r="D32" i="8" s="1"/>
  <c r="L15" i="6"/>
  <c r="H9" i="6"/>
  <c r="H26" i="6"/>
  <c r="L29" i="6"/>
  <c r="L42" i="6"/>
  <c r="I39" i="6"/>
  <c r="L43" i="6"/>
  <c r="F9" i="6"/>
  <c r="F8" i="6" s="1"/>
  <c r="J9" i="6"/>
  <c r="L16" i="6"/>
  <c r="D17" i="6"/>
  <c r="D50" i="6" s="1"/>
  <c r="H18" i="6"/>
  <c r="L27" i="6"/>
  <c r="F26" i="6"/>
  <c r="J26" i="6"/>
  <c r="G39" i="6"/>
  <c r="K39" i="6"/>
  <c r="L10" i="6"/>
  <c r="D9" i="6"/>
  <c r="L11" i="6"/>
  <c r="L23" i="6"/>
  <c r="D22" i="6"/>
  <c r="W8" i="6"/>
  <c r="E9" i="6"/>
  <c r="G9" i="6"/>
  <c r="G8" i="6" s="1"/>
  <c r="G36" i="6" s="1"/>
  <c r="G45" i="6" s="1"/>
  <c r="I9" i="6"/>
  <c r="I8" i="6" s="1"/>
  <c r="E18" i="6"/>
  <c r="D26" i="6"/>
  <c r="L28" i="6"/>
  <c r="L20" i="6"/>
  <c r="E42" i="6"/>
  <c r="E39" i="6" s="1"/>
  <c r="L47" i="6"/>
  <c r="J13" i="7"/>
  <c r="K13" i="7" s="1"/>
  <c r="C30" i="7"/>
  <c r="R13" i="7"/>
  <c r="L20" i="7"/>
  <c r="F24" i="7"/>
  <c r="H24" i="7"/>
  <c r="I24" i="7" s="1"/>
  <c r="I22" i="7"/>
  <c r="L24" i="7"/>
  <c r="L23" i="7" s="1"/>
  <c r="M22" i="7"/>
  <c r="R22" i="7"/>
  <c r="I13" i="7"/>
  <c r="J22" i="7"/>
  <c r="K22" i="7" s="1"/>
  <c r="F47" i="7"/>
  <c r="J47" i="7"/>
  <c r="W47" i="7"/>
  <c r="P48" i="7" s="1"/>
  <c r="N48" i="7"/>
  <c r="J48" i="7" s="1"/>
  <c r="C48" i="7" s="1"/>
  <c r="S51" i="7"/>
  <c r="O22" i="7"/>
  <c r="Q22" i="7"/>
  <c r="N23" i="7"/>
  <c r="O23" i="7" s="1"/>
  <c r="P23" i="7"/>
  <c r="Q23" i="7" s="1"/>
  <c r="S46" i="7"/>
  <c r="D47" i="7"/>
  <c r="L35" i="3"/>
  <c r="C43" i="3"/>
  <c r="K43" i="3"/>
  <c r="L36" i="3"/>
  <c r="X37" i="6" s="1"/>
  <c r="L51" i="3"/>
  <c r="D21" i="3"/>
  <c r="D10" i="3" s="1"/>
  <c r="D25" i="3"/>
  <c r="C38" i="1"/>
  <c r="H38" i="1"/>
  <c r="E47" i="1"/>
  <c r="F38" i="1"/>
  <c r="K10" i="1"/>
  <c r="X9" i="6" s="1"/>
  <c r="K12" i="1"/>
  <c r="X11" i="6" s="1"/>
  <c r="F10" i="1"/>
  <c r="F9" i="1" s="1"/>
  <c r="J10" i="1"/>
  <c r="J9" i="1" s="1"/>
  <c r="K15" i="1"/>
  <c r="D15" i="1"/>
  <c r="F16" i="1"/>
  <c r="D18" i="1"/>
  <c r="D22" i="1"/>
  <c r="D20" i="1" s="1"/>
  <c r="D26" i="1"/>
  <c r="D24" i="1" s="1"/>
  <c r="D30" i="1"/>
  <c r="D28" i="1" s="1"/>
  <c r="K31" i="1"/>
  <c r="D40" i="1"/>
  <c r="I41" i="1"/>
  <c r="J41" i="1" s="1"/>
  <c r="D42" i="1"/>
  <c r="E40" i="6" s="1"/>
  <c r="D40" i="6" s="1"/>
  <c r="L40" i="6" s="1"/>
  <c r="K45" i="1"/>
  <c r="X43" i="6" s="1"/>
  <c r="D46" i="1"/>
  <c r="E44" i="6" s="1"/>
  <c r="D44" i="6" s="1"/>
  <c r="L44" i="6" s="1"/>
  <c r="D12" i="4"/>
  <c r="D9" i="4" s="1"/>
  <c r="D30" i="4" s="1"/>
  <c r="D38" i="4" s="1"/>
  <c r="H12" i="4"/>
  <c r="H9" i="4" s="1"/>
  <c r="H30" i="4" s="1"/>
  <c r="H38" i="4" s="1"/>
  <c r="F12" i="4"/>
  <c r="F9" i="4" s="1"/>
  <c r="F30" i="4" s="1"/>
  <c r="F38" i="4" s="1"/>
  <c r="J12" i="4"/>
  <c r="C12" i="4"/>
  <c r="E12" i="4"/>
  <c r="E9" i="4" s="1"/>
  <c r="G12" i="4"/>
  <c r="G9" i="4" s="1"/>
  <c r="I12" i="4"/>
  <c r="I9" i="4" s="1"/>
  <c r="C20" i="4"/>
  <c r="E20" i="4"/>
  <c r="G20" i="4"/>
  <c r="I20" i="4"/>
  <c r="H9" i="1" l="1"/>
  <c r="G47" i="1"/>
  <c r="D35" i="3"/>
  <c r="D43" i="3" s="1"/>
  <c r="D39" i="6"/>
  <c r="L39" i="6" s="1"/>
  <c r="K21" i="7"/>
  <c r="C9" i="4"/>
  <c r="K9" i="4" s="1"/>
  <c r="K30" i="4" s="1"/>
  <c r="K12" i="4"/>
  <c r="D10" i="1"/>
  <c r="D9" i="1" s="1"/>
  <c r="X19" i="6"/>
  <c r="K20" i="4"/>
  <c r="J9" i="4"/>
  <c r="J30" i="4" s="1"/>
  <c r="J38" i="4" s="1"/>
  <c r="G22" i="7"/>
  <c r="N14" i="6"/>
  <c r="I36" i="6"/>
  <c r="I45" i="6" s="1"/>
  <c r="L22" i="6"/>
  <c r="J18" i="6"/>
  <c r="L18" i="6" s="1"/>
  <c r="K17" i="7"/>
  <c r="K15" i="7"/>
  <c r="X28" i="6"/>
  <c r="K24" i="1"/>
  <c r="X22" i="6" s="1"/>
  <c r="X23" i="6"/>
  <c r="X18" i="6"/>
  <c r="I9" i="1"/>
  <c r="K28" i="1"/>
  <c r="X26" i="6" s="1"/>
  <c r="X29" i="6"/>
  <c r="F32" i="7"/>
  <c r="D13" i="7"/>
  <c r="N43" i="6"/>
  <c r="N25" i="6"/>
  <c r="N12" i="6"/>
  <c r="N16" i="6"/>
  <c r="N46" i="6"/>
  <c r="N29" i="6"/>
  <c r="L26" i="6"/>
  <c r="N26" i="6" s="1"/>
  <c r="K45" i="6"/>
  <c r="N41" i="6"/>
  <c r="L17" i="6"/>
  <c r="F36" i="6"/>
  <c r="F45" i="6" s="1"/>
  <c r="H8" i="6"/>
  <c r="H36" i="6" s="1"/>
  <c r="H45" i="6" s="1"/>
  <c r="N39" i="6"/>
  <c r="O22" i="6"/>
  <c r="N22" i="6"/>
  <c r="L50" i="6"/>
  <c r="N17" i="6"/>
  <c r="N10" i="6"/>
  <c r="N20" i="6"/>
  <c r="N28" i="6"/>
  <c r="E8" i="6"/>
  <c r="E36" i="6" s="1"/>
  <c r="E45" i="6" s="1"/>
  <c r="N42" i="6"/>
  <c r="N40" i="6"/>
  <c r="N27" i="6"/>
  <c r="N24" i="6"/>
  <c r="N23" i="6"/>
  <c r="N21" i="6"/>
  <c r="N19" i="6"/>
  <c r="N18" i="6"/>
  <c r="N13" i="6"/>
  <c r="N11" i="6"/>
  <c r="L9" i="6"/>
  <c r="D8" i="6"/>
  <c r="N15" i="6"/>
  <c r="P18" i="7"/>
  <c r="C22" i="7"/>
  <c r="J23" i="7"/>
  <c r="K23" i="7" s="1"/>
  <c r="M23" i="7"/>
  <c r="D24" i="7"/>
  <c r="G24" i="7"/>
  <c r="N18" i="7"/>
  <c r="J24" i="7"/>
  <c r="K24" i="7" s="1"/>
  <c r="M24" i="7"/>
  <c r="H23" i="7"/>
  <c r="I23" i="7" s="1"/>
  <c r="F23" i="7"/>
  <c r="L26" i="7"/>
  <c r="M20" i="7"/>
  <c r="M26" i="7" s="1"/>
  <c r="L43" i="3"/>
  <c r="C44" i="3"/>
  <c r="D60" i="3" s="1"/>
  <c r="K41" i="1"/>
  <c r="X39" i="6" s="1"/>
  <c r="F47" i="1"/>
  <c r="E48" i="1"/>
  <c r="G48" i="1"/>
  <c r="H47" i="1"/>
  <c r="C47" i="1"/>
  <c r="D38" i="1"/>
  <c r="G30" i="4"/>
  <c r="G38" i="4" s="1"/>
  <c r="C30" i="4"/>
  <c r="C38" i="4" s="1"/>
  <c r="I30" i="4"/>
  <c r="I38" i="4" s="1"/>
  <c r="E30" i="4"/>
  <c r="E38" i="4" s="1"/>
  <c r="E13" i="7" l="1"/>
  <c r="C13" i="7"/>
  <c r="I38" i="1"/>
  <c r="K9" i="1"/>
  <c r="X8" i="6" s="1"/>
  <c r="O26" i="6"/>
  <c r="G32" i="7"/>
  <c r="D32" i="7"/>
  <c r="E32" i="7" s="1"/>
  <c r="K38" i="4"/>
  <c r="J8" i="6"/>
  <c r="J36" i="6" s="1"/>
  <c r="J45" i="6" s="1"/>
  <c r="D36" i="6"/>
  <c r="L52" i="6"/>
  <c r="N9" i="6"/>
  <c r="L27" i="7"/>
  <c r="E24" i="7"/>
  <c r="C24" i="7"/>
  <c r="Q18" i="7"/>
  <c r="P20" i="7"/>
  <c r="D23" i="7"/>
  <c r="G23" i="7"/>
  <c r="O18" i="7"/>
  <c r="J18" i="7"/>
  <c r="R18" i="7"/>
  <c r="N20" i="7"/>
  <c r="C48" i="1"/>
  <c r="D47" i="1"/>
  <c r="H50" i="1"/>
  <c r="H51" i="1"/>
  <c r="H52" i="1" s="1"/>
  <c r="F50" i="1"/>
  <c r="F51" i="1"/>
  <c r="F52" i="1" s="1"/>
  <c r="J38" i="1" l="1"/>
  <c r="I47" i="1"/>
  <c r="K38" i="1"/>
  <c r="X36" i="6" s="1"/>
  <c r="X45" i="6" s="1"/>
  <c r="L8" i="6"/>
  <c r="D45" i="6"/>
  <c r="L36" i="6"/>
  <c r="N8" i="6"/>
  <c r="N26" i="7"/>
  <c r="O20" i="7"/>
  <c r="O26" i="7" s="1"/>
  <c r="K18" i="7"/>
  <c r="C18" i="7"/>
  <c r="P26" i="7"/>
  <c r="P27" i="7" s="1"/>
  <c r="Q28" i="7" s="1"/>
  <c r="Q29" i="7" s="1"/>
  <c r="Q33" i="7" s="1"/>
  <c r="Q20" i="7"/>
  <c r="Q26" i="7" s="1"/>
  <c r="M28" i="7"/>
  <c r="M29" i="7" s="1"/>
  <c r="M33" i="7" s="1"/>
  <c r="U18" i="7"/>
  <c r="S18" i="7"/>
  <c r="T18" i="7"/>
  <c r="E23" i="7"/>
  <c r="C23" i="7"/>
  <c r="D50" i="1"/>
  <c r="D51" i="1"/>
  <c r="D52" i="1" s="1"/>
  <c r="J47" i="1" l="1"/>
  <c r="K47" i="1"/>
  <c r="I48" i="1"/>
  <c r="O36" i="6"/>
  <c r="O49" i="6"/>
  <c r="N36" i="6"/>
  <c r="L45" i="6"/>
  <c r="L43" i="7"/>
  <c r="J43" i="7" s="1"/>
  <c r="J41" i="7" s="1"/>
  <c r="L46" i="7"/>
  <c r="J46" i="7" s="1"/>
  <c r="J44" i="7" s="1"/>
  <c r="F43" i="7"/>
  <c r="H17" i="7"/>
  <c r="I17" i="7" s="1"/>
  <c r="F46" i="7"/>
  <c r="H43" i="7"/>
  <c r="H41" i="7" s="1"/>
  <c r="H15" i="7" s="1"/>
  <c r="H46" i="7"/>
  <c r="H44" i="7" s="1"/>
  <c r="F17" i="7"/>
  <c r="N27" i="7"/>
  <c r="U26" i="7"/>
  <c r="W26" i="7" s="1"/>
  <c r="J26" i="7"/>
  <c r="K26" i="7" s="1"/>
  <c r="R26" i="7"/>
  <c r="J50" i="1" l="1"/>
  <c r="J51" i="1"/>
  <c r="J52" i="1" s="1"/>
  <c r="M45" i="6"/>
  <c r="N45" i="6"/>
  <c r="M14" i="6"/>
  <c r="M16" i="6"/>
  <c r="M12" i="6"/>
  <c r="M25" i="6"/>
  <c r="M41" i="6"/>
  <c r="M43" i="6"/>
  <c r="M29" i="6"/>
  <c r="M15" i="6"/>
  <c r="M13" i="6"/>
  <c r="M18" i="6"/>
  <c r="M19" i="6"/>
  <c r="M21" i="6"/>
  <c r="M24" i="6"/>
  <c r="M27" i="6"/>
  <c r="M40" i="6"/>
  <c r="M42" i="6"/>
  <c r="M46" i="6"/>
  <c r="M17" i="6"/>
  <c r="M20" i="6"/>
  <c r="M23" i="6"/>
  <c r="M39" i="6"/>
  <c r="M26" i="6"/>
  <c r="M22" i="6"/>
  <c r="M10" i="6"/>
  <c r="M28" i="6"/>
  <c r="M11" i="6"/>
  <c r="M9" i="6"/>
  <c r="M50" i="6"/>
  <c r="M8" i="6"/>
  <c r="M36" i="6"/>
  <c r="D17" i="7"/>
  <c r="E17" i="7" s="1"/>
  <c r="G17" i="7"/>
  <c r="H16" i="7"/>
  <c r="I16" i="7" s="1"/>
  <c r="I15" i="7"/>
  <c r="O28" i="7"/>
  <c r="O29" i="7" s="1"/>
  <c r="O33" i="7" s="1"/>
  <c r="J27" i="7"/>
  <c r="U27" i="7"/>
  <c r="W27" i="7" s="1"/>
  <c r="W28" i="7" s="1"/>
  <c r="W33" i="7" s="1"/>
  <c r="R27" i="7"/>
  <c r="F44" i="7"/>
  <c r="D46" i="7"/>
  <c r="D44" i="7" s="1"/>
  <c r="D43" i="7"/>
  <c r="D41" i="7" s="1"/>
  <c r="F41" i="7"/>
  <c r="H14" i="7" l="1"/>
  <c r="I14" i="7" s="1"/>
  <c r="F15" i="7"/>
  <c r="D15" i="7"/>
  <c r="F16" i="7"/>
  <c r="G16" i="7" s="1"/>
  <c r="G15" i="7"/>
  <c r="J66" i="7"/>
  <c r="S31" i="7"/>
  <c r="S34" i="7" s="1"/>
  <c r="K28" i="7"/>
  <c r="K29" i="7" s="1"/>
  <c r="F14" i="7" l="1"/>
  <c r="G14" i="7" s="1"/>
  <c r="D16" i="7"/>
  <c r="E16" i="7" s="1"/>
  <c r="E15" i="7"/>
  <c r="C15" i="7"/>
  <c r="C16" i="7" l="1"/>
  <c r="C14" i="7" s="1"/>
  <c r="C19" i="7" s="1"/>
  <c r="D14" i="7"/>
  <c r="E14" i="7" l="1"/>
  <c r="J19" i="7"/>
  <c r="H19" i="7"/>
  <c r="F19" i="7"/>
  <c r="D19" i="7"/>
  <c r="E19" i="7" s="1"/>
  <c r="G19" i="7" l="1"/>
  <c r="F20" i="7"/>
  <c r="K19" i="7"/>
  <c r="J20" i="7"/>
  <c r="K20" i="7" s="1"/>
  <c r="I19" i="7"/>
  <c r="H20" i="7"/>
  <c r="D20" i="7"/>
  <c r="E20" i="7" s="1"/>
  <c r="H25" i="7" l="1"/>
  <c r="I25" i="7" s="1"/>
  <c r="I20" i="7"/>
  <c r="F25" i="7"/>
  <c r="F26" i="7" s="1"/>
  <c r="G20" i="7"/>
  <c r="F27" i="7" l="1"/>
  <c r="G26" i="7"/>
  <c r="G25" i="7"/>
  <c r="D25" i="7"/>
  <c r="H26" i="7"/>
  <c r="D26" i="7" s="1"/>
  <c r="E26" i="7" l="1"/>
  <c r="C26" i="7"/>
  <c r="H27" i="7"/>
  <c r="I26" i="7"/>
  <c r="E25" i="7"/>
  <c r="C25" i="7"/>
  <c r="G28" i="7"/>
  <c r="G29" i="7" s="1"/>
  <c r="F33" i="7"/>
  <c r="D27" i="7"/>
  <c r="C27" i="7" l="1"/>
  <c r="D66" i="7"/>
  <c r="E28" i="7"/>
  <c r="G33" i="7"/>
  <c r="S26" i="7"/>
  <c r="S23" i="7"/>
  <c r="S32" i="7"/>
  <c r="S22" i="7"/>
  <c r="H33" i="7"/>
  <c r="I33" i="7" s="1"/>
  <c r="I28" i="7"/>
  <c r="I29" i="7" s="1"/>
  <c r="D33" i="7" l="1"/>
  <c r="E33" i="7" s="1"/>
  <c r="O35" i="7" l="1"/>
  <c r="Q35" i="7"/>
  <c r="M35" i="7" l="1"/>
  <c r="E14" i="1" l="1"/>
  <c r="K14" i="1" s="1"/>
  <c r="I16" i="1"/>
  <c r="K16" i="1" s="1"/>
  <c r="F14" i="1" l="1"/>
  <c r="J16" i="1"/>
</calcChain>
</file>

<file path=xl/comments1.xml><?xml version="1.0" encoding="utf-8"?>
<comments xmlns="http://schemas.openxmlformats.org/spreadsheetml/2006/main">
  <authors>
    <author>Автор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поменяла формулу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поменяла формулу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поменяла формулу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поменяла формулу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изменила примечание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формула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ПОМЕНЯЛА ФОРМУЛУ</t>
        </r>
      </text>
    </comment>
  </commentList>
</comments>
</file>

<file path=xl/sharedStrings.xml><?xml version="1.0" encoding="utf-8"?>
<sst xmlns="http://schemas.openxmlformats.org/spreadsheetml/2006/main" count="826" uniqueCount="320">
  <si>
    <t>Додаток 3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</si>
  <si>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транспортування</t>
    </r>
    <r>
      <rPr>
        <b/>
        <sz val="14"/>
        <rFont val="Times New Roman"/>
        <family val="1"/>
        <charset val="204"/>
      </rPr>
      <t xml:space="preserve"> теплової енергії</t>
    </r>
  </si>
  <si>
    <t>акціонерного товариства «Сумське машинобудівне науково-виробниче об'єднання»</t>
  </si>
  <si>
    <t xml:space="preserve">без ПДВ </t>
  </si>
  <si>
    <t xml:space="preserve">№ з/п </t>
  </si>
  <si>
    <t xml:space="preserve">Найменування показників </t>
  </si>
  <si>
    <t>Для потреб населення</t>
  </si>
  <si>
    <t>Для потреб бюджетних  установ</t>
  </si>
  <si>
    <t xml:space="preserve">Для потреб інших споживачів </t>
  </si>
  <si>
    <t>Для потреб релігійних             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</si>
  <si>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</si>
  <si>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</si>
  <si>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</si>
  <si>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</si>
  <si>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</si>
  <si>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</si>
  <si>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витрати на електроенергію, у т. ч.:</t>
  </si>
  <si>
    <t>1.1.2</t>
  </si>
  <si>
    <t xml:space="preserve">транспортування теплової енергії тепловими мережами інших підприємств </t>
  </si>
  <si>
    <t>1.1.3</t>
  </si>
  <si>
    <t xml:space="preserve">вода для технологічних потреб та водовідведення </t>
  </si>
  <si>
    <t>1.1.4</t>
  </si>
  <si>
    <t xml:space="preserve">матеріали, запасні частини та інші матеріальні ресурси </t>
  </si>
  <si>
    <t>1.2</t>
  </si>
  <si>
    <t>прямі витрати на оплату праці</t>
  </si>
  <si>
    <t>1.3</t>
  </si>
  <si>
    <t xml:space="preserve">інші прямі витрати, у т. ч.: </t>
  </si>
  <si>
    <t>1.3.1</t>
  </si>
  <si>
    <t xml:space="preserve">відрахування на соціальні заходи 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</si>
  <si>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</si>
  <si>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</si>
  <si>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</si>
  <si>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</si>
  <si>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</si>
  <si>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</si>
  <si>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</si>
  <si>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</t>
  </si>
  <si>
    <t>1.4.2</t>
  </si>
  <si>
    <t>1.4.3</t>
  </si>
  <si>
    <t xml:space="preserve">інші витрати </t>
  </si>
  <si>
    <t xml:space="preserve">Адміністративні витрати, у т. ч.: </t>
  </si>
  <si>
    <t>2.1</t>
  </si>
  <si>
    <t>витрати на оплату праці</t>
  </si>
  <si>
    <t>2.2</t>
  </si>
  <si>
    <t>2.3</t>
  </si>
  <si>
    <t>3</t>
  </si>
  <si>
    <t>Витрати на збут, зокрема:</t>
  </si>
  <si>
    <t>3.1</t>
  </si>
  <si>
    <t>3.2</t>
  </si>
  <si>
    <t>3.3</t>
  </si>
  <si>
    <t>4</t>
  </si>
  <si>
    <t>Інші операційні витрати</t>
  </si>
  <si>
    <t>5</t>
  </si>
  <si>
    <t xml:space="preserve">Фінансові витрати </t>
  </si>
  <si>
    <t>6</t>
  </si>
  <si>
    <t xml:space="preserve">Повна собівартість </t>
  </si>
  <si>
    <t>7</t>
  </si>
  <si>
    <t>Витрати на відшкодування втрат</t>
  </si>
  <si>
    <t>8</t>
  </si>
  <si>
    <t xml:space="preserve">Розрахунковий прибуток,  у т. ч.: </t>
  </si>
  <si>
    <t>8.1</t>
  </si>
  <si>
    <t xml:space="preserve">податок на прибуток </t>
  </si>
  <si>
    <t>8.2</t>
  </si>
  <si>
    <t>дивіденди</t>
  </si>
  <si>
    <t>8.3</t>
  </si>
  <si>
    <t>резервний фонд (капітал)</t>
  </si>
  <si>
    <t>8.4</t>
  </si>
  <si>
    <t xml:space="preserve">на розвиток виробництва (виробничі інвестиції) </t>
  </si>
  <si>
    <t>8.5</t>
  </si>
  <si>
    <t xml:space="preserve">інше використання прибутку </t>
  </si>
  <si>
    <t>9</t>
  </si>
  <si>
    <t>Вартість транспортування теплової енергії за відповідним тарифом</t>
  </si>
  <si>
    <t>10</t>
  </si>
  <si>
    <t xml:space="preserve">Середньозважений тариф на транспортування теплової енергії, грн/Гкал </t>
  </si>
  <si>
    <t>11</t>
  </si>
  <si>
    <t>Обсяг надходження теплової енергії до мережі ліцензіата, у т.ч.: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</si>
  <si>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</si>
  <si>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</si>
  <si>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</si>
  <si>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</si>
  <si>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</si>
  <si>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всього, у т.ч.:</t>
  </si>
  <si>
    <t>12.1</t>
  </si>
  <si>
    <t>12.2</t>
  </si>
  <si>
    <t>теплової енергії інших власників</t>
  </si>
  <si>
    <t xml:space="preserve">Корисний відпуск теплової енергії з мереж ліцензіата, Гкал,  у т. ч.: </t>
  </si>
  <si>
    <t>13.1</t>
  </si>
  <si>
    <t>господарські потреби ліцензованої діяльності</t>
  </si>
  <si>
    <t>13.2</t>
  </si>
  <si>
    <t>корисний відпуск теплової енергії інших власників</t>
  </si>
  <si>
    <t>13.3</t>
  </si>
  <si>
    <t>Корисний відпуск теплової енергії власним споживачам , зокрема на потреби:</t>
  </si>
  <si>
    <t>13.3.1</t>
  </si>
  <si>
    <t>населення</t>
  </si>
  <si>
    <t>13.3.2</t>
  </si>
  <si>
    <t>релігійні організації</t>
  </si>
  <si>
    <t>13.3.3</t>
  </si>
  <si>
    <t>бюджетних установ та організацій</t>
  </si>
  <si>
    <t>13.3.4</t>
  </si>
  <si>
    <t>інших споживачів</t>
  </si>
  <si>
    <t>13</t>
  </si>
  <si>
    <t>Обсяг транспортування теплової енергії ліцензіата мережами іншого(их) транспортувальника(ів)</t>
  </si>
  <si>
    <t xml:space="preserve">Тариф(и) іншого(их) транспортувальника(ів)на транспортування теплової енергії </t>
  </si>
  <si>
    <t>Директор Дирекції КППВ АТ "Сумське НВО"</t>
  </si>
  <si>
    <t>М.В. Жовтобрюх</t>
  </si>
  <si>
    <t>Додаток 4</t>
  </si>
  <si>
    <t xml:space="preserve"> акціонерного товариства «Сумське машинобудівне науково-виробниче об'єднання»</t>
  </si>
  <si>
    <t xml:space="preserve">Без ПДВ </t>
  </si>
  <si>
    <t>Для  потреб бюджетних установ</t>
  </si>
  <si>
    <t>прямі матеріальні витрати</t>
  </si>
  <si>
    <t xml:space="preserve">прямі витрати на оплату праці </t>
  </si>
  <si>
    <t xml:space="preserve">відрахуваннями на соціальні заходи </t>
  </si>
  <si>
    <t>відрахування на соціальні заходи</t>
  </si>
  <si>
    <t>інші витрати</t>
  </si>
  <si>
    <t xml:space="preserve">Інші операційні витрати </t>
  </si>
  <si>
    <t>Витрати на покриття втрат</t>
  </si>
  <si>
    <t xml:space="preserve">Розрахунковий прибуток, у т. ч.: </t>
  </si>
  <si>
    <t xml:space="preserve">резервний фонд (капітал) та дивіденди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</si>
  <si>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</si>
  <si>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</si>
  <si>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</si>
  <si>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Рівень рентабельності, %</t>
  </si>
  <si>
    <t>Директор ДКППВ АТ "Сумське НВО"</t>
  </si>
  <si>
    <r>
      <t>Структура тарифів на</t>
    </r>
    <r>
      <rPr>
        <b/>
        <sz val="12"/>
        <color rgb="FFC00000"/>
        <rFont val="Times New Roman"/>
        <family val="1"/>
        <charset val="204"/>
      </rPr>
      <t xml:space="preserve"> постачання</t>
    </r>
    <r>
      <rPr>
        <b/>
        <sz val="12"/>
        <rFont val="Times New Roman"/>
        <family val="1"/>
        <charset val="204"/>
      </rPr>
      <t xml:space="preserve"> теплової енергії</t>
    </r>
  </si>
  <si>
    <t>Додаток 2</t>
  </si>
  <si>
    <r>
      <t xml:space="preserve">Структура тарифів на </t>
    </r>
    <r>
      <rPr>
        <b/>
        <sz val="14"/>
        <color rgb="FFC00000"/>
        <rFont val="Times New Roman"/>
        <family val="1"/>
        <charset val="204"/>
      </rPr>
      <t>виробництво</t>
    </r>
    <r>
      <rPr>
        <b/>
        <sz val="14"/>
        <rFont val="Times New Roman"/>
        <family val="1"/>
        <charset val="204"/>
      </rPr>
      <t xml:space="preserve"> теплової енергії</t>
    </r>
  </si>
  <si>
    <t>без ПДВ</t>
  </si>
  <si>
    <t>Для потреб бюджетних установ</t>
  </si>
  <si>
    <t>Для потреб релігійних                     організацій</t>
  </si>
  <si>
    <t>витрати на паливо для виробництва теплової енергії котельнями</t>
  </si>
  <si>
    <t>витрати на електроенергію</t>
  </si>
  <si>
    <t xml:space="preserve">собівартість теплової енергії власних  КГУ
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</si>
  <si>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</si>
  <si>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</si>
  <si>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</t>
  </si>
  <si>
    <t>1.1.4.1</t>
  </si>
  <si>
    <t>витрати на паливо у витратах на покупну теплову енергію</t>
  </si>
  <si>
    <t>1.1.5</t>
  </si>
  <si>
    <t>1.1.6</t>
  </si>
  <si>
    <t xml:space="preserve"> відрахування  на соціальні заходи</t>
  </si>
  <si>
    <t>2</t>
  </si>
  <si>
    <t>Повна собівартість</t>
  </si>
  <si>
    <t xml:space="preserve">резервний фонд (капітал) </t>
  </si>
  <si>
    <t>інше використання прибутку (обігові кошти)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</si>
  <si>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</si>
  <si>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</si>
  <si>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10.1</t>
  </si>
  <si>
    <t>Паливна складова</t>
  </si>
  <si>
    <t>10.2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</si>
  <si>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</si>
  <si>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</si>
  <si>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</si>
  <si>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Відпуск теплової енергії з колекторів власних котелень</t>
  </si>
  <si>
    <t>Додаток 1</t>
  </si>
  <si>
    <t>Структура тарифа на теплову енергію</t>
  </si>
  <si>
    <t>АТ "Сумське НВО" Дирекція  "Котельня Північного промислового вузла"</t>
  </si>
  <si>
    <t>(найменування ліцензіата)</t>
  </si>
  <si>
    <t>№ з/п</t>
  </si>
  <si>
    <t>Показники</t>
  </si>
  <si>
    <t>Для  потреб інших споживачів</t>
  </si>
  <si>
    <t>Для  потреб релігії</t>
  </si>
  <si>
    <t>Всього, тис.грн.</t>
  </si>
  <si>
    <t>тис.грн.</t>
  </si>
  <si>
    <t>Виробнича собівартість, у  т.ч.:</t>
  </si>
  <si>
    <t>прямі матеріальні витрати, у т.ч.:</t>
  </si>
  <si>
    <t>витрати на паливо</t>
  </si>
  <si>
    <t xml:space="preserve">витрати на покупну теплову енергію   </t>
  </si>
  <si>
    <t>собівартість теплової енергії власних  КГУ</t>
  </si>
  <si>
    <t>транспортування теплової енергії</t>
  </si>
  <si>
    <t>вода для технологічних потреб та водовідведення</t>
  </si>
  <si>
    <t>1.1.7</t>
  </si>
  <si>
    <t>матеріали, запасні  частини та інші матеріальні ресурси</t>
  </si>
  <si>
    <t>інші прямі витрати, у т.ч.:</t>
  </si>
  <si>
    <t xml:space="preserve"> амортизаційні відрахування</t>
  </si>
  <si>
    <t xml:space="preserve"> інші прямі витрати</t>
  </si>
  <si>
    <t>загальновиробничі витрати, у т.ч.:</t>
  </si>
  <si>
    <t>відрахування  на соціальні заходи</t>
  </si>
  <si>
    <t>Адміністративні витрати, у т.ч.:</t>
  </si>
  <si>
    <t>Інші операційні витрати**</t>
  </si>
  <si>
    <t>Фінансові витрати</t>
  </si>
  <si>
    <t>Повна собівартість*</t>
  </si>
  <si>
    <t>Розрахунковий прибуток, усього *, у т.ч.:</t>
  </si>
  <si>
    <t>податок на прибуток</t>
  </si>
  <si>
    <t>на розвиток виробництва (виробничі інвестиції)</t>
  </si>
  <si>
    <t>Вартість виробництва теплової енергії за відповідними тарифами</t>
  </si>
  <si>
    <t>Середні тарифи на теплову енергію, грн/ГкалТарифи на виробництво теплової енергії</t>
  </si>
  <si>
    <t>Обсяг реалізації  теплової енергії власним споживачам, Гкал</t>
  </si>
  <si>
    <t>Додаток 11</t>
  </si>
  <si>
    <t>до Порядку розгляду органами місцевого самоврядування розрахунків тарифів на теплову енергію, її виробництво, транспортування та постачання, а також  розрахунків тарифів на комунальні послуги, поданих для їх встановлення (підпункт 1 пункту 4 розділу II)</t>
  </si>
  <si>
    <t>Розрахунок одноставкових тарифів на послуги з  постачання гарячої води, що надаються споживачам</t>
  </si>
  <si>
    <t>(найменування виконавця послуг)</t>
  </si>
  <si>
    <t>Назва показника</t>
  </si>
  <si>
    <t>Усього на послуги</t>
  </si>
  <si>
    <t>послуга з постачання теплової енергії</t>
  </si>
  <si>
    <t>послуга з  постачання гарячої води</t>
  </si>
  <si>
    <t>усього</t>
  </si>
  <si>
    <t>з будинковими приладами обліку еплової енергії</t>
  </si>
  <si>
    <t>без будинкових приладів обліку теплової енергії</t>
  </si>
  <si>
    <t xml:space="preserve">усьoго </t>
  </si>
  <si>
    <t>бюджет</t>
  </si>
  <si>
    <t>інші</t>
  </si>
  <si>
    <t>тис. грн.</t>
  </si>
  <si>
    <t>грн/кв.м. на рік</t>
  </si>
  <si>
    <t>грн/куб.м.</t>
  </si>
  <si>
    <t>1</t>
  </si>
  <si>
    <t>Собівартості власної теплової енергії, врахована у встановлених тарифах на теплову енергію для потреб споживачів</t>
  </si>
  <si>
    <t>Витрати на утримання абонентської служби, зокрема:</t>
  </si>
  <si>
    <t xml:space="preserve"> 2.1</t>
  </si>
  <si>
    <t xml:space="preserve"> 2.2</t>
  </si>
  <si>
    <t xml:space="preserve">внески на соціальні заходи </t>
  </si>
  <si>
    <t xml:space="preserve"> 2.3</t>
  </si>
  <si>
    <t>інші витрати абонентської служби</t>
  </si>
  <si>
    <t>Витрати на придбання води для надання послуги з постачання гарячої води</t>
  </si>
  <si>
    <t>Х</t>
  </si>
  <si>
    <t>Решта витрат, крім послуг банку та інших установ із приймання і перерахування коштів споживачів</t>
  </si>
  <si>
    <t>ОПР+админ</t>
  </si>
  <si>
    <t>Собівартість послуг без урахування послуг банку та інших установ із приймання і перерахування коштів споживачів</t>
  </si>
  <si>
    <t>Розрахунковий прибуток, усього, у тому числі:</t>
  </si>
  <si>
    <t>6.1</t>
  </si>
  <si>
    <t>прибуток у тарифі на теплову енергію для потреб відповідної категорії споживачів</t>
  </si>
  <si>
    <t>6.2</t>
  </si>
  <si>
    <t xml:space="preserve">7 </t>
  </si>
  <si>
    <t>Послуги банку та інших установ із приймання і перерахування коштів споживачів</t>
  </si>
  <si>
    <t>Повна планова собівартість послуг з урахуванням послуг банку та інших установ із приймання і перерахування коштів споживачів</t>
  </si>
  <si>
    <t>Вартість послуги</t>
  </si>
  <si>
    <t>Плановані тарифи на послуги з постачання гарячої води</t>
  </si>
  <si>
    <t>Плановані тарифи на послуги з ПДВ, усього, зокрема:</t>
  </si>
  <si>
    <t>Витрати на проведення періодичної повірки, обслуговування і ремонту квартирних засобів обліку, в тому числі їх демотажу, транспортування та монтажу після повірки (розшиврувати)</t>
  </si>
  <si>
    <t>місячна плата протягом міжповірочного інтервалу з проведення періодичної повірки, обслуговування і ремонту квартирного засобу обліку, в тому числі його демонтажу, транспортування та монтажу після повірки, за один квартирний засіб обліку</t>
  </si>
  <si>
    <t xml:space="preserve"> 11.1</t>
  </si>
  <si>
    <t>паливна складова з ПДВ</t>
  </si>
  <si>
    <t xml:space="preserve"> 11.2</t>
  </si>
  <si>
    <t>решта витрат, крім паливної сладової, з ПДВ</t>
  </si>
  <si>
    <t>Обсяг теплової енергії врахований у розрахунку собівартості, Гкал</t>
  </si>
  <si>
    <t>Тариф на теплову енергію для потреб споживачів без ПДВ, грн/Гкал, у тому числі:</t>
  </si>
  <si>
    <t>14.1</t>
  </si>
  <si>
    <t>повна планова собівартість теплової енергії для потреб споживачів, грн/Гкал</t>
  </si>
  <si>
    <t>14.2</t>
  </si>
  <si>
    <t>прибуток у тарифі на теплову енергію для потреб населення, грн/Гкал</t>
  </si>
  <si>
    <t>15</t>
  </si>
  <si>
    <t>Загальна опалювальна площа квартир, тис. кв. м.</t>
  </si>
  <si>
    <t>Обсяг споживання гарячої води відповідною категорією споживачів, тис. куб. м.</t>
  </si>
  <si>
    <t>14</t>
  </si>
  <si>
    <t xml:space="preserve">Кількість абонентів, яким надаються послуги послуг </t>
  </si>
  <si>
    <t>Середньорічна кількість штатних працівників, задіяних у наданні послуги, зокрема:</t>
  </si>
  <si>
    <t>15.1</t>
  </si>
  <si>
    <t>абонентська служба</t>
  </si>
  <si>
    <t>15.2</t>
  </si>
  <si>
    <t>решта працівників, задіяних у наданні послуг</t>
  </si>
  <si>
    <t>16</t>
  </si>
  <si>
    <t>Середньорічна кількість позаштатних працівників за договором, задіяних у наданні послуг,  у тому числі:</t>
  </si>
  <si>
    <t>вед.жилье</t>
  </si>
  <si>
    <t>население</t>
  </si>
  <si>
    <t>16.1</t>
  </si>
  <si>
    <t>абонентської служби</t>
  </si>
  <si>
    <t>16.2</t>
  </si>
  <si>
    <t>решта, задіяних у наданні послуг</t>
  </si>
  <si>
    <t>17</t>
  </si>
  <si>
    <t>Середньомісячна заробітна плата, грн</t>
  </si>
  <si>
    <t>18</t>
  </si>
  <si>
    <t>Обсяг холодної води для підігріву, тис.куб. м.</t>
  </si>
  <si>
    <t>19</t>
  </si>
  <si>
    <t>Вартість 1 куб. м. холодної води без ПДВ, грн</t>
  </si>
  <si>
    <t>20</t>
  </si>
  <si>
    <t>Відсоток послуг банка, %</t>
  </si>
  <si>
    <t>21</t>
  </si>
  <si>
    <t>Питомі норми, враховані у планованих тарифах на послуги з централізованого опалення та централізованого постачання гарячої води, Гкал/кв.м. на рік, Гкал/куб.м</t>
  </si>
  <si>
    <t>25</t>
  </si>
  <si>
    <t>Тривалість опалювального періоду, діб</t>
  </si>
  <si>
    <t>Середня температура зовнішнього повітря опалювального періоду, град. С</t>
  </si>
  <si>
    <t>Кількість квартирних засобів обліку</t>
  </si>
  <si>
    <t>М.В.Жовтобрюх</t>
  </si>
  <si>
    <t>(підпис)</t>
  </si>
  <si>
    <t>(П.І.Б)</t>
  </si>
  <si>
    <t>Питома вага, %</t>
  </si>
  <si>
    <t>энергоресурсы</t>
  </si>
  <si>
    <t>транспортировка</t>
  </si>
  <si>
    <t>материалы</t>
  </si>
  <si>
    <t>ел</t>
  </si>
  <si>
    <t>собівартість теплової енергії власних ТЕЦ, ТЕС, АЕС, когенераційних установок</t>
  </si>
  <si>
    <t>мат</t>
  </si>
  <si>
    <t>зарплата</t>
  </si>
  <si>
    <t>амортизация</t>
  </si>
  <si>
    <t>тоир</t>
  </si>
  <si>
    <t>іп</t>
  </si>
  <si>
    <t>7.1</t>
  </si>
  <si>
    <t>7.2</t>
  </si>
  <si>
    <t>7.3</t>
  </si>
  <si>
    <t>7.4</t>
  </si>
  <si>
    <t>прибуток</t>
  </si>
  <si>
    <t>ФОТ С ОТЧИСЛЕНИЯМИ</t>
  </si>
  <si>
    <t>была в 2013 года</t>
  </si>
  <si>
    <t>ФОТ ПОСЛУГА+ВНЕШТАТНИКИ</t>
  </si>
  <si>
    <t>всего</t>
  </si>
  <si>
    <t>Додаток 5</t>
  </si>
  <si>
    <t>Структура  тарифів на послугу з постачання гарячої води, що надається споживачам акціонерним товариством "Сумське машинобудівне науково-виробниче об'єднання"</t>
  </si>
  <si>
    <t>Послуга з постачання теплової енергії</t>
  </si>
  <si>
    <t>Послуга з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</si>
  <si>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</si>
  <si>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</si>
  <si>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</si>
  <si>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</si>
  <si>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Собівартість власної теплової енергії, врахована у встановлених тарифах на теплову енергію для потреб відповідної групи споживачів</t>
  </si>
  <si>
    <t>зокрема паливна складова</t>
  </si>
  <si>
    <t>внески на соціальні заходи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</si>
  <si>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</si>
  <si>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</si>
  <si>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холодної води для надання послуги з  постачання гарячої води</t>
  </si>
  <si>
    <t>Розрахунковий прибуток, усього, зокрема:</t>
  </si>
  <si>
    <t>Повна планова собівартість послуг з урахуванням послуг банку</t>
  </si>
  <si>
    <t xml:space="preserve"> 9.1</t>
  </si>
  <si>
    <t>чистий прибуток</t>
  </si>
  <si>
    <t xml:space="preserve"> 9.2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</si>
  <si>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</si>
  <si>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</si>
  <si>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</si>
  <si>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rFont val="Arial Cyr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</si>
  <si>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</si>
  <si>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</si>
  <si>
    <t>Перерахунок вартості електроенергії згідно постанови 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</si>
</sst>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-* #,##0.000_р_._-;\-* #,##0.000_р_._-;_-* &quot;-&quot;??_р_._-;_-@_-"/>
    <numFmt numFmtId="168" formatCode="_-* #,##0.00000\ _₽_-;\-* #,##0.00000\ _₽_-;_-* &quot;-&quot;??\ _₽_-;_-@_-"/>
    <numFmt numFmtId="169" formatCode="#,##0.000"/>
    <numFmt numFmtId="170" formatCode="0.00000000"/>
    <numFmt numFmtId="171" formatCode="0.00000"/>
    <numFmt numFmtId="172" formatCode="#,##0.0000"/>
    <numFmt numFmtId="173" formatCode="0.0%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292B2C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</cellStyleXfs>
  <cellXfs count="538">
    <xf numFmtId="0" fontId="0" fillId="0" borderId="0" xfId="0"/>
    <xf numFmtId="0" fontId="3" fillId="0" borderId="0" xfId="3" applyFont="1" applyFill="1" applyAlignment="1">
      <alignment horizontal="right" vertical="center" wrapText="1"/>
    </xf>
    <xf numFmtId="0" fontId="4" fillId="0" borderId="0" xfId="3" applyFont="1" applyFill="1" applyAlignment="1">
      <alignment wrapText="1"/>
    </xf>
    <xf numFmtId="0" fontId="5" fillId="0" borderId="0" xfId="3" applyFont="1" applyFill="1" applyAlignment="1"/>
    <xf numFmtId="0" fontId="4" fillId="0" borderId="0" xfId="3" applyFont="1" applyFill="1"/>
    <xf numFmtId="0" fontId="6" fillId="0" borderId="0" xfId="3" applyFont="1" applyFill="1" applyBorder="1" applyAlignment="1"/>
    <xf numFmtId="0" fontId="2" fillId="0" borderId="0" xfId="3" applyFont="1" applyFill="1" applyAlignment="1">
      <alignment horizontal="right"/>
    </xf>
    <xf numFmtId="2" fontId="9" fillId="0" borderId="0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wrapText="1"/>
    </xf>
    <xf numFmtId="0" fontId="11" fillId="0" borderId="2" xfId="3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 wrapText="1"/>
    </xf>
    <xf numFmtId="0" fontId="10" fillId="0" borderId="2" xfId="3" applyFont="1" applyFill="1" applyBorder="1" applyAlignment="1">
      <alignment wrapText="1"/>
    </xf>
    <xf numFmtId="165" fontId="10" fillId="0" borderId="2" xfId="4" applyFont="1" applyFill="1" applyBorder="1" applyAlignment="1">
      <alignment horizontal="center" wrapText="1"/>
    </xf>
    <xf numFmtId="2" fontId="10" fillId="0" borderId="2" xfId="3" applyNumberFormat="1" applyFont="1" applyFill="1" applyBorder="1" applyAlignment="1">
      <alignment horizontal="center" wrapText="1"/>
    </xf>
    <xf numFmtId="49" fontId="10" fillId="0" borderId="2" xfId="3" applyNumberFormat="1" applyFont="1" applyFill="1" applyBorder="1" applyAlignment="1">
      <alignment horizontal="center" wrapText="1"/>
    </xf>
    <xf numFmtId="49" fontId="5" fillId="0" borderId="2" xfId="3" applyNumberFormat="1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vertical="top" wrapText="1"/>
    </xf>
    <xf numFmtId="165" fontId="5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2" fontId="13" fillId="0" borderId="2" xfId="3" applyNumberFormat="1" applyFont="1" applyFill="1" applyBorder="1" applyAlignment="1">
      <alignment horizontal="center" vertical="top" wrapText="1"/>
    </xf>
    <xf numFmtId="165" fontId="4" fillId="0" borderId="2" xfId="4" applyFont="1" applyFill="1" applyBorder="1" applyAlignment="1">
      <alignment horizontal="center" vertical="top"/>
    </xf>
    <xf numFmtId="2" fontId="5" fillId="0" borderId="2" xfId="3" applyNumberFormat="1" applyFont="1" applyFill="1" applyBorder="1" applyAlignment="1">
      <alignment horizontal="center" vertical="top" wrapText="1"/>
    </xf>
    <xf numFmtId="4" fontId="5" fillId="0" borderId="2" xfId="3" applyNumberFormat="1" applyFont="1" applyFill="1" applyBorder="1" applyAlignment="1">
      <alignment horizontal="center" vertical="top" wrapText="1"/>
    </xf>
    <xf numFmtId="165" fontId="13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wrapText="1"/>
    </xf>
    <xf numFmtId="4" fontId="5" fillId="0" borderId="2" xfId="3" applyNumberFormat="1" applyFont="1" applyFill="1" applyBorder="1" applyAlignment="1">
      <alignment horizontal="center" wrapText="1"/>
    </xf>
    <xf numFmtId="2" fontId="13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center" vertical="top" wrapText="1"/>
    </xf>
    <xf numFmtId="0" fontId="10" fillId="0" borderId="2" xfId="3" applyFont="1" applyFill="1" applyBorder="1" applyAlignment="1">
      <alignment vertical="top" wrapText="1"/>
    </xf>
    <xf numFmtId="2" fontId="14" fillId="0" borderId="2" xfId="3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wrapText="1"/>
    </xf>
    <xf numFmtId="164" fontId="10" fillId="0" borderId="2" xfId="3" applyNumberFormat="1" applyFont="1" applyFill="1" applyBorder="1" applyAlignment="1">
      <alignment horizontal="center" wrapText="1"/>
    </xf>
    <xf numFmtId="2" fontId="10" fillId="0" borderId="2" xfId="3" applyNumberFormat="1" applyFont="1" applyFill="1" applyBorder="1" applyAlignment="1">
      <alignment horizontal="center" vertical="center" wrapText="1"/>
    </xf>
    <xf numFmtId="165" fontId="10" fillId="0" borderId="2" xfId="4" applyFont="1" applyFill="1" applyBorder="1" applyAlignment="1">
      <alignment horizontal="center"/>
    </xf>
    <xf numFmtId="1" fontId="10" fillId="0" borderId="2" xfId="3" applyNumberFormat="1" applyFont="1" applyFill="1" applyBorder="1" applyAlignment="1">
      <alignment horizontal="center" wrapText="1"/>
    </xf>
    <xf numFmtId="165" fontId="15" fillId="0" borderId="2" xfId="4" applyFont="1" applyFill="1" applyBorder="1" applyAlignment="1">
      <alignment horizontal="center" vertical="top"/>
    </xf>
    <xf numFmtId="0" fontId="16" fillId="0" borderId="2" xfId="5" applyNumberFormat="1" applyFont="1" applyFill="1" applyBorder="1" applyAlignment="1" applyProtection="1">
      <alignment vertical="center" wrapText="1"/>
    </xf>
    <xf numFmtId="49" fontId="16" fillId="0" borderId="2" xfId="5" applyNumberFormat="1" applyFont="1" applyFill="1" applyBorder="1" applyAlignment="1" applyProtection="1">
      <alignment horizontal="center" vertical="center" wrapText="1"/>
    </xf>
    <xf numFmtId="0" fontId="16" fillId="0" borderId="2" xfId="5" applyFont="1" applyFill="1" applyBorder="1" applyAlignment="1" applyProtection="1">
      <alignment vertical="center" wrapText="1"/>
    </xf>
    <xf numFmtId="165" fontId="5" fillId="0" borderId="2" xfId="4" applyFont="1" applyFill="1" applyBorder="1" applyAlignment="1">
      <alignment horizont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165" fontId="10" fillId="0" borderId="2" xfId="4" applyFont="1" applyFill="1" applyBorder="1" applyAlignment="1">
      <alignment vertical="center" wrapText="1"/>
    </xf>
    <xf numFmtId="165" fontId="17" fillId="0" borderId="2" xfId="4" applyFont="1" applyFill="1" applyBorder="1" applyAlignment="1">
      <alignment horizontal="center" vertical="center"/>
    </xf>
    <xf numFmtId="165" fontId="10" fillId="0" borderId="2" xfId="4" applyFont="1" applyFill="1" applyBorder="1" applyAlignment="1">
      <alignment wrapText="1"/>
    </xf>
    <xf numFmtId="165" fontId="17" fillId="0" borderId="2" xfId="4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10" fillId="0" borderId="2" xfId="3" applyFont="1" applyFill="1" applyBorder="1"/>
    <xf numFmtId="165" fontId="10" fillId="0" borderId="2" xfId="3" applyNumberFormat="1" applyFont="1" applyFill="1" applyBorder="1" applyAlignment="1">
      <alignment horizontal="center" vertical="center"/>
    </xf>
    <xf numFmtId="2" fontId="10" fillId="0" borderId="2" xfId="3" applyNumberFormat="1" applyFont="1" applyFill="1" applyBorder="1" applyAlignment="1">
      <alignment horizontal="center" vertical="center"/>
    </xf>
    <xf numFmtId="166" fontId="10" fillId="0" borderId="2" xfId="4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8" fillId="0" borderId="0" xfId="5" applyFont="1" applyFill="1" applyBorder="1" applyAlignment="1" applyProtection="1">
      <alignment vertical="center" wrapText="1"/>
    </xf>
    <xf numFmtId="0" fontId="10" fillId="0" borderId="3" xfId="3" applyFont="1" applyFill="1" applyBorder="1"/>
    <xf numFmtId="165" fontId="10" fillId="0" borderId="0" xfId="3" applyNumberFormat="1" applyFont="1" applyFill="1" applyBorder="1" applyAlignment="1">
      <alignment horizontal="center" vertical="center"/>
    </xf>
    <xf numFmtId="2" fontId="10" fillId="0" borderId="0" xfId="3" applyNumberFormat="1" applyFont="1" applyFill="1" applyBorder="1" applyAlignment="1">
      <alignment horizontal="center" vertical="center"/>
    </xf>
    <xf numFmtId="2" fontId="13" fillId="0" borderId="0" xfId="3" applyNumberFormat="1" applyFont="1" applyFill="1" applyBorder="1" applyAlignment="1">
      <alignment horizontal="center" vertical="center" wrapText="1"/>
    </xf>
    <xf numFmtId="166" fontId="10" fillId="0" borderId="0" xfId="4" applyNumberFormat="1" applyFont="1" applyFill="1" applyBorder="1" applyAlignment="1">
      <alignment horizontal="center" vertical="center"/>
    </xf>
    <xf numFmtId="0" fontId="10" fillId="0" borderId="0" xfId="3" applyFont="1" applyFill="1" applyBorder="1"/>
    <xf numFmtId="0" fontId="19" fillId="0" borderId="0" xfId="6" applyFont="1" applyBorder="1" applyAlignment="1" applyProtection="1">
      <alignment vertical="center" wrapText="1"/>
    </xf>
    <xf numFmtId="0" fontId="4" fillId="0" borderId="0" xfId="3" applyFont="1" applyFill="1" applyAlignment="1">
      <alignment horizontal="center"/>
    </xf>
    <xf numFmtId="0" fontId="19" fillId="0" borderId="0" xfId="6" applyFont="1" applyBorder="1" applyAlignment="1" applyProtection="1">
      <alignment horizontal="center" vertical="center" wrapText="1"/>
    </xf>
    <xf numFmtId="0" fontId="2" fillId="0" borderId="0" xfId="3" applyFill="1" applyAlignment="1">
      <alignment wrapText="1"/>
    </xf>
    <xf numFmtId="0" fontId="2" fillId="0" borderId="0" xfId="3" applyFill="1"/>
    <xf numFmtId="0" fontId="20" fillId="0" borderId="0" xfId="3" applyFont="1" applyFill="1"/>
    <xf numFmtId="0" fontId="10" fillId="0" borderId="0" xfId="3" applyFont="1" applyFill="1" applyAlignment="1">
      <alignment horizontal="right"/>
    </xf>
    <xf numFmtId="2" fontId="10" fillId="0" borderId="2" xfId="4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top" wrapText="1"/>
    </xf>
    <xf numFmtId="2" fontId="5" fillId="0" borderId="2" xfId="4" applyNumberFormat="1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vertical="top"/>
    </xf>
    <xf numFmtId="2" fontId="5" fillId="0" borderId="2" xfId="4" applyNumberFormat="1" applyFont="1" applyFill="1" applyBorder="1" applyAlignment="1">
      <alignment horizontal="center" vertical="top" wrapText="1"/>
    </xf>
    <xf numFmtId="166" fontId="10" fillId="0" borderId="2" xfId="4" applyNumberFormat="1" applyFont="1" applyFill="1" applyBorder="1" applyAlignment="1">
      <alignment horizontal="center" wrapText="1"/>
    </xf>
    <xf numFmtId="0" fontId="10" fillId="0" borderId="2" xfId="3" applyFont="1" applyFill="1" applyBorder="1" applyAlignment="1">
      <alignment vertical="top"/>
    </xf>
    <xf numFmtId="0" fontId="24" fillId="0" borderId="2" xfId="3" applyFont="1" applyFill="1" applyBorder="1" applyAlignment="1">
      <alignment vertical="top"/>
    </xf>
    <xf numFmtId="4" fontId="10" fillId="0" borderId="2" xfId="4" applyNumberFormat="1" applyFont="1" applyFill="1" applyBorder="1" applyAlignment="1">
      <alignment horizontal="center" wrapText="1"/>
    </xf>
    <xf numFmtId="4" fontId="10" fillId="0" borderId="2" xfId="4" applyNumberFormat="1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2" fontId="10" fillId="0" borderId="2" xfId="4" applyNumberFormat="1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25" fillId="0" borderId="2" xfId="3" applyFont="1" applyFill="1" applyBorder="1"/>
    <xf numFmtId="0" fontId="5" fillId="0" borderId="0" xfId="3" applyFont="1" applyFill="1" applyAlignment="1">
      <alignment horizontal="right" vertical="center" wrapText="1"/>
    </xf>
    <xf numFmtId="0" fontId="24" fillId="0" borderId="0" xfId="3" applyFont="1" applyFill="1" applyAlignment="1">
      <alignment wrapText="1"/>
    </xf>
    <xf numFmtId="2" fontId="24" fillId="0" borderId="0" xfId="3" applyNumberFormat="1" applyFont="1" applyFill="1" applyAlignment="1">
      <alignment horizontal="center" wrapText="1"/>
    </xf>
    <xf numFmtId="0" fontId="24" fillId="0" borderId="0" xfId="3" applyFont="1" applyFill="1"/>
    <xf numFmtId="0" fontId="5" fillId="0" borderId="0" xfId="3" applyFont="1" applyFill="1" applyAlignment="1">
      <alignment horizontal="left"/>
    </xf>
    <xf numFmtId="0" fontId="5" fillId="0" borderId="0" xfId="3" applyFont="1" applyFill="1" applyBorder="1" applyAlignment="1"/>
    <xf numFmtId="0" fontId="24" fillId="0" borderId="0" xfId="3" applyFont="1" applyFill="1" applyAlignment="1">
      <alignment horizontal="right"/>
    </xf>
    <xf numFmtId="0" fontId="26" fillId="0" borderId="0" xfId="0" applyFont="1"/>
    <xf numFmtId="0" fontId="5" fillId="0" borderId="0" xfId="3" applyFont="1" applyFill="1"/>
    <xf numFmtId="49" fontId="19" fillId="0" borderId="2" xfId="5" applyNumberFormat="1" applyFont="1" applyBorder="1" applyAlignment="1" applyProtection="1">
      <alignment horizontal="center" vertical="center" wrapText="1"/>
    </xf>
    <xf numFmtId="0" fontId="19" fillId="0" borderId="2" xfId="5" applyFont="1" applyBorder="1" applyAlignment="1" applyProtection="1">
      <alignment vertical="center" wrapText="1"/>
    </xf>
    <xf numFmtId="49" fontId="16" fillId="0" borderId="2" xfId="5" applyNumberFormat="1" applyFont="1" applyBorder="1" applyAlignment="1" applyProtection="1">
      <alignment horizontal="center" vertical="center" wrapText="1"/>
    </xf>
    <xf numFmtId="0" fontId="16" fillId="0" borderId="2" xfId="5" applyFont="1" applyBorder="1" applyAlignment="1" applyProtection="1">
      <alignment vertical="center" wrapText="1"/>
    </xf>
    <xf numFmtId="2" fontId="5" fillId="0" borderId="0" xfId="3" applyNumberFormat="1" applyFont="1" applyFill="1" applyAlignment="1">
      <alignment horizontal="center"/>
    </xf>
    <xf numFmtId="0" fontId="5" fillId="0" borderId="2" xfId="3" applyNumberFormat="1" applyFont="1" applyFill="1" applyBorder="1" applyAlignment="1">
      <alignment horizontal="center" wrapText="1"/>
    </xf>
    <xf numFmtId="165" fontId="10" fillId="0" borderId="2" xfId="4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>
      <alignment horizontal="right" vertical="center"/>
    </xf>
    <xf numFmtId="0" fontId="2" fillId="0" borderId="0" xfId="3" applyFill="1" applyAlignment="1">
      <alignment horizontal="right" wrapText="1"/>
    </xf>
    <xf numFmtId="0" fontId="7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Fill="1" applyBorder="1" applyAlignment="1">
      <alignment horizontal="center"/>
    </xf>
    <xf numFmtId="164" fontId="10" fillId="0" borderId="2" xfId="1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center" wrapText="1"/>
    </xf>
    <xf numFmtId="165" fontId="10" fillId="0" borderId="2" xfId="4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wrapText="1"/>
    </xf>
    <xf numFmtId="165" fontId="10" fillId="0" borderId="2" xfId="4" applyNumberFormat="1" applyFont="1" applyFill="1" applyBorder="1" applyAlignment="1">
      <alignment horizontal="center" wrapText="1"/>
    </xf>
    <xf numFmtId="164" fontId="10" fillId="0" borderId="2" xfId="1" applyFont="1" applyFill="1" applyBorder="1" applyAlignment="1">
      <alignment horizontal="center" vertical="center"/>
    </xf>
    <xf numFmtId="165" fontId="10" fillId="0" borderId="2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" vertical="center"/>
    </xf>
    <xf numFmtId="2" fontId="19" fillId="0" borderId="2" xfId="5" applyNumberFormat="1" applyFont="1" applyBorder="1" applyAlignment="1" applyProtection="1">
      <alignment vertical="center" wrapText="1"/>
    </xf>
    <xf numFmtId="0" fontId="5" fillId="0" borderId="2" xfId="3" applyFont="1" applyFill="1" applyBorder="1" applyAlignment="1">
      <alignment horizontal="left" vertical="center"/>
    </xf>
    <xf numFmtId="0" fontId="9" fillId="0" borderId="0" xfId="3" applyFont="1" applyFill="1" applyBorder="1" applyAlignment="1"/>
    <xf numFmtId="4" fontId="2" fillId="0" borderId="0" xfId="3" applyNumberFormat="1" applyFill="1"/>
    <xf numFmtId="4" fontId="2" fillId="0" borderId="0" xfId="3" applyNumberFormat="1" applyFill="1" applyAlignment="1">
      <alignment wrapText="1"/>
    </xf>
    <xf numFmtId="4" fontId="17" fillId="0" borderId="0" xfId="3" applyNumberFormat="1" applyFont="1" applyFill="1"/>
    <xf numFmtId="0" fontId="17" fillId="0" borderId="0" xfId="3" applyFont="1" applyFill="1"/>
    <xf numFmtId="4" fontId="29" fillId="0" borderId="0" xfId="3" applyNumberFormat="1" applyFont="1" applyFill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/>
    <xf numFmtId="4" fontId="29" fillId="2" borderId="0" xfId="3" applyNumberFormat="1" applyFont="1" applyFill="1" applyAlignment="1">
      <alignment wrapText="1"/>
    </xf>
    <xf numFmtId="0" fontId="2" fillId="2" borderId="0" xfId="3" applyFont="1" applyFill="1" applyAlignment="1">
      <alignment wrapText="1"/>
    </xf>
    <xf numFmtId="0" fontId="2" fillId="2" borderId="0" xfId="3" applyFont="1" applyFill="1"/>
    <xf numFmtId="2" fontId="2" fillId="0" borderId="0" xfId="3" applyNumberFormat="1" applyFill="1" applyAlignment="1">
      <alignment wrapText="1"/>
    </xf>
    <xf numFmtId="2" fontId="17" fillId="0" borderId="0" xfId="3" applyNumberFormat="1" applyFont="1" applyFill="1"/>
    <xf numFmtId="4" fontId="4" fillId="0" borderId="0" xfId="3" applyNumberFormat="1" applyFont="1" applyFill="1"/>
    <xf numFmtId="2" fontId="4" fillId="0" borderId="0" xfId="3" applyNumberFormat="1" applyFont="1" applyFill="1"/>
    <xf numFmtId="4" fontId="2" fillId="0" borderId="0" xfId="3" applyNumberFormat="1" applyFont="1" applyFill="1"/>
    <xf numFmtId="4" fontId="6" fillId="0" borderId="0" xfId="3" applyNumberFormat="1" applyFont="1" applyFill="1"/>
    <xf numFmtId="0" fontId="6" fillId="0" borderId="0" xfId="3" applyFont="1" applyFill="1"/>
    <xf numFmtId="165" fontId="2" fillId="0" borderId="0" xfId="4" applyFont="1" applyFill="1"/>
    <xf numFmtId="164" fontId="2" fillId="0" borderId="0" xfId="3" applyNumberFormat="1" applyFill="1"/>
    <xf numFmtId="0" fontId="28" fillId="0" borderId="0" xfId="3" applyFont="1" applyFill="1"/>
    <xf numFmtId="49" fontId="18" fillId="0" borderId="0" xfId="6" applyNumberFormat="1" applyFont="1" applyAlignment="1">
      <alignment horizontal="center"/>
    </xf>
    <xf numFmtId="0" fontId="18" fillId="0" borderId="0" xfId="6" applyFont="1"/>
    <xf numFmtId="0" fontId="16" fillId="0" borderId="0" xfId="6" applyFont="1" applyAlignment="1">
      <alignment horizontal="right"/>
    </xf>
    <xf numFmtId="49" fontId="18" fillId="0" borderId="0" xfId="6" applyNumberFormat="1" applyFont="1" applyAlignment="1" applyProtection="1">
      <alignment horizontal="center"/>
    </xf>
    <xf numFmtId="0" fontId="16" fillId="0" borderId="0" xfId="0" applyFont="1" applyAlignment="1"/>
    <xf numFmtId="0" fontId="22" fillId="0" borderId="0" xfId="6" applyFont="1" applyAlignment="1" applyProtection="1">
      <alignment horizontal="center"/>
    </xf>
    <xf numFmtId="0" fontId="18" fillId="0" borderId="0" xfId="0" applyFont="1" applyAlignment="1"/>
    <xf numFmtId="0" fontId="18" fillId="0" borderId="0" xfId="6" applyNumberFormat="1" applyFont="1" applyBorder="1" applyAlignment="1" applyProtection="1">
      <alignment horizontal="center"/>
    </xf>
    <xf numFmtId="0" fontId="18" fillId="0" borderId="4" xfId="0" applyFont="1" applyBorder="1" applyAlignment="1"/>
    <xf numFmtId="0" fontId="30" fillId="0" borderId="11" xfId="6" applyFont="1" applyBorder="1" applyAlignment="1" applyProtection="1">
      <alignment horizontal="center" vertical="center" wrapText="1"/>
    </xf>
    <xf numFmtId="0" fontId="30" fillId="0" borderId="12" xfId="6" applyFont="1" applyBorder="1" applyAlignment="1" applyProtection="1">
      <alignment horizontal="center" vertical="center" wrapText="1"/>
    </xf>
    <xf numFmtId="0" fontId="30" fillId="0" borderId="13" xfId="6" applyFont="1" applyBorder="1" applyAlignment="1" applyProtection="1">
      <alignment horizontal="center" vertical="center" wrapText="1"/>
    </xf>
    <xf numFmtId="0" fontId="30" fillId="0" borderId="14" xfId="6" applyFont="1" applyBorder="1" applyAlignment="1" applyProtection="1">
      <alignment horizontal="center" vertical="center" wrapText="1"/>
    </xf>
    <xf numFmtId="49" fontId="30" fillId="0" borderId="11" xfId="6" applyNumberFormat="1" applyFont="1" applyBorder="1" applyAlignment="1" applyProtection="1">
      <alignment horizontal="center" vertical="center" wrapText="1"/>
    </xf>
    <xf numFmtId="0" fontId="30" fillId="0" borderId="2" xfId="6" applyFont="1" applyBorder="1" applyAlignment="1" applyProtection="1">
      <alignment horizontal="center" vertical="center" wrapText="1"/>
    </xf>
    <xf numFmtId="0" fontId="18" fillId="0" borderId="11" xfId="6" applyFont="1" applyBorder="1"/>
    <xf numFmtId="0" fontId="18" fillId="0" borderId="14" xfId="6" applyFont="1" applyBorder="1"/>
    <xf numFmtId="0" fontId="22" fillId="0" borderId="15" xfId="6" applyFont="1" applyBorder="1"/>
    <xf numFmtId="49" fontId="19" fillId="3" borderId="11" xfId="6" applyNumberFormat="1" applyFont="1" applyFill="1" applyBorder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 wrapText="1"/>
    </xf>
    <xf numFmtId="4" fontId="22" fillId="3" borderId="11" xfId="6" applyNumberFormat="1" applyFont="1" applyFill="1" applyBorder="1" applyAlignment="1" applyProtection="1">
      <alignment horizontal="center" vertical="center" wrapText="1"/>
    </xf>
    <xf numFmtId="4" fontId="22" fillId="3" borderId="16" xfId="6" applyNumberFormat="1" applyFont="1" applyFill="1" applyBorder="1" applyAlignment="1" applyProtection="1">
      <alignment horizontal="center" vertical="center" wrapText="1"/>
    </xf>
    <xf numFmtId="4" fontId="22" fillId="3" borderId="13" xfId="6" applyNumberFormat="1" applyFont="1" applyFill="1" applyBorder="1" applyAlignment="1" applyProtection="1">
      <alignment horizontal="center" vertical="center" wrapText="1"/>
    </xf>
    <xf numFmtId="4" fontId="22" fillId="3" borderId="17" xfId="6" applyNumberFormat="1" applyFont="1" applyFill="1" applyBorder="1" applyAlignment="1" applyProtection="1">
      <alignment horizontal="center" vertical="center" wrapText="1"/>
    </xf>
    <xf numFmtId="4" fontId="22" fillId="3" borderId="15" xfId="6" applyNumberFormat="1" applyFont="1" applyFill="1" applyBorder="1" applyAlignment="1" applyProtection="1">
      <alignment horizontal="center" vertical="center" wrapText="1"/>
    </xf>
    <xf numFmtId="49" fontId="19" fillId="4" borderId="11" xfId="6" applyNumberFormat="1" applyFont="1" applyFill="1" applyBorder="1" applyAlignment="1" applyProtection="1">
      <alignment horizontal="center" vertical="center" wrapText="1"/>
    </xf>
    <xf numFmtId="0" fontId="19" fillId="4" borderId="2" xfId="6" applyFont="1" applyFill="1" applyBorder="1" applyAlignment="1" applyProtection="1">
      <alignment vertical="center" wrapText="1"/>
    </xf>
    <xf numFmtId="4" fontId="14" fillId="4" borderId="11" xfId="6" applyNumberFormat="1" applyFont="1" applyFill="1" applyBorder="1" applyAlignment="1" applyProtection="1">
      <alignment horizontal="center" vertical="center" wrapText="1"/>
    </xf>
    <xf numFmtId="4" fontId="22" fillId="4" borderId="16" xfId="6" applyNumberFormat="1" applyFont="1" applyFill="1" applyBorder="1" applyAlignment="1" applyProtection="1">
      <alignment horizontal="center" vertical="center" wrapText="1"/>
    </xf>
    <xf numFmtId="4" fontId="14" fillId="4" borderId="13" xfId="6" applyNumberFormat="1" applyFont="1" applyFill="1" applyBorder="1" applyAlignment="1" applyProtection="1">
      <alignment horizontal="center" vertical="center" wrapText="1"/>
    </xf>
    <xf numFmtId="4" fontId="22" fillId="4" borderId="17" xfId="6" applyNumberFormat="1" applyFont="1" applyFill="1" applyBorder="1" applyAlignment="1" applyProtection="1">
      <alignment horizontal="center" vertical="center" wrapText="1"/>
    </xf>
    <xf numFmtId="4" fontId="22" fillId="4" borderId="15" xfId="6" applyNumberFormat="1" applyFont="1" applyFill="1" applyBorder="1" applyAlignment="1" applyProtection="1">
      <alignment horizontal="center" vertical="center" wrapText="1"/>
    </xf>
    <xf numFmtId="49" fontId="16" fillId="0" borderId="11" xfId="6" applyNumberFormat="1" applyFont="1" applyBorder="1" applyAlignment="1" applyProtection="1">
      <alignment horizontal="center" vertical="center" wrapText="1"/>
    </xf>
    <xf numFmtId="0" fontId="16" fillId="0" borderId="2" xfId="6" applyFont="1" applyBorder="1" applyAlignment="1" applyProtection="1">
      <alignment vertical="center" wrapText="1"/>
    </xf>
    <xf numFmtId="4" fontId="13" fillId="0" borderId="11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3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6" applyNumberFormat="1" applyFont="1" applyFill="1" applyBorder="1" applyAlignment="1" applyProtection="1">
      <alignment horizontal="center" vertical="center" wrapText="1"/>
    </xf>
    <xf numFmtId="4" fontId="13" fillId="0" borderId="13" xfId="6" applyNumberFormat="1" applyFont="1" applyFill="1" applyBorder="1" applyAlignment="1" applyProtection="1">
      <alignment horizontal="center" vertical="center" wrapText="1"/>
    </xf>
    <xf numFmtId="4" fontId="18" fillId="0" borderId="14" xfId="6" applyNumberFormat="1" applyFont="1" applyFill="1" applyBorder="1" applyAlignment="1" applyProtection="1">
      <alignment horizontal="center" vertical="center" wrapText="1"/>
    </xf>
    <xf numFmtId="4" fontId="18" fillId="0" borderId="12" xfId="6" applyNumberFormat="1" applyFont="1" applyFill="1" applyBorder="1" applyAlignment="1" applyProtection="1">
      <alignment horizontal="center" vertical="center" wrapText="1"/>
    </xf>
    <xf numFmtId="4" fontId="13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6" applyNumberFormat="1" applyFont="1" applyFill="1" applyBorder="1" applyAlignment="1" applyProtection="1">
      <alignment horizontal="center" vertical="center" wrapText="1"/>
    </xf>
    <xf numFmtId="4" fontId="14" fillId="3" borderId="11" xfId="6" applyNumberFormat="1" applyFont="1" applyFill="1" applyBorder="1" applyAlignment="1" applyProtection="1">
      <alignment horizontal="center" vertical="center" wrapText="1"/>
    </xf>
    <xf numFmtId="4" fontId="14" fillId="3" borderId="13" xfId="6" applyNumberFormat="1" applyFont="1" applyFill="1" applyBorder="1" applyAlignment="1" applyProtection="1">
      <alignment horizontal="center" vertical="center" wrapText="1"/>
    </xf>
    <xf numFmtId="4" fontId="13" fillId="0" borderId="18" xfId="6" applyNumberFormat="1" applyFont="1" applyFill="1" applyBorder="1" applyAlignment="1" applyProtection="1">
      <alignment horizontal="center" vertical="center" wrapText="1"/>
    </xf>
    <xf numFmtId="49" fontId="19" fillId="0" borderId="11" xfId="5" applyNumberFormat="1" applyFont="1" applyBorder="1" applyAlignment="1" applyProtection="1">
      <alignment horizontal="center" vertical="center" wrapText="1"/>
    </xf>
    <xf numFmtId="4" fontId="18" fillId="0" borderId="16" xfId="6" applyNumberFormat="1" applyFont="1" applyFill="1" applyBorder="1" applyAlignment="1" applyProtection="1">
      <alignment horizontal="center" vertical="center" wrapText="1"/>
    </xf>
    <xf numFmtId="4" fontId="18" fillId="0" borderId="17" xfId="6" applyNumberFormat="1" applyFont="1" applyFill="1" applyBorder="1" applyAlignment="1" applyProtection="1">
      <alignment horizontal="center" vertical="center" wrapText="1"/>
    </xf>
    <xf numFmtId="49" fontId="16" fillId="0" borderId="11" xfId="5" applyNumberFormat="1" applyFont="1" applyBorder="1" applyAlignment="1" applyProtection="1">
      <alignment horizontal="center" vertical="center" wrapText="1"/>
    </xf>
    <xf numFmtId="4" fontId="14" fillId="3" borderId="18" xfId="6" applyNumberFormat="1" applyFont="1" applyFill="1" applyBorder="1" applyAlignment="1" applyProtection="1">
      <alignment horizontal="center" vertical="center" wrapText="1"/>
    </xf>
    <xf numFmtId="4" fontId="22" fillId="3" borderId="12" xfId="6" applyNumberFormat="1" applyFont="1" applyFill="1" applyBorder="1" applyAlignment="1" applyProtection="1">
      <alignment horizontal="center" vertical="center" wrapText="1"/>
    </xf>
    <xf numFmtId="4" fontId="22" fillId="3" borderId="18" xfId="6" applyNumberFormat="1" applyFont="1" applyFill="1" applyBorder="1" applyAlignment="1" applyProtection="1">
      <alignment horizontal="center" vertical="center" wrapText="1"/>
    </xf>
    <xf numFmtId="4" fontId="22" fillId="3" borderId="14" xfId="6" applyNumberFormat="1" applyFont="1" applyFill="1" applyBorder="1" applyAlignment="1" applyProtection="1">
      <alignment horizontal="center" vertical="center" wrapText="1"/>
    </xf>
    <xf numFmtId="4" fontId="22" fillId="3" borderId="18" xfId="6" applyNumberFormat="1" applyFont="1" applyFill="1" applyBorder="1" applyAlignment="1" applyProtection="1">
      <alignment horizontal="center" vertical="center" wrapText="1"/>
      <protection locked="0"/>
    </xf>
    <xf numFmtId="4" fontId="22" fillId="3" borderId="12" xfId="6" applyNumberFormat="1" applyFont="1" applyFill="1" applyBorder="1" applyAlignment="1" applyProtection="1">
      <alignment horizontal="center" vertical="center" wrapText="1"/>
      <protection locked="0"/>
    </xf>
    <xf numFmtId="4" fontId="22" fillId="3" borderId="14" xfId="6" applyNumberFormat="1" applyFont="1" applyFill="1" applyBorder="1" applyAlignment="1" applyProtection="1">
      <alignment horizontal="center" vertical="center" wrapText="1"/>
      <protection locked="0"/>
    </xf>
    <xf numFmtId="4" fontId="18" fillId="0" borderId="11" xfId="6" applyNumberFormat="1" applyFont="1" applyFill="1" applyBorder="1" applyAlignment="1" applyProtection="1">
      <alignment horizontal="center" vertical="center" wrapText="1"/>
    </xf>
    <xf numFmtId="2" fontId="18" fillId="0" borderId="12" xfId="6" applyNumberFormat="1" applyFont="1" applyFill="1" applyBorder="1" applyAlignment="1" applyProtection="1">
      <alignment horizontal="center" vertical="center" wrapText="1"/>
    </xf>
    <xf numFmtId="2" fontId="13" fillId="0" borderId="14" xfId="6" applyNumberFormat="1" applyFont="1" applyFill="1" applyBorder="1" applyAlignment="1" applyProtection="1">
      <alignment horizontal="center" vertical="center" wrapText="1"/>
    </xf>
    <xf numFmtId="0" fontId="18" fillId="0" borderId="12" xfId="6" applyFont="1" applyFill="1" applyBorder="1" applyAlignment="1" applyProtection="1">
      <alignment horizontal="center" vertical="center" wrapText="1"/>
    </xf>
    <xf numFmtId="4" fontId="18" fillId="0" borderId="13" xfId="6" applyNumberFormat="1" applyFont="1" applyFill="1" applyBorder="1" applyAlignment="1" applyProtection="1">
      <alignment horizontal="center" vertical="center" wrapText="1"/>
    </xf>
    <xf numFmtId="2" fontId="18" fillId="0" borderId="14" xfId="6" applyNumberFormat="1" applyFont="1" applyFill="1" applyBorder="1" applyAlignment="1" applyProtection="1">
      <alignment horizontal="center" vertical="center" wrapText="1"/>
    </xf>
    <xf numFmtId="0" fontId="18" fillId="0" borderId="14" xfId="6" applyFont="1" applyFill="1" applyBorder="1" applyAlignment="1" applyProtection="1">
      <alignment horizontal="center" vertical="center" wrapText="1"/>
    </xf>
    <xf numFmtId="49" fontId="19" fillId="5" borderId="11" xfId="6" applyNumberFormat="1" applyFont="1" applyFill="1" applyBorder="1" applyAlignment="1" applyProtection="1">
      <alignment horizontal="center" vertical="center" wrapText="1"/>
    </xf>
    <xf numFmtId="0" fontId="19" fillId="5" borderId="2" xfId="6" applyFont="1" applyFill="1" applyBorder="1" applyAlignment="1" applyProtection="1">
      <alignment vertical="center" wrapText="1"/>
    </xf>
    <xf numFmtId="4" fontId="22" fillId="5" borderId="11" xfId="6" applyNumberFormat="1" applyFont="1" applyFill="1" applyBorder="1" applyAlignment="1" applyProtection="1">
      <alignment horizontal="center" vertical="center" wrapText="1"/>
    </xf>
    <xf numFmtId="4" fontId="7" fillId="5" borderId="16" xfId="6" applyNumberFormat="1" applyFont="1" applyFill="1" applyBorder="1" applyAlignment="1" applyProtection="1">
      <alignment horizontal="center" vertical="center" wrapText="1"/>
    </xf>
    <xf numFmtId="4" fontId="14" fillId="5" borderId="13" xfId="6" applyNumberFormat="1" applyFont="1" applyFill="1" applyBorder="1" applyAlignment="1" applyProtection="1">
      <alignment horizontal="center" vertical="center" wrapText="1"/>
    </xf>
    <xf numFmtId="4" fontId="7" fillId="5" borderId="17" xfId="6" applyNumberFormat="1" applyFont="1" applyFill="1" applyBorder="1" applyAlignment="1" applyProtection="1">
      <alignment horizontal="center" vertical="center" wrapText="1"/>
    </xf>
    <xf numFmtId="4" fontId="14" fillId="5" borderId="11" xfId="6" applyNumberFormat="1" applyFont="1" applyFill="1" applyBorder="1" applyAlignment="1" applyProtection="1">
      <alignment horizontal="center" vertical="center" wrapText="1"/>
    </xf>
    <xf numFmtId="4" fontId="19" fillId="5" borderId="15" xfId="6" applyNumberFormat="1" applyFont="1" applyFill="1" applyBorder="1" applyAlignment="1" applyProtection="1">
      <alignment horizontal="center" vertical="center" wrapText="1"/>
    </xf>
    <xf numFmtId="49" fontId="16" fillId="6" borderId="11" xfId="6" applyNumberFormat="1" applyFont="1" applyFill="1" applyBorder="1" applyAlignment="1" applyProtection="1">
      <alignment horizontal="center" vertical="center" wrapText="1"/>
    </xf>
    <xf numFmtId="0" fontId="16" fillId="6" borderId="2" xfId="6" applyFont="1" applyFill="1" applyBorder="1" applyAlignment="1" applyProtection="1">
      <alignment vertical="center" wrapText="1"/>
    </xf>
    <xf numFmtId="2" fontId="18" fillId="6" borderId="11" xfId="6" applyNumberFormat="1" applyFont="1" applyFill="1" applyBorder="1" applyAlignment="1" applyProtection="1">
      <alignment horizontal="center" vertical="center" wrapText="1"/>
    </xf>
    <xf numFmtId="2" fontId="22" fillId="6" borderId="12" xfId="6" applyNumberFormat="1" applyFont="1" applyFill="1" applyBorder="1" applyAlignment="1" applyProtection="1">
      <alignment horizontal="center" vertical="center" wrapText="1"/>
    </xf>
    <xf numFmtId="2" fontId="18" fillId="6" borderId="13" xfId="6" applyNumberFormat="1" applyFont="1" applyFill="1" applyBorder="1" applyAlignment="1" applyProtection="1">
      <alignment horizontal="center" vertical="center" wrapText="1"/>
    </xf>
    <xf numFmtId="2" fontId="22" fillId="6" borderId="14" xfId="6" applyNumberFormat="1" applyFont="1" applyFill="1" applyBorder="1" applyAlignment="1" applyProtection="1">
      <alignment horizontal="center" vertical="center" wrapText="1"/>
    </xf>
    <xf numFmtId="0" fontId="18" fillId="6" borderId="11" xfId="6" applyFont="1" applyFill="1" applyBorder="1"/>
    <xf numFmtId="0" fontId="18" fillId="6" borderId="15" xfId="6" applyFont="1" applyFill="1" applyBorder="1"/>
    <xf numFmtId="49" fontId="19" fillId="0" borderId="11" xfId="6" applyNumberFormat="1" applyFont="1" applyBorder="1" applyAlignment="1" applyProtection="1">
      <alignment horizontal="center" vertical="center" wrapText="1"/>
    </xf>
    <xf numFmtId="0" fontId="19" fillId="0" borderId="2" xfId="6" applyFont="1" applyBorder="1" applyAlignment="1" applyProtection="1">
      <alignment vertical="center" wrapText="1"/>
    </xf>
    <xf numFmtId="167" fontId="14" fillId="0" borderId="11" xfId="4" applyNumberFormat="1" applyFont="1" applyFill="1" applyBorder="1" applyAlignment="1" applyProtection="1">
      <alignment horizontal="center" vertical="center" wrapText="1"/>
    </xf>
    <xf numFmtId="168" fontId="31" fillId="0" borderId="12" xfId="6" applyNumberFormat="1" applyFont="1" applyFill="1" applyBorder="1" applyAlignment="1" applyProtection="1">
      <alignment horizontal="center" vertical="center" wrapText="1"/>
    </xf>
    <xf numFmtId="167" fontId="14" fillId="0" borderId="13" xfId="4" applyNumberFormat="1" applyFont="1" applyFill="1" applyBorder="1" applyAlignment="1" applyProtection="1">
      <alignment horizontal="center" vertical="center" wrapText="1"/>
    </xf>
    <xf numFmtId="164" fontId="14" fillId="0" borderId="14" xfId="6" applyNumberFormat="1" applyFont="1" applyFill="1" applyBorder="1" applyAlignment="1" applyProtection="1">
      <alignment horizontal="center" vertical="center" wrapText="1"/>
    </xf>
    <xf numFmtId="164" fontId="14" fillId="0" borderId="12" xfId="6" applyNumberFormat="1" applyFont="1" applyFill="1" applyBorder="1" applyAlignment="1" applyProtection="1">
      <alignment horizontal="center" vertical="center" wrapText="1"/>
    </xf>
    <xf numFmtId="164" fontId="14" fillId="0" borderId="14" xfId="6" applyNumberFormat="1" applyFont="1" applyFill="1" applyBorder="1"/>
    <xf numFmtId="169" fontId="14" fillId="0" borderId="15" xfId="6" applyNumberFormat="1" applyFont="1" applyFill="1" applyBorder="1" applyAlignment="1" applyProtection="1">
      <alignment horizontal="center" vertical="center" wrapText="1"/>
      <protection locked="0"/>
    </xf>
    <xf numFmtId="165" fontId="22" fillId="0" borderId="11" xfId="4" applyFont="1" applyFill="1" applyBorder="1" applyAlignment="1" applyProtection="1">
      <alignment horizontal="center" vertical="center" wrapText="1"/>
    </xf>
    <xf numFmtId="0" fontId="22" fillId="0" borderId="12" xfId="6" applyNumberFormat="1" applyFont="1" applyFill="1" applyBorder="1" applyAlignment="1" applyProtection="1">
      <alignment horizontal="center" vertical="center" wrapText="1"/>
    </xf>
    <xf numFmtId="165" fontId="22" fillId="0" borderId="13" xfId="4" applyNumberFormat="1" applyFont="1" applyFill="1" applyBorder="1" applyAlignment="1" applyProtection="1">
      <alignment horizontal="center" vertical="center" wrapText="1"/>
    </xf>
    <xf numFmtId="0" fontId="22" fillId="0" borderId="14" xfId="6" applyNumberFormat="1" applyFont="1" applyFill="1" applyBorder="1" applyAlignment="1" applyProtection="1">
      <alignment horizontal="center" vertical="center" wrapText="1"/>
    </xf>
    <xf numFmtId="0" fontId="22" fillId="0" borderId="14" xfId="6" applyFont="1" applyFill="1" applyBorder="1"/>
    <xf numFmtId="4" fontId="22" fillId="0" borderId="15" xfId="6" applyNumberFormat="1" applyFont="1" applyFill="1" applyBorder="1" applyAlignment="1" applyProtection="1">
      <alignment horizontal="center" vertical="center" wrapText="1"/>
      <protection locked="0"/>
    </xf>
    <xf numFmtId="49" fontId="32" fillId="0" borderId="19" xfId="6" applyNumberFormat="1" applyFont="1" applyBorder="1" applyAlignment="1" applyProtection="1">
      <alignment horizontal="center" vertical="center" wrapText="1"/>
    </xf>
    <xf numFmtId="0" fontId="32" fillId="0" borderId="20" xfId="6" applyFont="1" applyBorder="1" applyAlignment="1" applyProtection="1">
      <alignment vertical="center" wrapText="1"/>
    </xf>
    <xf numFmtId="0" fontId="18" fillId="0" borderId="21" xfId="6" applyFont="1" applyBorder="1"/>
    <xf numFmtId="2" fontId="18" fillId="0" borderId="19" xfId="6" applyNumberFormat="1" applyFont="1" applyBorder="1"/>
    <xf numFmtId="0" fontId="18" fillId="0" borderId="22" xfId="6" applyFont="1" applyBorder="1"/>
    <xf numFmtId="2" fontId="18" fillId="0" borderId="23" xfId="6" applyNumberFormat="1" applyFont="1" applyBorder="1"/>
    <xf numFmtId="2" fontId="18" fillId="0" borderId="21" xfId="6" applyNumberFormat="1" applyFont="1" applyBorder="1"/>
    <xf numFmtId="2" fontId="18" fillId="0" borderId="22" xfId="6" applyNumberFormat="1" applyFont="1" applyBorder="1"/>
    <xf numFmtId="0" fontId="18" fillId="0" borderId="24" xfId="6" applyFont="1" applyBorder="1"/>
    <xf numFmtId="0" fontId="18" fillId="0" borderId="0" xfId="6" applyNumberFormat="1" applyFont="1" applyAlignment="1" applyProtection="1">
      <alignment horizontal="center"/>
    </xf>
    <xf numFmtId="170" fontId="17" fillId="0" borderId="0" xfId="3" applyNumberFormat="1" applyFont="1" applyFill="1"/>
    <xf numFmtId="0" fontId="4" fillId="0" borderId="0" xfId="3" applyFont="1" applyFill="1" applyAlignment="1">
      <alignment vertical="top"/>
    </xf>
    <xf numFmtId="2" fontId="4" fillId="0" borderId="0" xfId="3" applyNumberFormat="1" applyFont="1" applyFill="1" applyAlignment="1">
      <alignment vertical="top"/>
    </xf>
    <xf numFmtId="165" fontId="17" fillId="0" borderId="0" xfId="3" applyNumberFormat="1" applyFont="1" applyFill="1"/>
    <xf numFmtId="0" fontId="15" fillId="0" borderId="0" xfId="3" applyFont="1" applyFill="1" applyAlignment="1">
      <alignment vertical="top"/>
    </xf>
    <xf numFmtId="164" fontId="17" fillId="0" borderId="0" xfId="3" applyNumberFormat="1" applyFont="1" applyFill="1"/>
    <xf numFmtId="165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0" fontId="9" fillId="0" borderId="0" xfId="3" applyFont="1" applyFill="1" applyAlignment="1">
      <alignment horizontal="left" wrapText="1"/>
    </xf>
    <xf numFmtId="0" fontId="9" fillId="0" borderId="0" xfId="3" applyFont="1" applyFill="1" applyAlignment="1"/>
    <xf numFmtId="2" fontId="4" fillId="0" borderId="0" xfId="3" applyNumberFormat="1" applyFont="1" applyFill="1" applyAlignment="1">
      <alignment horizontal="right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4" fontId="18" fillId="0" borderId="0" xfId="0" applyNumberFormat="1" applyFont="1" applyProtection="1"/>
    <xf numFmtId="0" fontId="22" fillId="0" borderId="0" xfId="0" applyFont="1" applyFill="1" applyAlignment="1" applyProtection="1">
      <alignment horizontal="center"/>
    </xf>
    <xf numFmtId="4" fontId="37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center" vertical="top"/>
    </xf>
    <xf numFmtId="0" fontId="18" fillId="0" borderId="0" xfId="0" applyFont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wrapText="1"/>
    </xf>
    <xf numFmtId="49" fontId="18" fillId="0" borderId="2" xfId="0" applyNumberFormat="1" applyFont="1" applyBorder="1" applyAlignment="1" applyProtection="1">
      <alignment horizontal="center"/>
    </xf>
    <xf numFmtId="0" fontId="18" fillId="0" borderId="2" xfId="0" applyFont="1" applyBorder="1" applyAlignment="1" applyProtection="1">
      <alignment wrapText="1"/>
    </xf>
    <xf numFmtId="4" fontId="18" fillId="0" borderId="2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169" fontId="18" fillId="0" borderId="2" xfId="0" applyNumberFormat="1" applyFont="1" applyFill="1" applyBorder="1" applyAlignment="1" applyProtection="1">
      <alignment horizontal="center"/>
    </xf>
    <xf numFmtId="4" fontId="18" fillId="0" borderId="0" xfId="0" applyNumberFormat="1" applyFont="1" applyBorder="1" applyProtection="1"/>
    <xf numFmtId="4" fontId="13" fillId="0" borderId="2" xfId="0" applyNumberFormat="1" applyFont="1" applyFill="1" applyBorder="1" applyAlignment="1" applyProtection="1">
      <alignment horizontal="center"/>
    </xf>
    <xf numFmtId="4" fontId="13" fillId="7" borderId="2" xfId="0" applyNumberFormat="1" applyFont="1" applyFill="1" applyBorder="1" applyAlignment="1" applyProtection="1">
      <alignment horizontal="center"/>
    </xf>
    <xf numFmtId="4" fontId="18" fillId="7" borderId="2" xfId="0" applyNumberFormat="1" applyFont="1" applyFill="1" applyBorder="1" applyAlignment="1" applyProtection="1">
      <alignment horizontal="center"/>
    </xf>
    <xf numFmtId="4" fontId="38" fillId="7" borderId="2" xfId="0" applyNumberFormat="1" applyFont="1" applyFill="1" applyBorder="1" applyAlignment="1" applyProtection="1">
      <alignment horizontal="center"/>
    </xf>
    <xf numFmtId="4" fontId="18" fillId="7" borderId="14" xfId="0" applyNumberFormat="1" applyFont="1" applyFill="1" applyBorder="1" applyAlignment="1" applyProtection="1">
      <alignment horizontal="center"/>
    </xf>
    <xf numFmtId="169" fontId="38" fillId="7" borderId="2" xfId="0" applyNumberFormat="1" applyFont="1" applyFill="1" applyBorder="1" applyAlignment="1" applyProtection="1">
      <alignment horizontal="center"/>
    </xf>
    <xf numFmtId="169" fontId="18" fillId="7" borderId="2" xfId="0" applyNumberFormat="1" applyFont="1" applyFill="1" applyBorder="1" applyAlignment="1" applyProtection="1">
      <alignment horizontal="center"/>
    </xf>
    <xf numFmtId="4" fontId="18" fillId="8" borderId="2" xfId="0" applyNumberFormat="1" applyFont="1" applyFill="1" applyBorder="1" applyAlignment="1" applyProtection="1">
      <alignment horizontal="center"/>
    </xf>
    <xf numFmtId="169" fontId="18" fillId="8" borderId="2" xfId="0" applyNumberFormat="1" applyFont="1" applyFill="1" applyBorder="1" applyAlignment="1" applyProtection="1">
      <alignment horizontal="center"/>
    </xf>
    <xf numFmtId="49" fontId="18" fillId="0" borderId="14" xfId="0" applyNumberFormat="1" applyFont="1" applyBorder="1" applyAlignment="1" applyProtection="1">
      <alignment horizontal="center"/>
    </xf>
    <xf numFmtId="0" fontId="5" fillId="0" borderId="2" xfId="7" applyFont="1" applyFill="1" applyBorder="1" applyAlignment="1">
      <alignment horizontal="left" vertical="center" wrapText="1"/>
    </xf>
    <xf numFmtId="0" fontId="18" fillId="7" borderId="2" xfId="0" applyFont="1" applyFill="1" applyBorder="1" applyAlignment="1" applyProtection="1">
      <alignment wrapText="1"/>
    </xf>
    <xf numFmtId="49" fontId="18" fillId="9" borderId="2" xfId="0" applyNumberFormat="1" applyFont="1" applyFill="1" applyBorder="1" applyAlignment="1" applyProtection="1">
      <alignment horizontal="center"/>
    </xf>
    <xf numFmtId="0" fontId="18" fillId="9" borderId="2" xfId="0" applyFont="1" applyFill="1" applyBorder="1" applyAlignment="1" applyProtection="1">
      <alignment wrapText="1"/>
    </xf>
    <xf numFmtId="4" fontId="18" fillId="10" borderId="2" xfId="0" applyNumberFormat="1" applyFont="1" applyFill="1" applyBorder="1" applyAlignment="1" applyProtection="1">
      <alignment horizontal="center"/>
    </xf>
    <xf numFmtId="4" fontId="22" fillId="9" borderId="2" xfId="0" applyNumberFormat="1" applyFont="1" applyFill="1" applyBorder="1" applyAlignment="1" applyProtection="1">
      <alignment horizontal="center"/>
    </xf>
    <xf numFmtId="169" fontId="14" fillId="9" borderId="14" xfId="0" applyNumberFormat="1" applyFont="1" applyFill="1" applyBorder="1" applyAlignment="1" applyProtection="1">
      <alignment horizontal="center"/>
    </xf>
    <xf numFmtId="49" fontId="18" fillId="0" borderId="2" xfId="0" applyNumberFormat="1" applyFont="1" applyBorder="1" applyAlignment="1" applyProtection="1">
      <alignment horizontal="center" vertical="top"/>
    </xf>
    <xf numFmtId="0" fontId="18" fillId="0" borderId="2" xfId="0" applyFont="1" applyBorder="1" applyAlignment="1" applyProtection="1">
      <alignment horizontal="left" vertical="top" wrapText="1"/>
    </xf>
    <xf numFmtId="4" fontId="19" fillId="7" borderId="2" xfId="0" applyNumberFormat="1" applyFont="1" applyFill="1" applyBorder="1" applyAlignment="1" applyProtection="1">
      <alignment horizontal="center"/>
    </xf>
    <xf numFmtId="4" fontId="10" fillId="7" borderId="14" xfId="0" applyNumberFormat="1" applyFont="1" applyFill="1" applyBorder="1" applyAlignment="1" applyProtection="1">
      <alignment horizontal="center"/>
    </xf>
    <xf numFmtId="4" fontId="19" fillId="9" borderId="2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/>
    <xf numFmtId="4" fontId="18" fillId="8" borderId="14" xfId="0" applyNumberFormat="1" applyFont="1" applyFill="1" applyBorder="1" applyAlignment="1" applyProtection="1">
      <alignment horizontal="center"/>
    </xf>
    <xf numFmtId="4" fontId="18" fillId="0" borderId="0" xfId="0" applyNumberFormat="1" applyFont="1" applyAlignment="1" applyProtection="1"/>
    <xf numFmtId="0" fontId="18" fillId="5" borderId="2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wrapText="1"/>
    </xf>
    <xf numFmtId="4" fontId="18" fillId="5" borderId="2" xfId="0" applyNumberFormat="1" applyFont="1" applyFill="1" applyBorder="1" applyAlignment="1" applyProtection="1">
      <alignment horizontal="center"/>
    </xf>
    <xf numFmtId="4" fontId="18" fillId="5" borderId="14" xfId="0" applyNumberFormat="1" applyFont="1" applyFill="1" applyBorder="1" applyAlignment="1" applyProtection="1">
      <alignment horizontal="center"/>
    </xf>
    <xf numFmtId="169" fontId="18" fillId="5" borderId="2" xfId="8" applyNumberFormat="1" applyFont="1" applyFill="1" applyBorder="1" applyAlignment="1">
      <alignment horizontal="center" vertical="center" wrapText="1"/>
    </xf>
    <xf numFmtId="4" fontId="18" fillId="5" borderId="13" xfId="0" applyNumberFormat="1" applyFont="1" applyFill="1" applyBorder="1" applyAlignment="1" applyProtection="1">
      <alignment horizontal="center"/>
    </xf>
    <xf numFmtId="2" fontId="18" fillId="0" borderId="0" xfId="0" applyNumberFormat="1" applyFont="1" applyProtection="1"/>
    <xf numFmtId="0" fontId="18" fillId="0" borderId="2" xfId="0" applyFont="1" applyBorder="1" applyAlignment="1" applyProtection="1">
      <alignment horizontal="center"/>
    </xf>
    <xf numFmtId="4" fontId="18" fillId="7" borderId="27" xfId="0" applyNumberFormat="1" applyFont="1" applyFill="1" applyBorder="1" applyAlignment="1" applyProtection="1">
      <alignment horizontal="center"/>
    </xf>
    <xf numFmtId="4" fontId="18" fillId="9" borderId="2" xfId="0" applyNumberFormat="1" applyFont="1" applyFill="1" applyBorder="1" applyAlignment="1" applyProtection="1">
      <alignment horizontal="center"/>
    </xf>
    <xf numFmtId="3" fontId="18" fillId="7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vertical="top" wrapText="1"/>
    </xf>
    <xf numFmtId="3" fontId="18" fillId="0" borderId="2" xfId="0" applyNumberFormat="1" applyFont="1" applyFill="1" applyBorder="1" applyAlignment="1" applyProtection="1">
      <alignment horizontal="center"/>
    </xf>
    <xf numFmtId="4" fontId="18" fillId="8" borderId="2" xfId="0" applyNumberFormat="1" applyFont="1" applyFill="1" applyBorder="1" applyAlignment="1" applyProtection="1">
      <alignment horizontal="center"/>
      <protection locked="0"/>
    </xf>
    <xf numFmtId="3" fontId="18" fillId="8" borderId="2" xfId="0" applyNumberFormat="1" applyFont="1" applyFill="1" applyBorder="1" applyAlignment="1" applyProtection="1">
      <alignment horizontal="center"/>
    </xf>
    <xf numFmtId="3" fontId="18" fillId="8" borderId="2" xfId="0" applyNumberFormat="1" applyFont="1" applyFill="1" applyBorder="1" applyAlignment="1" applyProtection="1">
      <alignment horizontal="center"/>
      <protection locked="0"/>
    </xf>
    <xf numFmtId="169" fontId="18" fillId="0" borderId="0" xfId="0" applyNumberFormat="1" applyFont="1" applyProtection="1"/>
    <xf numFmtId="4" fontId="18" fillId="0" borderId="0" xfId="0" applyNumberFormat="1" applyFont="1" applyAlignment="1" applyProtection="1">
      <alignment horizontal="center"/>
    </xf>
    <xf numFmtId="171" fontId="18" fillId="0" borderId="0" xfId="0" applyNumberFormat="1" applyFont="1" applyProtection="1"/>
    <xf numFmtId="2" fontId="18" fillId="5" borderId="0" xfId="0" applyNumberFormat="1" applyFont="1" applyFill="1" applyProtection="1"/>
    <xf numFmtId="171" fontId="18" fillId="0" borderId="0" xfId="0" applyNumberFormat="1" applyFont="1" applyAlignment="1" applyProtection="1">
      <alignment horizontal="center"/>
    </xf>
    <xf numFmtId="4" fontId="13" fillId="8" borderId="2" xfId="0" applyNumberFormat="1" applyFont="1" applyFill="1" applyBorder="1" applyAlignment="1" applyProtection="1">
      <alignment horizontal="center"/>
      <protection locked="0"/>
    </xf>
    <xf numFmtId="0" fontId="18" fillId="7" borderId="0" xfId="0" applyFont="1" applyFill="1" applyProtection="1"/>
    <xf numFmtId="169" fontId="18" fillId="7" borderId="14" xfId="0" applyNumberFormat="1" applyFont="1" applyFill="1" applyBorder="1" applyAlignment="1" applyProtection="1">
      <alignment horizontal="center"/>
    </xf>
    <xf numFmtId="172" fontId="18" fillId="7" borderId="2" xfId="0" applyNumberFormat="1" applyFont="1" applyFill="1" applyBorder="1" applyAlignment="1" applyProtection="1">
      <alignment horizontal="center"/>
    </xf>
    <xf numFmtId="0" fontId="18" fillId="0" borderId="2" xfId="0" applyFont="1" applyBorder="1" applyAlignment="1" applyProtection="1">
      <alignment horizontal="left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 wrapText="1"/>
    </xf>
    <xf numFmtId="3" fontId="18" fillId="0" borderId="0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Protection="1"/>
    <xf numFmtId="0" fontId="19" fillId="0" borderId="0" xfId="0" applyFont="1" applyAlignment="1" applyProtection="1">
      <alignment horizont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39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top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Fill="1" applyProtection="1"/>
    <xf numFmtId="49" fontId="18" fillId="0" borderId="0" xfId="6" applyNumberFormat="1" applyFont="1"/>
    <xf numFmtId="49" fontId="18" fillId="0" borderId="0" xfId="6" applyNumberFormat="1" applyFont="1" applyProtection="1"/>
    <xf numFmtId="0" fontId="18" fillId="0" borderId="0" xfId="6" applyFont="1" applyProtection="1"/>
    <xf numFmtId="0" fontId="30" fillId="0" borderId="17" xfId="6" applyFont="1" applyBorder="1" applyAlignment="1" applyProtection="1">
      <alignment horizontal="center" vertical="top"/>
    </xf>
    <xf numFmtId="0" fontId="18" fillId="0" borderId="2" xfId="6" applyFont="1" applyBorder="1"/>
    <xf numFmtId="49" fontId="30" fillId="0" borderId="14" xfId="6" applyNumberFormat="1" applyFont="1" applyBorder="1" applyAlignment="1" applyProtection="1">
      <alignment horizontal="center" vertical="center" wrapText="1"/>
    </xf>
    <xf numFmtId="0" fontId="18" fillId="0" borderId="13" xfId="6" applyFont="1" applyBorder="1"/>
    <xf numFmtId="49" fontId="30" fillId="0" borderId="14" xfId="6" applyNumberFormat="1" applyFont="1" applyBorder="1" applyAlignment="1" applyProtection="1">
      <alignment horizontal="right" vertical="center" wrapText="1"/>
    </xf>
    <xf numFmtId="9" fontId="22" fillId="3" borderId="13" xfId="2" applyFont="1" applyFill="1" applyBorder="1" applyAlignment="1" applyProtection="1">
      <alignment horizontal="center" vertical="center" wrapText="1"/>
    </xf>
    <xf numFmtId="2" fontId="18" fillId="0" borderId="0" xfId="6" applyNumberFormat="1" applyFont="1"/>
    <xf numFmtId="2" fontId="18" fillId="0" borderId="2" xfId="6" applyNumberFormat="1" applyFont="1" applyBorder="1"/>
    <xf numFmtId="4" fontId="18" fillId="0" borderId="0" xfId="6" applyNumberFormat="1" applyFont="1"/>
    <xf numFmtId="10" fontId="22" fillId="4" borderId="13" xfId="2" applyNumberFormat="1" applyFont="1" applyFill="1" applyBorder="1" applyAlignment="1" applyProtection="1">
      <alignment horizontal="center" vertical="center" wrapText="1"/>
    </xf>
    <xf numFmtId="10" fontId="22" fillId="0" borderId="13" xfId="2" applyNumberFormat="1" applyFont="1" applyFill="1" applyBorder="1" applyAlignment="1" applyProtection="1">
      <alignment horizontal="center" vertical="center" wrapText="1"/>
    </xf>
    <xf numFmtId="2" fontId="18" fillId="5" borderId="0" xfId="6" applyNumberFormat="1" applyFont="1" applyFill="1"/>
    <xf numFmtId="10" fontId="22" fillId="3" borderId="13" xfId="2" applyNumberFormat="1" applyFont="1" applyFill="1" applyBorder="1" applyAlignment="1" applyProtection="1">
      <alignment horizontal="center" vertical="center" wrapText="1"/>
    </xf>
    <xf numFmtId="49" fontId="32" fillId="0" borderId="14" xfId="6" applyNumberFormat="1" applyFont="1" applyBorder="1" applyAlignment="1" applyProtection="1">
      <alignment horizontal="right" vertical="center" wrapText="1"/>
    </xf>
    <xf numFmtId="4" fontId="22" fillId="0" borderId="0" xfId="6" applyNumberFormat="1" applyFont="1"/>
    <xf numFmtId="0" fontId="22" fillId="0" borderId="0" xfId="6" applyFont="1"/>
    <xf numFmtId="2" fontId="22" fillId="0" borderId="2" xfId="6" applyNumberFormat="1" applyFont="1" applyBorder="1"/>
    <xf numFmtId="0" fontId="22" fillId="0" borderId="2" xfId="6" applyFont="1" applyBorder="1"/>
    <xf numFmtId="2" fontId="22" fillId="0" borderId="0" xfId="6" applyNumberFormat="1" applyFont="1" applyBorder="1"/>
    <xf numFmtId="0" fontId="22" fillId="0" borderId="0" xfId="6" applyFont="1" applyBorder="1"/>
    <xf numFmtId="165" fontId="22" fillId="0" borderId="0" xfId="4" applyFont="1"/>
    <xf numFmtId="2" fontId="22" fillId="0" borderId="0" xfId="6" applyNumberFormat="1" applyFont="1"/>
    <xf numFmtId="49" fontId="32" fillId="0" borderId="0" xfId="6" applyNumberFormat="1" applyFont="1" applyBorder="1" applyAlignment="1" applyProtection="1">
      <alignment horizontal="right" vertical="center" wrapText="1"/>
    </xf>
    <xf numFmtId="49" fontId="32" fillId="0" borderId="0" xfId="6" applyNumberFormat="1" applyFont="1" applyBorder="1" applyAlignment="1" applyProtection="1">
      <alignment horizontal="center" vertical="center" wrapText="1"/>
    </xf>
    <xf numFmtId="0" fontId="32" fillId="0" borderId="27" xfId="6" applyFont="1" applyBorder="1" applyAlignment="1" applyProtection="1">
      <alignment vertical="center" wrapText="1"/>
    </xf>
    <xf numFmtId="4" fontId="18" fillId="0" borderId="27" xfId="6" applyNumberFormat="1" applyFont="1" applyBorder="1"/>
    <xf numFmtId="173" fontId="18" fillId="0" borderId="2" xfId="2" applyNumberFormat="1" applyFont="1" applyBorder="1"/>
    <xf numFmtId="173" fontId="18" fillId="0" borderId="0" xfId="2" applyNumberFormat="1" applyFont="1"/>
    <xf numFmtId="3" fontId="18" fillId="0" borderId="2" xfId="6" applyNumberFormat="1" applyFont="1" applyBorder="1"/>
    <xf numFmtId="0" fontId="18" fillId="0" borderId="0" xfId="6" applyFont="1" applyBorder="1"/>
    <xf numFmtId="3" fontId="18" fillId="0" borderId="0" xfId="6" applyNumberFormat="1" applyFont="1" applyBorder="1"/>
    <xf numFmtId="0" fontId="19" fillId="0" borderId="1" xfId="6" applyFont="1" applyBorder="1" applyAlignment="1" applyProtection="1">
      <alignment vertical="center" wrapText="1"/>
    </xf>
    <xf numFmtId="2" fontId="26" fillId="0" borderId="0" xfId="0" applyNumberFormat="1" applyFont="1"/>
    <xf numFmtId="2" fontId="45" fillId="0" borderId="0" xfId="0" applyNumberFormat="1" applyFont="1"/>
    <xf numFmtId="4" fontId="18" fillId="5" borderId="0" xfId="6" applyNumberFormat="1" applyFont="1" applyFill="1"/>
    <xf numFmtId="0" fontId="46" fillId="0" borderId="0" xfId="7" applyFont="1" applyFill="1" applyAlignment="1">
      <alignment horizontal="center" vertical="center" wrapText="1"/>
    </xf>
    <xf numFmtId="0" fontId="46" fillId="0" borderId="0" xfId="7" applyFont="1" applyFill="1"/>
    <xf numFmtId="0" fontId="46" fillId="0" borderId="0" xfId="7" applyFont="1" applyFill="1" applyAlignment="1">
      <alignment horizontal="center" wrapText="1"/>
    </xf>
    <xf numFmtId="0" fontId="47" fillId="0" borderId="0" xfId="7" applyFont="1" applyBorder="1" applyAlignment="1">
      <alignment horizontal="center" vertical="center" wrapText="1"/>
    </xf>
    <xf numFmtId="0" fontId="48" fillId="0" borderId="1" xfId="7" applyFont="1" applyFill="1" applyBorder="1" applyAlignment="1">
      <alignment horizontal="center" vertical="center" wrapText="1"/>
    </xf>
    <xf numFmtId="0" fontId="48" fillId="0" borderId="11" xfId="7" applyFont="1" applyFill="1" applyBorder="1" applyAlignment="1">
      <alignment horizontal="center" vertical="center" wrapText="1"/>
    </xf>
    <xf numFmtId="0" fontId="48" fillId="0" borderId="2" xfId="7" applyFont="1" applyFill="1" applyBorder="1" applyAlignment="1">
      <alignment horizontal="center" vertical="center" wrapText="1"/>
    </xf>
    <xf numFmtId="0" fontId="48" fillId="0" borderId="12" xfId="7" applyFont="1" applyFill="1" applyBorder="1" applyAlignment="1">
      <alignment horizontal="center" vertical="center"/>
    </xf>
    <xf numFmtId="0" fontId="48" fillId="0" borderId="12" xfId="7" applyFont="1" applyFill="1" applyBorder="1"/>
    <xf numFmtId="0" fontId="48" fillId="0" borderId="19" xfId="7" applyFont="1" applyFill="1" applyBorder="1" applyAlignment="1">
      <alignment horizontal="center" wrapText="1"/>
    </xf>
    <xf numFmtId="0" fontId="48" fillId="0" borderId="4" xfId="7" applyFont="1" applyFill="1" applyBorder="1" applyAlignment="1">
      <alignment horizontal="center" vertical="center" wrapText="1"/>
    </xf>
    <xf numFmtId="0" fontId="48" fillId="0" borderId="19" xfId="7" applyFont="1" applyFill="1" applyBorder="1" applyAlignment="1">
      <alignment horizontal="center" vertical="center" wrapText="1"/>
    </xf>
    <xf numFmtId="0" fontId="48" fillId="0" borderId="20" xfId="7" applyFont="1" applyFill="1" applyBorder="1" applyAlignment="1">
      <alignment horizontal="center" vertical="center" wrapText="1"/>
    </xf>
    <xf numFmtId="0" fontId="48" fillId="0" borderId="22" xfId="7" applyFont="1" applyFill="1" applyBorder="1" applyAlignment="1">
      <alignment horizontal="center" vertical="center" wrapText="1"/>
    </xf>
    <xf numFmtId="0" fontId="46" fillId="11" borderId="39" xfId="7" applyFont="1" applyFill="1" applyBorder="1" applyAlignment="1">
      <alignment horizontal="center" vertical="center" wrapText="1"/>
    </xf>
    <xf numFmtId="0" fontId="46" fillId="0" borderId="29" xfId="7" applyFont="1" applyFill="1" applyBorder="1" applyAlignment="1">
      <alignment horizontal="center" wrapText="1"/>
    </xf>
    <xf numFmtId="0" fontId="46" fillId="0" borderId="1" xfId="7" applyFont="1" applyFill="1" applyBorder="1" applyAlignment="1">
      <alignment horizontal="center" wrapText="1"/>
    </xf>
    <xf numFmtId="0" fontId="46" fillId="0" borderId="5" xfId="7" applyFont="1" applyFill="1" applyBorder="1" applyAlignment="1">
      <alignment horizontal="center" wrapText="1"/>
    </xf>
    <xf numFmtId="0" fontId="46" fillId="0" borderId="6" xfId="7" applyFont="1" applyFill="1" applyBorder="1" applyAlignment="1">
      <alignment horizontal="center" wrapText="1"/>
    </xf>
    <xf numFmtId="0" fontId="46" fillId="0" borderId="34" xfId="7" applyFont="1" applyFill="1" applyBorder="1"/>
    <xf numFmtId="0" fontId="51" fillId="0" borderId="39" xfId="7" applyFont="1" applyFill="1" applyBorder="1" applyAlignment="1">
      <alignment horizontal="center" vertical="center" wrapText="1"/>
    </xf>
    <xf numFmtId="0" fontId="6" fillId="0" borderId="39" xfId="7" applyFont="1" applyFill="1" applyBorder="1" applyAlignment="1">
      <alignment horizontal="left" vertical="center" wrapText="1"/>
    </xf>
    <xf numFmtId="164" fontId="6" fillId="7" borderId="29" xfId="1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164" fontId="6" fillId="7" borderId="11" xfId="1" applyFont="1" applyFill="1" applyBorder="1" applyAlignment="1">
      <alignment horizontal="center" vertical="center" wrapText="1"/>
    </xf>
    <xf numFmtId="164" fontId="6" fillId="7" borderId="2" xfId="1" applyFont="1" applyFill="1" applyBorder="1" applyAlignment="1">
      <alignment horizontal="center" vertical="center" wrapText="1"/>
    </xf>
    <xf numFmtId="4" fontId="51" fillId="0" borderId="12" xfId="7" applyNumberFormat="1" applyFont="1" applyFill="1" applyBorder="1" applyAlignment="1">
      <alignment vertical="center"/>
    </xf>
    <xf numFmtId="49" fontId="51" fillId="0" borderId="39" xfId="7" applyNumberFormat="1" applyFont="1" applyFill="1" applyBorder="1" applyAlignment="1">
      <alignment horizontal="center" vertical="center" wrapText="1"/>
    </xf>
    <xf numFmtId="164" fontId="6" fillId="0" borderId="11" xfId="1" applyFont="1" applyFill="1" applyBorder="1" applyAlignment="1">
      <alignment horizontal="center" vertical="center" wrapText="1"/>
    </xf>
    <xf numFmtId="164" fontId="6" fillId="0" borderId="14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51" fillId="0" borderId="12" xfId="7" applyFont="1" applyFill="1" applyBorder="1"/>
    <xf numFmtId="164" fontId="6" fillId="0" borderId="29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4" fontId="51" fillId="0" borderId="12" xfId="7" applyNumberFormat="1" applyFont="1" applyFill="1" applyBorder="1"/>
    <xf numFmtId="164" fontId="6" fillId="0" borderId="18" xfId="1" applyFont="1" applyFill="1" applyBorder="1" applyAlignment="1">
      <alignment horizontal="center" vertical="center" wrapText="1"/>
    </xf>
    <xf numFmtId="164" fontId="6" fillId="0" borderId="16" xfId="1" applyFont="1" applyFill="1" applyBorder="1" applyAlignment="1">
      <alignment horizontal="center" vertical="center" wrapText="1"/>
    </xf>
    <xf numFmtId="164" fontId="6" fillId="0" borderId="25" xfId="1" applyFont="1" applyFill="1" applyBorder="1" applyAlignment="1">
      <alignment horizontal="center" vertical="center" wrapText="1"/>
    </xf>
    <xf numFmtId="164" fontId="6" fillId="0" borderId="27" xfId="1" applyFont="1" applyFill="1" applyBorder="1" applyAlignment="1">
      <alignment horizontal="center" vertical="center" wrapText="1"/>
    </xf>
    <xf numFmtId="164" fontId="51" fillId="0" borderId="29" xfId="1" applyFont="1" applyFill="1" applyBorder="1" applyAlignment="1">
      <alignment horizontal="center" vertical="center" wrapText="1"/>
    </xf>
    <xf numFmtId="164" fontId="51" fillId="0" borderId="1" xfId="1" applyFont="1" applyFill="1" applyBorder="1" applyAlignment="1">
      <alignment horizontal="center" vertical="center" wrapText="1"/>
    </xf>
    <xf numFmtId="164" fontId="51" fillId="0" borderId="11" xfId="1" applyFont="1" applyFill="1" applyBorder="1" applyAlignment="1">
      <alignment horizontal="center" vertical="center" wrapText="1"/>
    </xf>
    <xf numFmtId="164" fontId="51" fillId="0" borderId="2" xfId="1" applyFont="1" applyFill="1" applyBorder="1" applyAlignment="1">
      <alignment horizontal="center" vertical="center" wrapText="1"/>
    </xf>
    <xf numFmtId="0" fontId="47" fillId="0" borderId="39" xfId="7" applyFont="1" applyFill="1" applyBorder="1" applyAlignment="1">
      <alignment horizontal="center" vertical="center" wrapText="1"/>
    </xf>
    <xf numFmtId="0" fontId="7" fillId="0" borderId="39" xfId="7" applyFont="1" applyFill="1" applyBorder="1" applyAlignment="1">
      <alignment horizontal="left" vertical="center" wrapText="1"/>
    </xf>
    <xf numFmtId="164" fontId="47" fillId="11" borderId="29" xfId="1" applyFont="1" applyFill="1" applyBorder="1" applyAlignment="1">
      <alignment horizontal="center" vertical="center" wrapText="1"/>
    </xf>
    <xf numFmtId="164" fontId="47" fillId="11" borderId="1" xfId="1" applyFont="1" applyFill="1" applyBorder="1" applyAlignment="1">
      <alignment horizontal="center" vertical="center" wrapText="1"/>
    </xf>
    <xf numFmtId="164" fontId="47" fillId="11" borderId="11" xfId="1" applyFont="1" applyFill="1" applyBorder="1" applyAlignment="1">
      <alignment horizontal="center" vertical="center" wrapText="1"/>
    </xf>
    <xf numFmtId="164" fontId="47" fillId="11" borderId="2" xfId="1" applyFont="1" applyFill="1" applyBorder="1" applyAlignment="1">
      <alignment horizontal="center" vertical="center" wrapText="1"/>
    </xf>
    <xf numFmtId="164" fontId="47" fillId="11" borderId="12" xfId="1" applyFont="1" applyFill="1" applyBorder="1" applyAlignment="1">
      <alignment horizontal="center" vertical="center" wrapText="1"/>
    </xf>
    <xf numFmtId="164" fontId="51" fillId="11" borderId="29" xfId="1" applyFont="1" applyFill="1" applyBorder="1" applyAlignment="1">
      <alignment horizontal="center" vertical="center" wrapText="1"/>
    </xf>
    <xf numFmtId="164" fontId="51" fillId="11" borderId="1" xfId="1" applyFont="1" applyFill="1" applyBorder="1" applyAlignment="1">
      <alignment horizontal="center" vertical="center" wrapText="1"/>
    </xf>
    <xf numFmtId="164" fontId="51" fillId="11" borderId="11" xfId="1" applyFont="1" applyFill="1" applyBorder="1" applyAlignment="1">
      <alignment horizontal="center" vertical="center" wrapText="1"/>
    </xf>
    <xf numFmtId="164" fontId="51" fillId="11" borderId="2" xfId="1" applyFont="1" applyFill="1" applyBorder="1" applyAlignment="1">
      <alignment horizontal="center" vertical="center" wrapText="1"/>
    </xf>
    <xf numFmtId="164" fontId="51" fillId="11" borderId="12" xfId="1" applyFont="1" applyFill="1" applyBorder="1" applyAlignment="1">
      <alignment horizontal="center" vertical="center" wrapText="1"/>
    </xf>
    <xf numFmtId="0" fontId="47" fillId="0" borderId="40" xfId="7" applyFont="1" applyFill="1" applyBorder="1" applyAlignment="1">
      <alignment horizontal="center" vertical="center" wrapText="1"/>
    </xf>
    <xf numFmtId="0" fontId="7" fillId="0" borderId="40" xfId="7" applyFont="1" applyFill="1" applyBorder="1" applyAlignment="1">
      <alignment horizontal="left" vertical="center" wrapText="1"/>
    </xf>
    <xf numFmtId="164" fontId="47" fillId="11" borderId="19" xfId="1" applyFont="1" applyFill="1" applyBorder="1" applyAlignment="1">
      <alignment horizontal="center" vertical="center" wrapText="1"/>
    </xf>
    <xf numFmtId="164" fontId="47" fillId="11" borderId="41" xfId="1" applyFont="1" applyFill="1" applyBorder="1" applyAlignment="1">
      <alignment horizontal="center" vertical="center" wrapText="1"/>
    </xf>
    <xf numFmtId="164" fontId="47" fillId="11" borderId="20" xfId="1" applyFont="1" applyFill="1" applyBorder="1" applyAlignment="1">
      <alignment horizontal="center" vertical="center" wrapText="1"/>
    </xf>
    <xf numFmtId="164" fontId="47" fillId="11" borderId="22" xfId="1" applyFont="1" applyFill="1" applyBorder="1" applyAlignment="1">
      <alignment horizontal="center" vertical="center" wrapText="1"/>
    </xf>
    <xf numFmtId="0" fontId="46" fillId="0" borderId="39" xfId="7" applyFont="1" applyFill="1" applyBorder="1" applyAlignment="1">
      <alignment horizontal="center" vertical="center" wrapText="1"/>
    </xf>
    <xf numFmtId="0" fontId="5" fillId="0" borderId="39" xfId="7" applyFont="1" applyFill="1" applyBorder="1" applyAlignment="1">
      <alignment horizontal="justify" vertical="center" wrapText="1"/>
    </xf>
    <xf numFmtId="164" fontId="47" fillId="0" borderId="1" xfId="1" applyFont="1" applyFill="1" applyBorder="1" applyAlignment="1">
      <alignment horizontal="center" vertical="center" wrapText="1"/>
    </xf>
    <xf numFmtId="164" fontId="51" fillId="11" borderId="27" xfId="1" applyFont="1" applyFill="1" applyBorder="1" applyAlignment="1">
      <alignment horizontal="center" vertical="center" wrapText="1"/>
    </xf>
    <xf numFmtId="0" fontId="46" fillId="0" borderId="28" xfId="7" applyFont="1" applyFill="1" applyBorder="1"/>
    <xf numFmtId="0" fontId="46" fillId="0" borderId="38" xfId="7" applyFont="1" applyFill="1" applyBorder="1" applyAlignment="1">
      <alignment horizontal="center" vertical="center" wrapText="1"/>
    </xf>
    <xf numFmtId="0" fontId="48" fillId="0" borderId="38" xfId="7" applyFont="1" applyFill="1" applyBorder="1" applyAlignment="1">
      <alignment horizontal="left" vertical="center" wrapText="1"/>
    </xf>
    <xf numFmtId="164" fontId="51" fillId="0" borderId="42" xfId="1" applyFont="1" applyFill="1" applyBorder="1" applyAlignment="1">
      <alignment horizontal="center" vertical="center" wrapText="1"/>
    </xf>
    <xf numFmtId="164" fontId="51" fillId="0" borderId="4" xfId="1" applyFont="1" applyFill="1" applyBorder="1" applyAlignment="1">
      <alignment horizontal="center" vertical="center"/>
    </xf>
    <xf numFmtId="164" fontId="51" fillId="0" borderId="19" xfId="1" applyFont="1" applyFill="1" applyBorder="1" applyAlignment="1">
      <alignment horizontal="center" vertical="center" wrapText="1"/>
    </xf>
    <xf numFmtId="164" fontId="51" fillId="0" borderId="20" xfId="1" applyFont="1" applyFill="1" applyBorder="1" applyAlignment="1">
      <alignment horizontal="center" vertical="center" wrapText="1"/>
    </xf>
    <xf numFmtId="0" fontId="46" fillId="0" borderId="22" xfId="7" applyFont="1" applyFill="1" applyBorder="1"/>
    <xf numFmtId="0" fontId="51" fillId="0" borderId="0" xfId="7" applyFont="1" applyFill="1" applyAlignment="1">
      <alignment wrapText="1"/>
    </xf>
    <xf numFmtId="0" fontId="51" fillId="0" borderId="0" xfId="7" applyFont="1" applyFill="1" applyAlignment="1">
      <alignment horizontal="center" wrapText="1"/>
    </xf>
    <xf numFmtId="0" fontId="51" fillId="0" borderId="0" xfId="7" applyFont="1" applyFill="1"/>
    <xf numFmtId="0" fontId="53" fillId="0" borderId="0" xfId="6" applyFont="1" applyBorder="1" applyAlignment="1" applyProtection="1">
      <alignment vertical="center" wrapText="1"/>
    </xf>
    <xf numFmtId="0" fontId="48" fillId="0" borderId="0" xfId="7" applyFont="1" applyFill="1"/>
    <xf numFmtId="0" fontId="14" fillId="5" borderId="2" xfId="3" applyFont="1" applyFill="1" applyBorder="1" applyAlignment="1">
      <alignment wrapText="1"/>
    </xf>
    <xf numFmtId="4" fontId="10" fillId="5" borderId="2" xfId="3" applyNumberFormat="1" applyFont="1" applyFill="1" applyBorder="1" applyAlignment="1">
      <alignment horizontal="center" wrapText="1"/>
    </xf>
    <xf numFmtId="166" fontId="5" fillId="5" borderId="2" xfId="4" applyNumberFormat="1" applyFont="1" applyFill="1" applyBorder="1" applyAlignment="1">
      <alignment horizontal="center" wrapText="1"/>
    </xf>
    <xf numFmtId="2" fontId="10" fillId="5" borderId="2" xfId="3" applyNumberFormat="1" applyFont="1" applyFill="1" applyBorder="1" applyAlignment="1">
      <alignment horizontal="center" vertical="center"/>
    </xf>
    <xf numFmtId="2" fontId="10" fillId="5" borderId="2" xfId="3" applyNumberFormat="1" applyFont="1" applyFill="1" applyBorder="1" applyAlignment="1">
      <alignment horizontal="center" vertical="center" wrapText="1"/>
    </xf>
    <xf numFmtId="166" fontId="10" fillId="5" borderId="2" xfId="4" applyNumberFormat="1" applyFont="1" applyFill="1" applyBorder="1" applyAlignment="1">
      <alignment horizontal="center" vertical="center" wrapText="1"/>
    </xf>
    <xf numFmtId="0" fontId="19" fillId="0" borderId="0" xfId="6" applyFont="1" applyAlignment="1" applyProtection="1">
      <alignment horizontal="center"/>
    </xf>
    <xf numFmtId="0" fontId="18" fillId="0" borderId="0" xfId="6" applyNumberFormat="1" applyFont="1" applyAlignment="1" applyProtection="1">
      <alignment horizontal="center"/>
    </xf>
    <xf numFmtId="0" fontId="30" fillId="0" borderId="4" xfId="6" applyFont="1" applyBorder="1" applyAlignment="1" applyProtection="1">
      <alignment horizontal="center" vertical="top"/>
    </xf>
    <xf numFmtId="0" fontId="19" fillId="0" borderId="0" xfId="6" applyFont="1" applyBorder="1" applyAlignment="1" applyProtection="1">
      <alignment horizontal="center" vertical="center" wrapText="1"/>
    </xf>
    <xf numFmtId="0" fontId="18" fillId="0" borderId="0" xfId="6" applyFont="1" applyBorder="1" applyAlignment="1" applyProtection="1">
      <alignment horizontal="right"/>
    </xf>
    <xf numFmtId="49" fontId="30" fillId="0" borderId="14" xfId="6" applyNumberFormat="1" applyFont="1" applyBorder="1" applyAlignment="1" applyProtection="1">
      <alignment vertical="center" wrapText="1"/>
    </xf>
    <xf numFmtId="49" fontId="30" fillId="0" borderId="5" xfId="6" applyNumberFormat="1" applyFont="1" applyBorder="1" applyAlignment="1" applyProtection="1">
      <alignment horizontal="center" vertical="center" wrapText="1"/>
    </xf>
    <xf numFmtId="49" fontId="30" fillId="0" borderId="11" xfId="6" applyNumberFormat="1" applyFont="1" applyBorder="1" applyAlignment="1" applyProtection="1">
      <alignment horizontal="center" vertical="center" wrapText="1"/>
    </xf>
    <xf numFmtId="0" fontId="16" fillId="0" borderId="6" xfId="6" applyFont="1" applyBorder="1" applyAlignment="1" applyProtection="1">
      <alignment horizontal="center" vertical="center" wrapText="1"/>
    </xf>
    <xf numFmtId="0" fontId="16" fillId="0" borderId="2" xfId="6" applyFont="1" applyBorder="1" applyAlignment="1" applyProtection="1">
      <alignment horizontal="center" vertical="center" wrapText="1"/>
    </xf>
    <xf numFmtId="0" fontId="23" fillId="0" borderId="7" xfId="6" applyFont="1" applyBorder="1" applyAlignment="1" applyProtection="1">
      <alignment horizontal="center" vertical="center" wrapText="1"/>
    </xf>
    <xf numFmtId="0" fontId="23" fillId="0" borderId="8" xfId="6" applyFont="1" applyBorder="1" applyAlignment="1" applyProtection="1">
      <alignment horizontal="center" vertical="center" wrapText="1"/>
    </xf>
    <xf numFmtId="0" fontId="23" fillId="0" borderId="9" xfId="6" applyFont="1" applyBorder="1" applyAlignment="1" applyProtection="1">
      <alignment horizontal="center" vertical="center" wrapText="1"/>
    </xf>
    <xf numFmtId="0" fontId="23" fillId="0" borderId="7" xfId="6" applyFont="1" applyBorder="1" applyAlignment="1" applyProtection="1">
      <alignment horizontal="center" vertical="center"/>
    </xf>
    <xf numFmtId="0" fontId="23" fillId="0" borderId="9" xfId="6" applyFont="1" applyBorder="1" applyAlignment="1" applyProtection="1">
      <alignment horizontal="center" vertical="center"/>
    </xf>
    <xf numFmtId="0" fontId="21" fillId="0" borderId="10" xfId="6" applyFont="1" applyBorder="1" applyAlignment="1" applyProtection="1">
      <alignment horizontal="center" vertical="center"/>
    </xf>
    <xf numFmtId="0" fontId="21" fillId="0" borderId="15" xfId="6" applyFont="1" applyBorder="1" applyAlignment="1" applyProtection="1">
      <alignment horizontal="center" vertical="center"/>
    </xf>
    <xf numFmtId="0" fontId="23" fillId="0" borderId="13" xfId="6" applyFont="1" applyBorder="1" applyAlignment="1" applyProtection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9" fillId="0" borderId="0" xfId="6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/>
    </xf>
    <xf numFmtId="0" fontId="2" fillId="0" borderId="0" xfId="3" applyFont="1" applyFill="1" applyAlignment="1">
      <alignment horizontal="right"/>
    </xf>
    <xf numFmtId="2" fontId="7" fillId="0" borderId="0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/>
    </xf>
    <xf numFmtId="2" fontId="5" fillId="0" borderId="1" xfId="3" applyNumberFormat="1" applyFont="1" applyFill="1" applyBorder="1" applyAlignment="1">
      <alignment horizontal="right"/>
    </xf>
    <xf numFmtId="0" fontId="9" fillId="0" borderId="0" xfId="3" applyFont="1" applyFill="1" applyAlignment="1">
      <alignment horizontal="left" wrapText="1"/>
    </xf>
    <xf numFmtId="0" fontId="9" fillId="0" borderId="0" xfId="3" applyFont="1" applyFill="1" applyAlignment="1">
      <alignment horizontal="right"/>
    </xf>
    <xf numFmtId="0" fontId="10" fillId="0" borderId="0" xfId="3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justify" vertical="center" wrapText="1"/>
    </xf>
    <xf numFmtId="0" fontId="34" fillId="0" borderId="0" xfId="0" applyFont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top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top" wrapText="1"/>
      <protection locked="0"/>
    </xf>
    <xf numFmtId="3" fontId="18" fillId="8" borderId="2" xfId="0" applyNumberFormat="1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51" fillId="0" borderId="0" xfId="7" applyFont="1" applyBorder="1" applyAlignment="1">
      <alignment horizontal="center"/>
    </xf>
    <xf numFmtId="0" fontId="53" fillId="0" borderId="0" xfId="6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47" fillId="0" borderId="0" xfId="7" applyFont="1" applyBorder="1" applyAlignment="1">
      <alignment horizontal="center" vertical="center" wrapText="1"/>
    </xf>
    <xf numFmtId="0" fontId="46" fillId="0" borderId="4" xfId="7" applyFont="1" applyBorder="1" applyAlignment="1">
      <alignment horizontal="center" wrapText="1"/>
    </xf>
    <xf numFmtId="0" fontId="46" fillId="0" borderId="0" xfId="7" applyFont="1" applyBorder="1" applyAlignment="1">
      <alignment horizontal="center" wrapText="1"/>
    </xf>
    <xf numFmtId="0" fontId="48" fillId="0" borderId="30" xfId="7" applyFont="1" applyBorder="1" applyAlignment="1">
      <alignment horizontal="center" vertical="center" wrapText="1"/>
    </xf>
    <xf numFmtId="0" fontId="48" fillId="0" borderId="35" xfId="7" applyFont="1" applyBorder="1" applyAlignment="1">
      <alignment horizontal="center" vertical="center" wrapText="1"/>
    </xf>
    <xf numFmtId="0" fontId="48" fillId="0" borderId="37" xfId="7" applyFont="1" applyBorder="1" applyAlignment="1">
      <alignment horizontal="center" vertical="center" wrapText="1"/>
    </xf>
    <xf numFmtId="0" fontId="48" fillId="0" borderId="31" xfId="7" applyFont="1" applyBorder="1" applyAlignment="1">
      <alignment horizontal="center" vertical="center" wrapText="1"/>
    </xf>
    <xf numFmtId="0" fontId="48" fillId="0" borderId="36" xfId="7" applyFont="1" applyBorder="1" applyAlignment="1">
      <alignment horizontal="center" vertical="center" wrapText="1"/>
    </xf>
    <xf numFmtId="0" fontId="48" fillId="0" borderId="38" xfId="7" applyFont="1" applyBorder="1" applyAlignment="1">
      <alignment horizontal="center" vertical="center" wrapText="1"/>
    </xf>
    <xf numFmtId="0" fontId="48" fillId="0" borderId="32" xfId="7" applyFont="1" applyBorder="1" applyAlignment="1">
      <alignment horizontal="center" vertical="center" wrapText="1"/>
    </xf>
    <xf numFmtId="0" fontId="48" fillId="0" borderId="33" xfId="7" applyFont="1" applyBorder="1" applyAlignment="1">
      <alignment horizontal="center" vertical="center" wrapText="1"/>
    </xf>
    <xf numFmtId="0" fontId="48" fillId="0" borderId="5" xfId="7" applyFont="1" applyBorder="1" applyAlignment="1">
      <alignment horizontal="center" vertical="center" wrapText="1"/>
    </xf>
    <xf numFmtId="0" fontId="48" fillId="0" borderId="6" xfId="7" applyFont="1" applyBorder="1" applyAlignment="1">
      <alignment horizontal="center" vertical="center" wrapText="1"/>
    </xf>
    <xf numFmtId="0" fontId="48" fillId="0" borderId="34" xfId="7" applyFont="1" applyBorder="1" applyAlignment="1">
      <alignment horizontal="center" vertical="center" wrapText="1"/>
    </xf>
    <xf numFmtId="0" fontId="48" fillId="0" borderId="29" xfId="7" applyFont="1" applyBorder="1" applyAlignment="1">
      <alignment horizontal="center" vertical="center" wrapText="1"/>
    </xf>
    <xf numFmtId="0" fontId="48" fillId="0" borderId="11" xfId="7" applyFont="1" applyBorder="1" applyAlignment="1">
      <alignment horizontal="center" vertical="center" wrapText="1"/>
    </xf>
  </cellXfs>
  <cellStyles count="9">
    <cellStyle name="Обычный" xfId="0" builtinId="0"/>
    <cellStyle name="Обычный 19" xfId="3"/>
    <cellStyle name="Обычный 2 2 2 9" xfId="7"/>
    <cellStyle name="Обычный 3" xfId="5"/>
    <cellStyle name="Обычный 3 15" xfId="6"/>
    <cellStyle name="Обычный 30" xfId="8"/>
    <cellStyle name="Процентный" xfId="2" builtinId="5"/>
    <cellStyle name="Финансовый" xfId="1" builtinId="3"/>
    <cellStyle name="Финансовый 5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ovalova_v/Desktop/&#1088;&#1110;&#1096;&#1077;&#1085;&#1085;&#1103;%20&#1087;&#1086;%20&#1090;&#1072;&#1088;&#1080;&#1092;&#1072;&#1093;/&#1058;&#1040;&#1056;&#1048;&#1060;%202020%20%20&#1040;&#1058;%2025.06.2020%20&#1087;&#1077;&#1088;&#1077;&#1089;&#1095;&#1080;&#1090;&#1072;&#1085;&#1072;%20&#1090;&#1086;&#1083;&#1100;&#1082;&#1086;%20&#1108;&#1083;-&#1108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91;&#1089;&#1083;&#1091;&#1075;&#1072;%20&#1073;&#1077;&#1079;%20&#1079;&#1072;&#1097;&#1080;&#1090;&#1099;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6;&#1074;&#1072;&#1083;&#1086;&#1074;&#1072;%20&#1042;.&#1043;/&#1058;&#1072;&#1088;&#1080;&#1092;%202020/&#1044;&#1086;&#1076;&#1072;&#1090;&#1086;&#1082;%2010_&#1082;&#1091;&#1073;.&#1084;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kova_y/Downloads/&#1050;&#1080;&#1089;&#1077;&#1083;&#1100;%20&#1053;.&#1042;/&#1058;&#1040;&#1056;&#1048;&#1060;%202019/&#1055;&#1054;&#1057;&#1051;&#1059;&#1043;&#1040;/&#1055;&#1086;%20&#1075;&#1072;&#1083;&#1091;&#1079;&#1077;&#1074;&#1110;&#1081;%20&#1056;&#1086;&#1079;&#1088;&#1072;&#1093;&#1091;&#1085;&#1086;&#1082;%20&#1060;&#1054;&#1055;%20&#1085;&#1072;%202019&#1088;.%20&#1087;&#1086;%20&#1055;&#1040;&#1058;%20&#1057;&#1091;&#1084;&#1089;&#1100;&#1082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6;&#1074;&#1072;&#1083;&#1086;&#1074;&#1072;%20&#1042;.&#1043;/&#1058;&#1072;&#1088;&#1080;&#1092;%202020/&#1055;&#1086;&#1089;&#1083;&#1091;&#1075;&#1072;/&#1055;&#1086;%20&#1075;&#1072;&#1083;&#1091;&#1079;&#1077;&#1074;&#1110;&#1081;%20&#1056;&#1086;&#1079;&#1088;&#1072;&#1093;&#1091;&#1085;&#1086;&#1082;%20&#1060;&#1054;&#1055;%20&#1085;&#1072;%202020&#1088;.%20&#1087;&#1086;%20&#1040;&#1058;%20&#1057;&#1091;&#1084;&#1089;&#1100;&#1082;&#107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6;&#1074;&#1072;&#1083;&#1086;&#1074;&#1072;%20&#1042;.&#1043;/&#1058;&#1072;&#1088;&#1080;&#1092;%202020/&#1055;&#1086;&#1088;&#1110;&#1074;&#1085;&#1103;&#1085;&#1072;%20&#1090;&#1072;&#1073;&#1083;&#1080;&#1094;&#1103;%20&#1074;&#1080;&#1090;&#1088;&#1072;&#1090;%20&#1074;&#1086;&#1076;&#1080;%20&#1079;&#1072;%20&#1086;&#1087;&#1072;&#1083;%20&#1087;&#1077;&#1088;&#1110;&#1086;&#1076;%202019-2020%20(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Лист1"/>
      <sheetName val="ГВП"/>
      <sheetName val="структура тарифаУСЛУГА"/>
      <sheetName val="Д7_послуга"/>
      <sheetName val="Д8_послсуга"/>
      <sheetName val="Лист6"/>
    </sheetNames>
    <sheetDataSet>
      <sheetData sheetId="0"/>
      <sheetData sheetId="1"/>
      <sheetData sheetId="2">
        <row r="2">
          <cell r="BU2">
            <v>40900935.602436922</v>
          </cell>
        </row>
        <row r="16">
          <cell r="BC16">
            <v>712.92</v>
          </cell>
        </row>
        <row r="27">
          <cell r="BC27">
            <v>9170.56</v>
          </cell>
        </row>
        <row r="29">
          <cell r="BC29">
            <v>3302.28</v>
          </cell>
        </row>
        <row r="32">
          <cell r="BC32">
            <v>232000.04</v>
          </cell>
        </row>
        <row r="42">
          <cell r="BC42">
            <v>41666.67</v>
          </cell>
        </row>
        <row r="46">
          <cell r="BC46">
            <v>2880</v>
          </cell>
        </row>
      </sheetData>
      <sheetData sheetId="3">
        <row r="8">
          <cell r="M8">
            <v>7</v>
          </cell>
        </row>
      </sheetData>
      <sheetData sheetId="4"/>
      <sheetData sheetId="5"/>
      <sheetData sheetId="6"/>
      <sheetData sheetId="7">
        <row r="7">
          <cell r="C7">
            <v>4290923.5362099996</v>
          </cell>
          <cell r="E7">
            <v>546161.16</v>
          </cell>
          <cell r="F7">
            <v>207447713.88979983</v>
          </cell>
        </row>
      </sheetData>
      <sheetData sheetId="8">
        <row r="7">
          <cell r="J7">
            <v>169456.94099999999</v>
          </cell>
          <cell r="K7">
            <v>181.601</v>
          </cell>
          <cell r="L7">
            <v>27387.285</v>
          </cell>
          <cell r="M7">
            <v>25937.097000000002</v>
          </cell>
        </row>
        <row r="9">
          <cell r="E9">
            <v>1066.1581788790311</v>
          </cell>
          <cell r="G9">
            <v>1066.6882184872604</v>
          </cell>
          <cell r="H9">
            <v>1067.2381806495534</v>
          </cell>
        </row>
        <row r="24">
          <cell r="E24">
            <v>112.73611975406298</v>
          </cell>
          <cell r="G24">
            <v>139.61208965875312</v>
          </cell>
          <cell r="H24">
            <v>132.99652445461922</v>
          </cell>
        </row>
        <row r="25">
          <cell r="E25">
            <v>10.574051954710399</v>
          </cell>
          <cell r="F25">
            <v>13.040243113749902</v>
          </cell>
          <cell r="G25">
            <v>13.088368957214701</v>
          </cell>
          <cell r="H25">
            <v>12.46174723374997</v>
          </cell>
          <cell r="J25">
            <v>9.3658875517279387</v>
          </cell>
          <cell r="K25">
            <v>12.236628548571362</v>
          </cell>
          <cell r="L25">
            <v>12.110677164135266</v>
          </cell>
          <cell r="M25">
            <v>13.074990266689468</v>
          </cell>
        </row>
        <row r="27">
          <cell r="E27">
            <v>261.64</v>
          </cell>
          <cell r="G27">
            <v>228.93399999999997</v>
          </cell>
          <cell r="H27">
            <v>197.10999999999999</v>
          </cell>
        </row>
        <row r="29">
          <cell r="E29">
            <v>-10.138990154518632</v>
          </cell>
          <cell r="G29">
            <v>-10.138990154518627</v>
          </cell>
          <cell r="H29">
            <v>-10.138990154518623</v>
          </cell>
        </row>
      </sheetData>
      <sheetData sheetId="9">
        <row r="34">
          <cell r="F34">
            <v>147.41800000000001</v>
          </cell>
        </row>
      </sheetData>
      <sheetData sheetId="10">
        <row r="5">
          <cell r="H5" t="str">
            <v>АТ "Сумське НВО"</v>
          </cell>
        </row>
        <row r="14">
          <cell r="L14">
            <v>114531.63226769998</v>
          </cell>
          <cell r="P14">
            <v>122.73938855</v>
          </cell>
          <cell r="X14">
            <v>18510.369775599997</v>
          </cell>
          <cell r="AB14">
            <v>17530.223644099999</v>
          </cell>
        </row>
        <row r="15">
          <cell r="L15">
            <v>15582.940074160959</v>
          </cell>
          <cell r="P15">
            <v>16.699684791357733</v>
          </cell>
          <cell r="X15">
            <v>2518.4829752648925</v>
          </cell>
          <cell r="AB15">
            <v>2385.1264271830569</v>
          </cell>
        </row>
        <row r="16">
          <cell r="L16">
            <v>0</v>
          </cell>
          <cell r="P16">
            <v>0</v>
          </cell>
          <cell r="X16">
            <v>0</v>
          </cell>
          <cell r="AB16">
            <v>0</v>
          </cell>
        </row>
        <row r="17">
          <cell r="L17">
            <v>0</v>
          </cell>
          <cell r="P17">
            <v>0</v>
          </cell>
          <cell r="X17">
            <v>0</v>
          </cell>
          <cell r="AB17">
            <v>0</v>
          </cell>
        </row>
        <row r="18">
          <cell r="X18">
            <v>2411.006416855329</v>
          </cell>
        </row>
        <row r="19">
          <cell r="P19">
            <v>15.98706879911221</v>
          </cell>
          <cell r="AB19">
            <v>0</v>
          </cell>
        </row>
        <row r="21">
          <cell r="L21">
            <v>1827.4319389002806</v>
          </cell>
          <cell r="P21">
            <v>1.9583940650517813</v>
          </cell>
          <cell r="X21">
            <v>295.34582079328675</v>
          </cell>
          <cell r="AB21">
            <v>279.70692248100153</v>
          </cell>
        </row>
        <row r="22">
          <cell r="L22">
            <v>1319.2193038565283</v>
          </cell>
          <cell r="P22">
            <v>1.4137605894800698</v>
          </cell>
          <cell r="X22">
            <v>213.20953180796732</v>
          </cell>
          <cell r="AB22">
            <v>201.91984374602427</v>
          </cell>
        </row>
        <row r="23">
          <cell r="L23">
            <v>10732.159924719799</v>
          </cell>
          <cell r="P23">
            <v>11.501275562911527</v>
          </cell>
          <cell r="X23">
            <v>1734.5097863172198</v>
          </cell>
          <cell r="AB23">
            <v>1642.6655134000687</v>
          </cell>
        </row>
        <row r="25">
          <cell r="L25">
            <v>2361.0751834383559</v>
          </cell>
          <cell r="P25">
            <v>2.530280623840536</v>
          </cell>
          <cell r="X25">
            <v>381.59215298978836</v>
          </cell>
          <cell r="AB25">
            <v>361.38641294801516</v>
          </cell>
        </row>
        <row r="26">
          <cell r="L26">
            <v>1336.6492143591795</v>
          </cell>
          <cell r="P26">
            <v>1.4324396070435461</v>
          </cell>
          <cell r="X26">
            <v>216.02651837484157</v>
          </cell>
          <cell r="AB26">
            <v>204.58766765893549</v>
          </cell>
        </row>
        <row r="27">
          <cell r="L27">
            <v>4540.1872663450567</v>
          </cell>
          <cell r="P27">
            <v>4.8655578395902275</v>
          </cell>
          <cell r="X27">
            <v>733.77580099692091</v>
          </cell>
          <cell r="AB27">
            <v>694.92153481843263</v>
          </cell>
        </row>
        <row r="29">
          <cell r="L29">
            <v>2268.523928700235</v>
          </cell>
          <cell r="P29">
            <v>2.4310967231250289</v>
          </cell>
          <cell r="X29">
            <v>366.63420806488546</v>
          </cell>
          <cell r="AB29">
            <v>347.22050827955809</v>
          </cell>
        </row>
        <row r="30">
          <cell r="L30">
            <v>499.07526431405171</v>
          </cell>
          <cell r="P30">
            <v>0.53484127908750645</v>
          </cell>
          <cell r="X30">
            <v>80.659525774274798</v>
          </cell>
          <cell r="AB30">
            <v>76.388511821502775</v>
          </cell>
        </row>
        <row r="31">
          <cell r="L31">
            <v>456.381964093352</v>
          </cell>
          <cell r="P31">
            <v>0.48908838181681102</v>
          </cell>
          <cell r="X31">
            <v>73.759521715220856</v>
          </cell>
          <cell r="AB31">
            <v>69.853870852889941</v>
          </cell>
        </row>
        <row r="33">
          <cell r="L33">
            <v>247.76715208337106</v>
          </cell>
          <cell r="P33">
            <v>0.26552327877494419</v>
          </cell>
          <cell r="X33">
            <v>40.043621510585552</v>
          </cell>
          <cell r="AB33">
            <v>37.923266046683494</v>
          </cell>
        </row>
        <row r="34">
          <cell r="L34">
            <v>54.508773458341651</v>
          </cell>
          <cell r="P34">
            <v>5.8415121330487742E-2</v>
          </cell>
          <cell r="X34">
            <v>8.809596732328826</v>
          </cell>
          <cell r="AB34">
            <v>8.3431185302703721</v>
          </cell>
        </row>
        <row r="35">
          <cell r="L35">
            <v>108.08171966915813</v>
          </cell>
          <cell r="P35">
            <v>0.11582734975511441</v>
          </cell>
          <cell r="X35">
            <v>17.467946974620176</v>
          </cell>
          <cell r="AB35">
            <v>16.542999244780198</v>
          </cell>
        </row>
        <row r="44">
          <cell r="L44">
            <v>-1312.8978249696274</v>
          </cell>
          <cell r="P44">
            <v>-1.4946696505988266</v>
          </cell>
          <cell r="X44">
            <v>-221.55426241040604</v>
          </cell>
          <cell r="AB44">
            <v>-237.79797909292094</v>
          </cell>
        </row>
        <row r="48">
          <cell r="L48">
            <v>2627.676006159149</v>
          </cell>
          <cell r="P48">
            <v>3.679106480899728</v>
          </cell>
          <cell r="X48">
            <v>549.13729609889685</v>
          </cell>
          <cell r="AB48">
            <v>561.46961055754184</v>
          </cell>
        </row>
        <row r="49">
          <cell r="L49">
            <v>0</v>
          </cell>
          <cell r="P49">
            <v>3.340713971</v>
          </cell>
          <cell r="X49">
            <v>503.81373531199989</v>
          </cell>
          <cell r="AB49">
            <v>477.13620488199996</v>
          </cell>
        </row>
        <row r="50">
          <cell r="AB50">
            <v>0</v>
          </cell>
        </row>
        <row r="51">
          <cell r="L51">
            <v>8853.211350704345</v>
          </cell>
          <cell r="P51">
            <v>10.078946026543205</v>
          </cell>
          <cell r="X51">
            <v>1493.9979893820862</v>
          </cell>
          <cell r="AB51">
            <v>1603.5335938870244</v>
          </cell>
        </row>
        <row r="52">
          <cell r="L52">
            <v>3117.3126773539998</v>
          </cell>
          <cell r="P52">
            <v>3.340713971</v>
          </cell>
          <cell r="X52">
            <v>503.81373531199989</v>
          </cell>
          <cell r="AB52">
            <v>477.13620488199996</v>
          </cell>
        </row>
        <row r="57">
          <cell r="L57">
            <v>129489.999</v>
          </cell>
          <cell r="P57">
            <v>147.41800000000001</v>
          </cell>
          <cell r="X57">
            <v>21851.708999999999</v>
          </cell>
          <cell r="AB57">
            <v>23453.812999999998</v>
          </cell>
        </row>
      </sheetData>
      <sheetData sheetId="11">
        <row r="15">
          <cell r="K15">
            <v>17200.156567170001</v>
          </cell>
          <cell r="O15">
            <v>19.152546559999998</v>
          </cell>
          <cell r="S15">
            <v>2914.1439122400002</v>
          </cell>
          <cell r="W15">
            <v>3140.7000988299997</v>
          </cell>
        </row>
        <row r="38">
          <cell r="K38">
            <v>33879.763338359997</v>
          </cell>
          <cell r="O38">
            <v>28.566660040000002</v>
          </cell>
          <cell r="S38">
            <v>5002.599148205999</v>
          </cell>
          <cell r="W38">
            <v>4622.9810804300005</v>
          </cell>
        </row>
        <row r="61">
          <cell r="W61">
            <v>23453.813000000002</v>
          </cell>
        </row>
      </sheetData>
      <sheetData sheetId="12">
        <row r="12">
          <cell r="K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K13">
            <v>1353.8265055153784</v>
          </cell>
          <cell r="O13">
            <v>1.5412649419362963</v>
          </cell>
          <cell r="S13">
            <v>228.46106312047269</v>
          </cell>
          <cell r="W13">
            <v>245.21116642221267</v>
          </cell>
        </row>
        <row r="15">
          <cell r="K15">
            <v>297.84183121338327</v>
          </cell>
          <cell r="O15">
            <v>0.33907828722598521</v>
          </cell>
          <cell r="S15">
            <v>50.261433886503994</v>
          </cell>
          <cell r="W15">
            <v>53.946456612886792</v>
          </cell>
        </row>
        <row r="16">
          <cell r="K16">
            <v>1.3660839558343079</v>
          </cell>
          <cell r="O16">
            <v>1.5552194467248549E-3</v>
          </cell>
          <cell r="S16">
            <v>0.23052953357780276</v>
          </cell>
          <cell r="W16">
            <v>0.24743129114116461</v>
          </cell>
        </row>
        <row r="17">
          <cell r="K17">
            <v>58.52526166164094</v>
          </cell>
          <cell r="O17">
            <v>6.6628134143670692E-2</v>
          </cell>
          <cell r="S17">
            <v>9.8762606908278237</v>
          </cell>
          <cell r="W17">
            <v>10.600359513387561</v>
          </cell>
        </row>
        <row r="19">
          <cell r="K19">
            <v>25.505360571338063</v>
          </cell>
          <cell r="O19">
            <v>2.9036599534652208E-2</v>
          </cell>
          <cell r="S19">
            <v>4.3040831064100411</v>
          </cell>
          <cell r="W19">
            <v>4.6196460109458801</v>
          </cell>
        </row>
        <row r="20">
          <cell r="K20">
            <v>5.6111793256943727</v>
          </cell>
          <cell r="O20">
            <v>6.3880518976234847E-3</v>
          </cell>
          <cell r="S20">
            <v>0.94689828341020887</v>
          </cell>
          <cell r="W20">
            <v>1.0163221224080936</v>
          </cell>
        </row>
        <row r="21">
          <cell r="K21">
            <v>5.1311685002113077</v>
          </cell>
          <cell r="O21">
            <v>5.841583163222904E-3</v>
          </cell>
          <cell r="S21">
            <v>0.86589544955192976</v>
          </cell>
          <cell r="W21">
            <v>0.92938039543460393</v>
          </cell>
        </row>
        <row r="23">
          <cell r="K23">
            <v>2.7856838796698313</v>
          </cell>
          <cell r="O23">
            <v>3.1713641929456441E-3</v>
          </cell>
          <cell r="S23">
            <v>0.47008999903178755</v>
          </cell>
          <cell r="W23">
            <v>0.50455563592127861</v>
          </cell>
        </row>
        <row r="24">
          <cell r="K24">
            <v>0.61285045352736289</v>
          </cell>
          <cell r="O24">
            <v>6.9770012244804171E-4</v>
          </cell>
          <cell r="S24">
            <v>0.10341979978699327</v>
          </cell>
          <cell r="W24">
            <v>0.11100223990268129</v>
          </cell>
        </row>
        <row r="25">
          <cell r="K25">
            <v>1.2151818097950076</v>
          </cell>
          <cell r="O25">
            <v>1.3834247696330622E-3</v>
          </cell>
          <cell r="S25">
            <v>0.20506447984244602</v>
          </cell>
          <cell r="W25">
            <v>0.22009921343758507</v>
          </cell>
        </row>
      </sheetData>
      <sheetData sheetId="13">
        <row r="39">
          <cell r="L39">
            <v>16890.150955718374</v>
          </cell>
        </row>
        <row r="45">
          <cell r="E45">
            <v>1406.1974575853978</v>
          </cell>
          <cell r="G45">
            <v>1398.9259397329217</v>
          </cell>
          <cell r="I45">
            <v>1375.4430212024324</v>
          </cell>
          <cell r="L45">
            <v>245581.12559193521</v>
          </cell>
        </row>
      </sheetData>
      <sheetData sheetId="14">
        <row r="11">
          <cell r="D11">
            <v>675.8745412954197</v>
          </cell>
          <cell r="F11">
            <v>675.87458105467545</v>
          </cell>
          <cell r="H11">
            <v>675.87454540884039</v>
          </cell>
          <cell r="J11">
            <v>675.87396848034973</v>
          </cell>
        </row>
        <row r="12">
          <cell r="D12">
            <v>91.958110315239082</v>
          </cell>
          <cell r="F12">
            <v>91.958110315239082</v>
          </cell>
          <cell r="H12">
            <v>91.958110315239082</v>
          </cell>
          <cell r="J12">
            <v>91.958110315239082</v>
          </cell>
        </row>
        <row r="13">
          <cell r="D13">
            <v>0</v>
          </cell>
        </row>
        <row r="15">
          <cell r="D15">
            <v>0</v>
          </cell>
        </row>
        <row r="17">
          <cell r="D17">
            <v>10.784048904200864</v>
          </cell>
          <cell r="F17">
            <v>10.784048904200864</v>
          </cell>
          <cell r="H17">
            <v>10.784048904200864</v>
          </cell>
          <cell r="J17">
            <v>10.784048904200864</v>
          </cell>
        </row>
        <row r="18">
          <cell r="D18">
            <v>7.7849824036215098</v>
          </cell>
          <cell r="F18">
            <v>7.7849824036215098</v>
          </cell>
          <cell r="H18">
            <v>7.7849824036215098</v>
          </cell>
          <cell r="J18">
            <v>7.7849824036215098</v>
          </cell>
        </row>
        <row r="19">
          <cell r="D19">
            <v>63.332666466107163</v>
          </cell>
          <cell r="F19">
            <v>63.332666466107163</v>
          </cell>
          <cell r="H19">
            <v>63.332666466107163</v>
          </cell>
          <cell r="J19">
            <v>63.332666466107163</v>
          </cell>
        </row>
        <row r="21">
          <cell r="D21">
            <v>13.933186622543577</v>
          </cell>
          <cell r="F21">
            <v>13.933186622543577</v>
          </cell>
          <cell r="H21">
            <v>13.933186622543577</v>
          </cell>
          <cell r="J21">
            <v>13.933186622543577</v>
          </cell>
        </row>
        <row r="22">
          <cell r="D22">
            <v>7.8878398634564029</v>
          </cell>
          <cell r="F22">
            <v>7.8878398634564029</v>
          </cell>
          <cell r="H22">
            <v>7.8878398634564029</v>
          </cell>
          <cell r="J22">
            <v>7.8878398634564029</v>
          </cell>
        </row>
        <row r="23">
          <cell r="D23">
            <v>26.792571844814884</v>
          </cell>
          <cell r="F23">
            <v>26.792571844814884</v>
          </cell>
          <cell r="H23">
            <v>26.792571844814884</v>
          </cell>
          <cell r="J23">
            <v>26.792571844814884</v>
          </cell>
        </row>
        <row r="25">
          <cell r="D25">
            <v>13.387022775893467</v>
          </cell>
          <cell r="F25">
            <v>13.387022775893467</v>
          </cell>
          <cell r="H25">
            <v>13.387022775893467</v>
          </cell>
          <cell r="J25">
            <v>13.387022775893465</v>
          </cell>
        </row>
        <row r="26">
          <cell r="D26">
            <v>2.9451450106965624</v>
          </cell>
          <cell r="F26">
            <v>2.9451450106965624</v>
          </cell>
          <cell r="H26">
            <v>2.9451450106965624</v>
          </cell>
          <cell r="J26">
            <v>2.9451450106965629</v>
          </cell>
        </row>
        <row r="27">
          <cell r="D27">
            <v>2.6932031311325986</v>
          </cell>
          <cell r="F27">
            <v>2.6932031311325986</v>
          </cell>
          <cell r="H27">
            <v>2.693203131132599</v>
          </cell>
          <cell r="J27">
            <v>2.6932031311325986</v>
          </cell>
        </row>
        <row r="29">
          <cell r="D29">
            <v>1.4621245410264492</v>
          </cell>
          <cell r="F29">
            <v>1.4621245410264492</v>
          </cell>
          <cell r="H29">
            <v>1.4621245410264492</v>
          </cell>
          <cell r="J29">
            <v>1.4621245410264492</v>
          </cell>
        </row>
        <row r="30">
          <cell r="D30">
            <v>0.32166739902581892</v>
          </cell>
          <cell r="F30">
            <v>0.32166739902581892</v>
          </cell>
          <cell r="H30">
            <v>0.32166739902581892</v>
          </cell>
          <cell r="J30">
            <v>0.32166739902581892</v>
          </cell>
        </row>
        <row r="31">
          <cell r="D31">
            <v>0.63781229043405274</v>
          </cell>
          <cell r="F31">
            <v>0.63781229043405274</v>
          </cell>
          <cell r="H31">
            <v>0.63781229043405263</v>
          </cell>
          <cell r="J31">
            <v>0.63781229043405274</v>
          </cell>
        </row>
        <row r="40">
          <cell r="D40">
            <v>-7.7476780663096445</v>
          </cell>
          <cell r="F40">
            <v>-8.0896760087904305</v>
          </cell>
          <cell r="H40">
            <v>-9.1682573070116877</v>
          </cell>
          <cell r="J40">
            <v>-8.2305144277775266</v>
          </cell>
        </row>
        <row r="42">
          <cell r="F42">
            <v>20.05081175804381</v>
          </cell>
          <cell r="H42">
            <v>21.647357472485908</v>
          </cell>
          <cell r="J42">
            <v>20.259285361312592</v>
          </cell>
        </row>
        <row r="43">
          <cell r="F43">
            <v>18.395899239811463</v>
          </cell>
          <cell r="H43">
            <v>18.395898541845291</v>
          </cell>
          <cell r="J43">
            <v>18.395900743938636</v>
          </cell>
        </row>
        <row r="45">
          <cell r="F45">
            <v>54.550788418132221</v>
          </cell>
          <cell r="H45">
            <v>61.823942513189671</v>
          </cell>
          <cell r="J45">
            <v>55.50049849143565</v>
          </cell>
        </row>
        <row r="46">
          <cell r="F46">
            <v>18.395899239811463</v>
          </cell>
          <cell r="H46">
            <v>18.395898541845291</v>
          </cell>
          <cell r="J46">
            <v>18.395900743938636</v>
          </cell>
        </row>
        <row r="53">
          <cell r="C53">
            <v>169456.94099999999</v>
          </cell>
          <cell r="E53">
            <v>27387.285</v>
          </cell>
          <cell r="G53">
            <v>25937.097000000002</v>
          </cell>
          <cell r="I53">
            <v>181.601</v>
          </cell>
        </row>
      </sheetData>
      <sheetData sheetId="15">
        <row r="13">
          <cell r="D13">
            <v>132.83000000000001</v>
          </cell>
          <cell r="F13">
            <v>133.36000000000001</v>
          </cell>
          <cell r="H13">
            <v>133.90999999999997</v>
          </cell>
          <cell r="K13">
            <v>129.91999999999999</v>
          </cell>
        </row>
        <row r="36">
          <cell r="D36">
            <v>261.64</v>
          </cell>
          <cell r="F36">
            <v>228.93399999999997</v>
          </cell>
          <cell r="H36">
            <v>197.11</v>
          </cell>
          <cell r="K36">
            <v>193.78</v>
          </cell>
        </row>
      </sheetData>
      <sheetData sheetId="16">
        <row r="11">
          <cell r="D11">
            <v>10.455066151598151</v>
          </cell>
          <cell r="F11">
            <v>10.455066151598151</v>
          </cell>
          <cell r="H11">
            <v>10.455066151598151</v>
          </cell>
          <cell r="K11">
            <v>10.455066151598151</v>
          </cell>
        </row>
        <row r="13">
          <cell r="D13">
            <v>2.3001145533515936</v>
          </cell>
          <cell r="F13">
            <v>2.3001145533515936</v>
          </cell>
          <cell r="H13">
            <v>2.3001145533515936</v>
          </cell>
          <cell r="K13">
            <v>2.3001145533515936</v>
          </cell>
        </row>
        <row r="14">
          <cell r="D14">
            <v>1.0549725587952996E-2</v>
          </cell>
          <cell r="F14">
            <v>1.0549725587952996E-2</v>
          </cell>
          <cell r="H14">
            <v>1.0549725587952996E-2</v>
          </cell>
          <cell r="K14">
            <v>1.0549725587952996E-2</v>
          </cell>
        </row>
        <row r="15">
          <cell r="D15">
            <v>0.45196742693341851</v>
          </cell>
          <cell r="F15">
            <v>0.45196742693341851</v>
          </cell>
          <cell r="H15">
            <v>0.45196742693341851</v>
          </cell>
          <cell r="K15">
            <v>0.45196742693341851</v>
          </cell>
        </row>
        <row r="17">
          <cell r="D17">
            <v>0.19696780267438307</v>
          </cell>
          <cell r="F17">
            <v>0.1969678026743831</v>
          </cell>
          <cell r="H17">
            <v>0.19696780267438307</v>
          </cell>
          <cell r="K17">
            <v>0.19696780267438307</v>
          </cell>
        </row>
        <row r="18">
          <cell r="D18">
            <v>4.3332916588364273E-2</v>
          </cell>
          <cell r="F18">
            <v>4.3332916588364273E-2</v>
          </cell>
          <cell r="H18">
            <v>4.3332916588364273E-2</v>
          </cell>
          <cell r="K18">
            <v>4.3332916588364273E-2</v>
          </cell>
        </row>
        <row r="19">
          <cell r="D19">
            <v>3.9625983009014529E-2</v>
          </cell>
          <cell r="F19">
            <v>3.9625983009014529E-2</v>
          </cell>
          <cell r="H19">
            <v>3.9625983009014529E-2</v>
          </cell>
          <cell r="K19">
            <v>3.9625983009014529E-2</v>
          </cell>
        </row>
        <row r="21">
          <cell r="D21">
            <v>2.1512733810970464E-2</v>
          </cell>
          <cell r="F21">
            <v>2.1512733810970464E-2</v>
          </cell>
          <cell r="H21">
            <v>2.1512733810970467E-2</v>
          </cell>
          <cell r="K21">
            <v>2.1512733810970464E-2</v>
          </cell>
        </row>
        <row r="22">
          <cell r="D22">
            <v>4.7328014384135026E-3</v>
          </cell>
          <cell r="F22">
            <v>4.7328014384135026E-3</v>
          </cell>
          <cell r="H22">
            <v>4.7328014384135026E-3</v>
          </cell>
          <cell r="K22">
            <v>4.7328014384135026E-3</v>
          </cell>
        </row>
        <row r="23">
          <cell r="D23">
            <v>9.3843680529722435E-3</v>
          </cell>
          <cell r="F23">
            <v>9.3843680529722435E-3</v>
          </cell>
          <cell r="H23">
            <v>9.3843680529722435E-3</v>
          </cell>
          <cell r="K23">
            <v>9.3843680529722435E-3</v>
          </cell>
        </row>
      </sheetData>
      <sheetData sheetId="17">
        <row r="25">
          <cell r="E25">
            <v>1406.1974569715303</v>
          </cell>
        </row>
      </sheetData>
      <sheetData sheetId="18"/>
      <sheetData sheetId="19"/>
      <sheetData sheetId="20"/>
      <sheetData sheetId="21"/>
      <sheetData sheetId="22"/>
      <sheetData sheetId="23">
        <row r="11">
          <cell r="D11">
            <v>19530</v>
          </cell>
          <cell r="E11">
            <v>5202</v>
          </cell>
        </row>
        <row r="12">
          <cell r="D12">
            <v>909349</v>
          </cell>
          <cell r="E12">
            <v>135517</v>
          </cell>
        </row>
        <row r="16">
          <cell r="D16">
            <v>87433</v>
          </cell>
          <cell r="E16">
            <v>23313</v>
          </cell>
        </row>
        <row r="20">
          <cell r="C20">
            <v>0.1124168925756379</v>
          </cell>
          <cell r="D20">
            <v>0.10212793545739514</v>
          </cell>
          <cell r="E20">
            <v>0.17165284777292888</v>
          </cell>
        </row>
        <row r="28">
          <cell r="C28">
            <v>187</v>
          </cell>
        </row>
        <row r="30">
          <cell r="C30">
            <v>-25</v>
          </cell>
        </row>
      </sheetData>
      <sheetData sheetId="24">
        <row r="11">
          <cell r="C11">
            <v>20206</v>
          </cell>
        </row>
        <row r="40">
          <cell r="C40">
            <v>0.05</v>
          </cell>
        </row>
      </sheetData>
      <sheetData sheetId="25"/>
      <sheetData sheetId="26">
        <row r="11">
          <cell r="I11">
            <v>183.41127404094581</v>
          </cell>
        </row>
        <row r="13">
          <cell r="G13">
            <v>16.604055823316138</v>
          </cell>
          <cell r="I13">
            <v>3.128362711689308</v>
          </cell>
        </row>
        <row r="14">
          <cell r="G14">
            <v>3.6528922811295503</v>
          </cell>
          <cell r="I14">
            <v>0.6882397965716478</v>
          </cell>
        </row>
        <row r="15">
          <cell r="G15">
            <v>1.988295111342737</v>
          </cell>
          <cell r="I15">
            <v>0.34204656191277277</v>
          </cell>
        </row>
        <row r="17">
          <cell r="G17">
            <v>-818.29262721712826</v>
          </cell>
          <cell r="I17">
            <v>-140.77094400195483</v>
          </cell>
        </row>
        <row r="18">
          <cell r="G18">
            <v>270.11079487769126</v>
          </cell>
          <cell r="I18">
            <v>46.798979109164719</v>
          </cell>
        </row>
        <row r="21">
          <cell r="G21">
            <v>92.443618198331649</v>
          </cell>
          <cell r="I21">
            <v>15.903082794466421</v>
          </cell>
        </row>
        <row r="22">
          <cell r="G22">
            <v>20.292501555731338</v>
          </cell>
          <cell r="I22">
            <v>3.4909206134194579</v>
          </cell>
        </row>
        <row r="23">
          <cell r="G23">
            <v>3.0540287256411545</v>
          </cell>
          <cell r="I23">
            <v>0.52803160301652341</v>
          </cell>
        </row>
        <row r="24">
          <cell r="G24">
            <v>273.16482360333237</v>
          </cell>
          <cell r="I24">
            <v>47.327010712181242</v>
          </cell>
        </row>
        <row r="34">
          <cell r="C34">
            <v>1066.1581788790311</v>
          </cell>
        </row>
      </sheetData>
      <sheetData sheetId="27"/>
      <sheetData sheetId="28">
        <row r="13">
          <cell r="M13">
            <v>65.882959436225633</v>
          </cell>
          <cell r="O13">
            <v>64.274161416637099</v>
          </cell>
          <cell r="Q13">
            <v>62.710459524751727</v>
          </cell>
        </row>
        <row r="18">
          <cell r="M18">
            <v>14.352812795256961</v>
          </cell>
          <cell r="O18">
            <v>12.52591648783751</v>
          </cell>
          <cell r="Q18">
            <v>13.117422809381358</v>
          </cell>
        </row>
        <row r="22">
          <cell r="M22">
            <v>5.6368059877031493</v>
          </cell>
          <cell r="O22">
            <v>6.9806044829376557</v>
          </cell>
          <cell r="Q22">
            <v>6.6498262227309599</v>
          </cell>
        </row>
        <row r="24">
          <cell r="M24">
            <v>1.0146250777865669</v>
          </cell>
          <cell r="O24">
            <v>1.256508806928778</v>
          </cell>
          <cell r="Q24">
            <v>1.1969687200915728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  <cell r="P39">
            <v>0</v>
          </cell>
          <cell r="X39">
            <v>0</v>
          </cell>
        </row>
      </sheetData>
      <sheetData sheetId="9" refreshError="1">
        <row r="3">
          <cell r="B3" t="str">
            <v>ПАТ "Сумське НВО" Дирекція  "Котельня Північного промислового вузла"</v>
          </cell>
        </row>
        <row r="12">
          <cell r="K12">
            <v>0</v>
          </cell>
        </row>
        <row r="38">
          <cell r="K38">
            <v>0</v>
          </cell>
        </row>
        <row r="39">
          <cell r="K39">
            <v>0</v>
          </cell>
          <cell r="O39">
            <v>0</v>
          </cell>
          <cell r="W39">
            <v>0</v>
          </cell>
        </row>
      </sheetData>
      <sheetData sheetId="10" refreshError="1"/>
      <sheetData sheetId="11" refreshError="1"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  <cell r="O34">
            <v>0</v>
          </cell>
          <cell r="W3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ители"/>
      <sheetName val="д.2 тарифи 869 пост за табл 7.1"/>
      <sheetName val="д.3 розр за табл 2.3-2.6"/>
      <sheetName val="д.4 за табл 2.1"/>
      <sheetName val="Лист1"/>
      <sheetName val="ГВП"/>
      <sheetName val="структура тарифа"/>
      <sheetName val="собіварт"/>
      <sheetName val="соб Коміс"/>
      <sheetName val="Структура послуги аналіз"/>
      <sheetName val="Додаток4"/>
      <sheetName val="послуга"/>
      <sheetName val="Лист2"/>
      <sheetName val="послуга 2018"/>
      <sheetName val="расчет послуги"/>
      <sheetName val="расчет рыбал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C4">
            <v>9460.2366658989049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 10"/>
      <sheetName val="дод 11 "/>
      <sheetName val="дод 12"/>
      <sheetName val="Лист1"/>
    </sheetNames>
    <sheetDataSet>
      <sheetData sheetId="0">
        <row r="109">
          <cell r="G109">
            <v>22322.3</v>
          </cell>
        </row>
        <row r="111">
          <cell r="G111">
            <v>1831.64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рахунок зп. послуги"/>
      <sheetName val="розрахунок ФОП послуги"/>
      <sheetName val="відрахування на соцвиплати"/>
    </sheetNames>
    <sheetDataSet>
      <sheetData sheetId="0" refreshError="1">
        <row r="28">
          <cell r="N28">
            <v>6518.24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рахунок зп. послуги"/>
      <sheetName val="розрахунок ФОП послуги"/>
      <sheetName val="відрахування на соцвиплати"/>
    </sheetNames>
    <sheetDataSet>
      <sheetData sheetId="0"/>
      <sheetData sheetId="1"/>
      <sheetData sheetId="2">
        <row r="21">
          <cell r="D21">
            <v>736788</v>
          </cell>
        </row>
        <row r="26">
          <cell r="H26">
            <v>7738.2040000000006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ительная с Водоканалом"/>
      <sheetName val="Лист2"/>
      <sheetName val="Лист1"/>
    </sheetNames>
    <sheetDataSet>
      <sheetData sheetId="0">
        <row r="23">
          <cell r="H23">
            <v>1.5816227755118932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B1" workbookViewId="0">
      <selection activeCell="D30" sqref="D30"/>
    </sheetView>
  </sheetViews>
  <sheetFormatPr defaultColWidth="9.140625" defaultRowHeight="15" x14ac:dyDescent="0.25"/>
  <cols>
    <col min="1" max="1" width="6.140625" style="352" hidden="1" customWidth="1"/>
    <col min="2" max="2" width="6.7109375" style="150" customWidth="1"/>
    <col min="3" max="3" width="63.42578125" style="151" customWidth="1"/>
    <col min="4" max="4" width="14.5703125" style="151" customWidth="1"/>
    <col min="5" max="5" width="12.7109375" style="151" customWidth="1"/>
    <col min="6" max="6" width="14.5703125" style="151" customWidth="1"/>
    <col min="7" max="7" width="13" style="151" customWidth="1"/>
    <col min="8" max="8" width="14.28515625" style="151" customWidth="1"/>
    <col min="9" max="9" width="13.7109375" style="151" customWidth="1"/>
    <col min="10" max="10" width="13.5703125" style="151" customWidth="1"/>
    <col min="11" max="11" width="14.28515625" style="151" customWidth="1"/>
    <col min="12" max="12" width="15.5703125" style="151" customWidth="1"/>
    <col min="13" max="13" width="13.85546875" style="151" hidden="1" customWidth="1"/>
    <col min="14" max="14" width="11.140625" style="151" hidden="1" customWidth="1"/>
    <col min="15" max="15" width="17" style="151" hidden="1" customWidth="1"/>
    <col min="16" max="16" width="7.42578125" style="151" hidden="1" customWidth="1"/>
    <col min="17" max="17" width="12.7109375" style="151" hidden="1" customWidth="1"/>
    <col min="18" max="18" width="10.28515625" style="151" hidden="1" customWidth="1"/>
    <col min="19" max="19" width="7.42578125" style="151" hidden="1" customWidth="1"/>
    <col min="20" max="21" width="0" style="151" hidden="1" customWidth="1"/>
    <col min="22" max="22" width="15.140625" style="151" hidden="1" customWidth="1"/>
    <col min="23" max="23" width="12.140625" style="151" hidden="1" customWidth="1"/>
    <col min="24" max="24" width="11.28515625" style="151" bestFit="1" customWidth="1"/>
    <col min="25" max="16384" width="9.140625" style="151"/>
  </cols>
  <sheetData>
    <row r="1" spans="1:24" ht="15.75" x14ac:dyDescent="0.25">
      <c r="L1" s="152" t="s">
        <v>153</v>
      </c>
    </row>
    <row r="2" spans="1:24" ht="15.75" x14ac:dyDescent="0.25">
      <c r="A2" s="353"/>
      <c r="B2" s="153"/>
      <c r="C2" s="474" t="s">
        <v>154</v>
      </c>
      <c r="D2" s="474"/>
      <c r="E2" s="474"/>
      <c r="F2" s="474"/>
      <c r="G2" s="474"/>
      <c r="H2" s="474"/>
      <c r="I2" s="474"/>
      <c r="J2" s="154"/>
      <c r="L2" s="155"/>
      <c r="M2" s="155"/>
      <c r="N2" s="155"/>
      <c r="O2" s="155"/>
      <c r="P2" s="354"/>
      <c r="Q2" s="354"/>
      <c r="R2" s="354"/>
      <c r="S2" s="354"/>
    </row>
    <row r="3" spans="1:24" x14ac:dyDescent="0.25">
      <c r="A3" s="353"/>
      <c r="B3" s="153"/>
      <c r="C3" s="475" t="s">
        <v>155</v>
      </c>
      <c r="D3" s="475"/>
      <c r="E3" s="475"/>
      <c r="F3" s="475"/>
      <c r="G3" s="475"/>
      <c r="H3" s="475"/>
      <c r="I3" s="475"/>
      <c r="J3" s="156"/>
      <c r="K3" s="156"/>
      <c r="L3" s="157"/>
      <c r="M3" s="256"/>
      <c r="N3" s="256"/>
      <c r="O3" s="256"/>
      <c r="P3" s="354"/>
      <c r="Q3" s="354"/>
      <c r="R3" s="354"/>
      <c r="S3" s="354"/>
    </row>
    <row r="4" spans="1:24" ht="15.75" customHeight="1" thickBot="1" x14ac:dyDescent="0.3">
      <c r="A4" s="353"/>
      <c r="B4" s="153"/>
      <c r="C4" s="476" t="s">
        <v>156</v>
      </c>
      <c r="D4" s="476"/>
      <c r="E4" s="476"/>
      <c r="F4" s="476"/>
      <c r="G4" s="476"/>
      <c r="H4" s="476"/>
      <c r="I4" s="476"/>
      <c r="J4" s="158"/>
      <c r="K4" s="158"/>
      <c r="L4" s="155" t="s">
        <v>126</v>
      </c>
      <c r="M4" s="355"/>
      <c r="N4" s="355"/>
      <c r="O4" s="355"/>
      <c r="P4" s="354"/>
      <c r="Q4" s="354"/>
      <c r="R4" s="478"/>
      <c r="S4" s="478"/>
    </row>
    <row r="5" spans="1:24" ht="30" customHeight="1" x14ac:dyDescent="0.25">
      <c r="A5" s="479" t="s">
        <v>157</v>
      </c>
      <c r="B5" s="480" t="s">
        <v>157</v>
      </c>
      <c r="C5" s="482" t="s">
        <v>158</v>
      </c>
      <c r="D5" s="484" t="s">
        <v>6</v>
      </c>
      <c r="E5" s="485"/>
      <c r="F5" s="486" t="s">
        <v>108</v>
      </c>
      <c r="G5" s="486"/>
      <c r="H5" s="484" t="s">
        <v>159</v>
      </c>
      <c r="I5" s="485"/>
      <c r="J5" s="487" t="s">
        <v>160</v>
      </c>
      <c r="K5" s="488"/>
      <c r="L5" s="489" t="s">
        <v>161</v>
      </c>
      <c r="M5" s="491" t="s">
        <v>274</v>
      </c>
      <c r="R5" s="356"/>
      <c r="S5" s="356"/>
      <c r="T5" s="356"/>
      <c r="U5" s="356"/>
    </row>
    <row r="6" spans="1:24" ht="21" customHeight="1" x14ac:dyDescent="0.25">
      <c r="A6" s="479"/>
      <c r="B6" s="481"/>
      <c r="C6" s="483"/>
      <c r="D6" s="159" t="s">
        <v>162</v>
      </c>
      <c r="E6" s="160" t="s">
        <v>11</v>
      </c>
      <c r="F6" s="161" t="s">
        <v>162</v>
      </c>
      <c r="G6" s="162" t="s">
        <v>11</v>
      </c>
      <c r="H6" s="159" t="s">
        <v>162</v>
      </c>
      <c r="I6" s="160" t="s">
        <v>11</v>
      </c>
      <c r="J6" s="159" t="s">
        <v>162</v>
      </c>
      <c r="K6" s="162" t="s">
        <v>11</v>
      </c>
      <c r="L6" s="490"/>
      <c r="M6" s="491"/>
      <c r="R6" s="356"/>
      <c r="S6" s="356"/>
      <c r="T6" s="356"/>
      <c r="U6" s="356"/>
    </row>
    <row r="7" spans="1:24" x14ac:dyDescent="0.25">
      <c r="A7" s="357"/>
      <c r="B7" s="163"/>
      <c r="C7" s="164"/>
      <c r="D7" s="159"/>
      <c r="E7" s="160"/>
      <c r="F7" s="161"/>
      <c r="G7" s="162"/>
      <c r="H7" s="159"/>
      <c r="I7" s="160"/>
      <c r="J7" s="165"/>
      <c r="K7" s="166"/>
      <c r="L7" s="167"/>
      <c r="M7" s="358"/>
      <c r="R7" s="356"/>
      <c r="S7" s="356"/>
      <c r="T7" s="356"/>
      <c r="U7" s="356"/>
    </row>
    <row r="8" spans="1:24" ht="15.75" x14ac:dyDescent="0.25">
      <c r="A8" s="359">
        <v>1</v>
      </c>
      <c r="B8" s="168">
        <v>1</v>
      </c>
      <c r="C8" s="169" t="s">
        <v>163</v>
      </c>
      <c r="D8" s="170">
        <f>D9+D17+D18+D22</f>
        <v>137738.63407034363</v>
      </c>
      <c r="E8" s="171">
        <f>E9+E17+E18+E22</f>
        <v>1063.7009431928686</v>
      </c>
      <c r="F8" s="172">
        <f t="shared" ref="F8:K8" si="0">F9+F17+F18+F22</f>
        <v>23255.265748253787</v>
      </c>
      <c r="G8" s="173">
        <f t="shared" si="0"/>
        <v>1064.2309829521244</v>
      </c>
      <c r="H8" s="170">
        <f t="shared" si="0"/>
        <v>24973.173224084559</v>
      </c>
      <c r="I8" s="171">
        <f t="shared" si="0"/>
        <v>1064.7809473062894</v>
      </c>
      <c r="J8" s="170">
        <f t="shared" si="0"/>
        <v>156.37959482035436</v>
      </c>
      <c r="K8" s="173">
        <f t="shared" si="0"/>
        <v>1060.7903703777986</v>
      </c>
      <c r="L8" s="174">
        <f>D8+F8+H8+J8</f>
        <v>186123.45263750231</v>
      </c>
      <c r="M8" s="360">
        <f t="shared" ref="M8:M29" si="1">L8/$L$45</f>
        <v>0.75788989153331954</v>
      </c>
      <c r="N8" s="361">
        <f t="shared" ref="N8:N29" si="2">L8/$L$47*1000</f>
        <v>1063.9094878673686</v>
      </c>
      <c r="R8" s="362">
        <v>1338.0001752556132</v>
      </c>
      <c r="S8" s="356"/>
      <c r="T8" s="356"/>
      <c r="U8" s="356"/>
      <c r="V8" s="151" t="s">
        <v>275</v>
      </c>
      <c r="W8" s="363">
        <f>E10+E11+E12+E13+E15</f>
        <v>778.61670051485964</v>
      </c>
      <c r="X8" s="369">
        <f>виробництво!K9</f>
        <v>204540.23861358984</v>
      </c>
    </row>
    <row r="9" spans="1:24" ht="15.75" x14ac:dyDescent="0.25">
      <c r="A9" s="359" t="s">
        <v>13</v>
      </c>
      <c r="B9" s="175" t="s">
        <v>13</v>
      </c>
      <c r="C9" s="176" t="s">
        <v>164</v>
      </c>
      <c r="D9" s="177">
        <f>D10+D11+D12+D13+D14+D15+D16</f>
        <v>119031.30970188245</v>
      </c>
      <c r="E9" s="178">
        <f>E10+E11+E12+E13+E14+E15+E16</f>
        <v>919.23168291848117</v>
      </c>
      <c r="F9" s="179">
        <f t="shared" ref="F9:K9" si="3">F10+F11+F12+F13+F14+F15+F16</f>
        <v>20098.365513292607</v>
      </c>
      <c r="G9" s="180">
        <f t="shared" si="3"/>
        <v>919.76172267773688</v>
      </c>
      <c r="H9" s="177">
        <f t="shared" si="3"/>
        <v>21584.818209360747</v>
      </c>
      <c r="I9" s="178">
        <f t="shared" si="3"/>
        <v>920.31168703190178</v>
      </c>
      <c r="J9" s="177">
        <f t="shared" si="3"/>
        <v>135.08222540922469</v>
      </c>
      <c r="K9" s="180">
        <f t="shared" si="3"/>
        <v>916.32111010341112</v>
      </c>
      <c r="L9" s="181">
        <f t="shared" ref="L9:L46" si="4">D9+F9+H9+J9</f>
        <v>160849.57564994501</v>
      </c>
      <c r="M9" s="364">
        <f t="shared" si="1"/>
        <v>0.65497531726936287</v>
      </c>
      <c r="N9" s="361">
        <f t="shared" si="2"/>
        <v>919.44022759298116</v>
      </c>
      <c r="R9" s="362">
        <v>1149.4848027072592</v>
      </c>
      <c r="S9" s="356"/>
      <c r="T9" s="356"/>
      <c r="U9" s="356"/>
      <c r="V9" s="151" t="s">
        <v>276</v>
      </c>
      <c r="W9" s="151">
        <v>68.569999999999993</v>
      </c>
      <c r="X9" s="369">
        <f>виробництво!K10</f>
        <v>175338.4197535899</v>
      </c>
    </row>
    <row r="10" spans="1:24" ht="15" customHeight="1" x14ac:dyDescent="0.25">
      <c r="A10" s="359" t="s">
        <v>15</v>
      </c>
      <c r="B10" s="182" t="s">
        <v>15</v>
      </c>
      <c r="C10" s="183" t="s">
        <v>165</v>
      </c>
      <c r="D10" s="184">
        <f>E10*$D$47/1000</f>
        <v>87518.993676469356</v>
      </c>
      <c r="E10" s="185">
        <f>[1]виробн!D11</f>
        <v>675.8745412954197</v>
      </c>
      <c r="F10" s="186">
        <f>G10*F47/1000</f>
        <v>14769.01466570368</v>
      </c>
      <c r="G10" s="187">
        <f>[1]виробн!F11</f>
        <v>675.87458105467545</v>
      </c>
      <c r="H10" s="184">
        <f>I10*H47/1000</f>
        <v>15851.83519947895</v>
      </c>
      <c r="I10" s="185">
        <f>[1]виробн!H11</f>
        <v>675.87454540884039</v>
      </c>
      <c r="J10" s="184">
        <f>K10*J47/1000</f>
        <v>99.635988685436203</v>
      </c>
      <c r="K10" s="187">
        <f>[1]виробн!J11</f>
        <v>675.87396848034973</v>
      </c>
      <c r="L10" s="188">
        <f>D10+F10+H10+J10</f>
        <v>118239.47953033743</v>
      </c>
      <c r="M10" s="365">
        <f t="shared" si="1"/>
        <v>0.48146810649775917</v>
      </c>
      <c r="N10" s="361">
        <f t="shared" si="2"/>
        <v>675.87454633043194</v>
      </c>
      <c r="R10" s="362">
        <v>551.62919758261876</v>
      </c>
      <c r="S10" s="356"/>
      <c r="T10" s="356"/>
      <c r="U10" s="356"/>
      <c r="V10" s="151" t="s">
        <v>277</v>
      </c>
      <c r="W10" s="151">
        <v>5.31</v>
      </c>
      <c r="X10" s="363">
        <f>виробництво!K11</f>
        <v>150694.96507594996</v>
      </c>
    </row>
    <row r="11" spans="1:24" ht="17.45" customHeight="1" x14ac:dyDescent="0.25">
      <c r="A11" s="359" t="s">
        <v>278</v>
      </c>
      <c r="B11" s="182" t="s">
        <v>17</v>
      </c>
      <c r="C11" s="183" t="s">
        <v>130</v>
      </c>
      <c r="D11" s="189">
        <f>E11*D47/1000</f>
        <v>11907.655612762197</v>
      </c>
      <c r="E11" s="185">
        <f>[1]виробн!D12</f>
        <v>91.958110315239082</v>
      </c>
      <c r="F11" s="190">
        <f>G11*F47/1000</f>
        <v>2009.4418667985026</v>
      </c>
      <c r="G11" s="191">
        <f>[1]виробн!F12</f>
        <v>91.958110315239082</v>
      </c>
      <c r="H11" s="189">
        <f>I11*H47/1000</f>
        <v>2156.7683231669885</v>
      </c>
      <c r="I11" s="192">
        <f>[1]виробн!H12</f>
        <v>91.958110315239082</v>
      </c>
      <c r="J11" s="184">
        <f>K11*J47/1000</f>
        <v>13.556280706451915</v>
      </c>
      <c r="K11" s="187">
        <f>[1]виробн!J12</f>
        <v>91.958110315239082</v>
      </c>
      <c r="L11" s="188">
        <f t="shared" si="4"/>
        <v>16087.422083434141</v>
      </c>
      <c r="M11" s="365">
        <f t="shared" si="1"/>
        <v>6.5507567182363488E-2</v>
      </c>
      <c r="N11" s="366">
        <f t="shared" si="2"/>
        <v>91.958110315239097</v>
      </c>
      <c r="R11" s="362">
        <v>114.37095158412195</v>
      </c>
      <c r="S11" s="356"/>
      <c r="T11" s="356"/>
      <c r="U11" s="356"/>
      <c r="X11" s="363">
        <f>виробництво!K12</f>
        <v>20503.249161400268</v>
      </c>
    </row>
    <row r="12" spans="1:24" ht="18" customHeight="1" x14ac:dyDescent="0.25">
      <c r="A12" s="359" t="s">
        <v>19</v>
      </c>
      <c r="B12" s="182" t="s">
        <v>19</v>
      </c>
      <c r="C12" s="183" t="s">
        <v>166</v>
      </c>
      <c r="D12" s="184">
        <f>'[1]Д3(вробн)'!L16</f>
        <v>0</v>
      </c>
      <c r="E12" s="185">
        <f>[1]виробн!D15</f>
        <v>0</v>
      </c>
      <c r="F12" s="186">
        <f>'[1]Д3(вробн)'!X16</f>
        <v>0</v>
      </c>
      <c r="G12" s="187">
        <f>F12/$F$47*1000</f>
        <v>0</v>
      </c>
      <c r="H12" s="189">
        <f>'[1]Д3(вробн)'!AB16</f>
        <v>0</v>
      </c>
      <c r="I12" s="185">
        <f>H12/$H$47*1000</f>
        <v>0</v>
      </c>
      <c r="J12" s="184">
        <f>'[1]Д3(вробн)'!P16</f>
        <v>0</v>
      </c>
      <c r="K12" s="187">
        <f>J12/$J$47*1000</f>
        <v>0</v>
      </c>
      <c r="L12" s="188">
        <f t="shared" si="4"/>
        <v>0</v>
      </c>
      <c r="M12" s="365">
        <f t="shared" si="1"/>
        <v>0</v>
      </c>
      <c r="N12" s="361">
        <f t="shared" si="2"/>
        <v>0</v>
      </c>
      <c r="R12" s="362">
        <v>59.510235217340309</v>
      </c>
      <c r="S12" s="356"/>
      <c r="T12" s="356"/>
      <c r="U12" s="356"/>
    </row>
    <row r="13" spans="1:24" ht="16.149999999999999" customHeight="1" x14ac:dyDescent="0.25">
      <c r="A13" s="359"/>
      <c r="B13" s="182" t="s">
        <v>21</v>
      </c>
      <c r="C13" s="183" t="s">
        <v>167</v>
      </c>
      <c r="D13" s="184">
        <f>'[1]Д3(вробн)'!L17</f>
        <v>0</v>
      </c>
      <c r="E13" s="185">
        <f>[1]виробн!D13</f>
        <v>0</v>
      </c>
      <c r="F13" s="186">
        <f>'[1]Д3(вробн)'!X17</f>
        <v>0</v>
      </c>
      <c r="G13" s="187">
        <f>F13/$F$47*1000</f>
        <v>0</v>
      </c>
      <c r="H13" s="189">
        <f>'[1]Д3(вробн)'!AB17</f>
        <v>0</v>
      </c>
      <c r="I13" s="185">
        <f>H13/$H$47*1000</f>
        <v>0</v>
      </c>
      <c r="J13" s="184">
        <f>'[1]Д3(вробн)'!P17</f>
        <v>0</v>
      </c>
      <c r="K13" s="187">
        <f>J13/$J$47*1000</f>
        <v>0</v>
      </c>
      <c r="L13" s="188">
        <f t="shared" si="4"/>
        <v>0</v>
      </c>
      <c r="M13" s="365">
        <f t="shared" si="1"/>
        <v>0</v>
      </c>
      <c r="N13" s="361">
        <f t="shared" si="2"/>
        <v>0</v>
      </c>
      <c r="R13" s="362">
        <v>339.53947896266499</v>
      </c>
      <c r="S13" s="356"/>
      <c r="T13" s="356"/>
      <c r="U13" s="356"/>
    </row>
    <row r="14" spans="1:24" ht="17.45" customHeight="1" x14ac:dyDescent="0.25">
      <c r="A14" s="359"/>
      <c r="B14" s="182" t="s">
        <v>137</v>
      </c>
      <c r="C14" s="183" t="s">
        <v>168</v>
      </c>
      <c r="D14" s="184">
        <f>E14*D47/1000</f>
        <v>17200.156567170001</v>
      </c>
      <c r="E14" s="185">
        <f>[1]транспорт!D13</f>
        <v>132.83000000000001</v>
      </c>
      <c r="F14" s="186">
        <f>G14*F47/1000</f>
        <v>2914.1439122400002</v>
      </c>
      <c r="G14" s="187">
        <f>[1]транспорт!F13</f>
        <v>133.36000000000001</v>
      </c>
      <c r="H14" s="189">
        <f>I14*H47/1000</f>
        <v>3140.7000988299992</v>
      </c>
      <c r="I14" s="185">
        <f>[1]транспорт!H13</f>
        <v>133.90999999999997</v>
      </c>
      <c r="J14" s="184">
        <f>K14*J47/1000</f>
        <v>19.152546559999998</v>
      </c>
      <c r="K14" s="193">
        <f>[1]транспорт!K13</f>
        <v>129.91999999999999</v>
      </c>
      <c r="L14" s="188">
        <f>D14+F14+H14+J14</f>
        <v>23274.153124799999</v>
      </c>
      <c r="M14" s="365">
        <f t="shared" si="1"/>
        <v>9.4771750348082592E-2</v>
      </c>
      <c r="N14" s="366">
        <f t="shared" si="2"/>
        <v>133.03853963948782</v>
      </c>
      <c r="R14" s="362">
        <v>68.569999999999993</v>
      </c>
      <c r="S14" s="356"/>
      <c r="T14" s="356"/>
      <c r="U14" s="356"/>
      <c r="X14" s="361">
        <f>транспортування!C13+транспортування!E13+транспортування!G13+транспортування!I13</f>
        <v>23274.153124799999</v>
      </c>
    </row>
    <row r="15" spans="1:24" ht="15.6" customHeight="1" x14ac:dyDescent="0.25">
      <c r="A15" s="359" t="s">
        <v>279</v>
      </c>
      <c r="B15" s="182" t="s">
        <v>138</v>
      </c>
      <c r="C15" s="183" t="s">
        <v>169</v>
      </c>
      <c r="D15" s="189">
        <f>E15*D47/1000</f>
        <v>1396.426481820921</v>
      </c>
      <c r="E15" s="185">
        <f>[1]виробн!D17</f>
        <v>10.784048904200864</v>
      </c>
      <c r="F15" s="190">
        <f>G15*F47/1000</f>
        <v>235.64989849636615</v>
      </c>
      <c r="G15" s="191">
        <f>[1]виробн!F17</f>
        <v>10.784048904200864</v>
      </c>
      <c r="H15" s="189">
        <f>I15*H47/1000</f>
        <v>252.92706638198194</v>
      </c>
      <c r="I15" s="192">
        <f>[1]виробн!H17</f>
        <v>10.784048904200864</v>
      </c>
      <c r="J15" s="184">
        <f>K15*J47/1000</f>
        <v>1.589762921359483</v>
      </c>
      <c r="K15" s="187">
        <f>[1]виробн!J17</f>
        <v>10.784048904200864</v>
      </c>
      <c r="L15" s="188">
        <f t="shared" si="4"/>
        <v>1886.5932096206288</v>
      </c>
      <c r="M15" s="365">
        <f t="shared" si="1"/>
        <v>7.6821588184893628E-3</v>
      </c>
      <c r="N15" s="366">
        <f t="shared" si="2"/>
        <v>10.784048904200866</v>
      </c>
      <c r="R15" s="362">
        <v>10.550481948257023</v>
      </c>
      <c r="S15" s="356"/>
      <c r="T15" s="356"/>
      <c r="U15" s="356"/>
      <c r="X15" s="363">
        <f>виробництво!K17</f>
        <v>2404.443076239621</v>
      </c>
    </row>
    <row r="16" spans="1:24" ht="15.75" customHeight="1" x14ac:dyDescent="0.25">
      <c r="A16" s="359" t="s">
        <v>280</v>
      </c>
      <c r="B16" s="182" t="s">
        <v>170</v>
      </c>
      <c r="C16" s="183" t="s">
        <v>171</v>
      </c>
      <c r="D16" s="189">
        <f>E16*D47/1000</f>
        <v>1008.0773636599669</v>
      </c>
      <c r="E16" s="185">
        <f>[1]виробн!D18</f>
        <v>7.7849824036215098</v>
      </c>
      <c r="F16" s="190">
        <f>G16*F47/1000</f>
        <v>170.11517005405776</v>
      </c>
      <c r="G16" s="191">
        <f>[1]виробн!F18</f>
        <v>7.7849824036215098</v>
      </c>
      <c r="H16" s="189">
        <f>I16*H47/1000</f>
        <v>182.58752150282939</v>
      </c>
      <c r="I16" s="192">
        <f>[1]виробн!H18</f>
        <v>7.7849824036215098</v>
      </c>
      <c r="J16" s="184">
        <f>K16*J47/1000</f>
        <v>1.1476465359770758</v>
      </c>
      <c r="K16" s="187">
        <f>[1]виробн!J18</f>
        <v>7.7849824036215098</v>
      </c>
      <c r="L16" s="188">
        <f t="shared" si="4"/>
        <v>1361.9277017528311</v>
      </c>
      <c r="M16" s="365">
        <f t="shared" si="1"/>
        <v>5.545734422668337E-3</v>
      </c>
      <c r="N16" s="366">
        <f t="shared" si="2"/>
        <v>7.7849824036215107</v>
      </c>
      <c r="R16" s="362">
        <v>5.3144574122558286</v>
      </c>
      <c r="S16" s="356"/>
      <c r="T16" s="356"/>
      <c r="U16" s="356"/>
      <c r="X16" s="363">
        <f>виробництво!K18</f>
        <v>1735.76244</v>
      </c>
    </row>
    <row r="17" spans="1:24" ht="15.75" x14ac:dyDescent="0.25">
      <c r="A17" s="359" t="s">
        <v>23</v>
      </c>
      <c r="B17" s="175" t="s">
        <v>23</v>
      </c>
      <c r="C17" s="176" t="s">
        <v>24</v>
      </c>
      <c r="D17" s="177">
        <f>E17*D47/1000</f>
        <v>9554.7734228789286</v>
      </c>
      <c r="E17" s="178">
        <f>[1]виробн!D19+[1]постачання!D11</f>
        <v>73.787732617705316</v>
      </c>
      <c r="F17" s="179">
        <f>G17*F47/1000</f>
        <v>1612.3880609319046</v>
      </c>
      <c r="G17" s="180">
        <f>[1]виробн!F19+[1]постачання!F11</f>
        <v>73.787732617705316</v>
      </c>
      <c r="H17" s="177">
        <f>I17*H47/1000</f>
        <v>1730.603682509661</v>
      </c>
      <c r="I17" s="178">
        <f>[1]виробн!H19+[1]постачання!H11</f>
        <v>73.787732617705316</v>
      </c>
      <c r="J17" s="177">
        <f>K17*J47/1000</f>
        <v>10.877639967036883</v>
      </c>
      <c r="K17" s="180">
        <f>[1]виробн!J19+[1]постачання!K11</f>
        <v>73.787732617705316</v>
      </c>
      <c r="L17" s="181">
        <f t="shared" si="4"/>
        <v>12908.642806287531</v>
      </c>
      <c r="M17" s="365">
        <f t="shared" si="1"/>
        <v>5.2563660074336944E-2</v>
      </c>
      <c r="N17" s="366">
        <f t="shared" si="2"/>
        <v>73.787732617705331</v>
      </c>
      <c r="R17" s="362">
        <v>81.092827459373083</v>
      </c>
      <c r="S17" s="356"/>
      <c r="T17" s="356"/>
      <c r="U17" s="356"/>
      <c r="V17" s="151" t="s">
        <v>281</v>
      </c>
      <c r="W17" s="363">
        <f>E17+E19+E23+E24+E27+E28+19.49</f>
        <v>127.89353977475491</v>
      </c>
      <c r="X17" s="369">
        <f>виробництво!K19+постачання!K11</f>
        <v>15949.8765</v>
      </c>
    </row>
    <row r="18" spans="1:24" ht="15.75" x14ac:dyDescent="0.25">
      <c r="A18" s="359" t="s">
        <v>25</v>
      </c>
      <c r="B18" s="175" t="s">
        <v>25</v>
      </c>
      <c r="C18" s="176" t="s">
        <v>172</v>
      </c>
      <c r="D18" s="177">
        <f>D19+D20+D21</f>
        <v>6652.7079760744764</v>
      </c>
      <c r="E18" s="178">
        <f t="shared" ref="E18:K18" si="5">E19+E20+E21</f>
        <v>51.376230036687829</v>
      </c>
      <c r="F18" s="179">
        <f t="shared" si="5"/>
        <v>1122.6584282787617</v>
      </c>
      <c r="G18" s="180">
        <f t="shared" si="5"/>
        <v>51.376230036687829</v>
      </c>
      <c r="H18" s="177">
        <f t="shared" si="5"/>
        <v>1204.9684919254594</v>
      </c>
      <c r="I18" s="178">
        <f t="shared" si="5"/>
        <v>51.376230036687829</v>
      </c>
      <c r="J18" s="177">
        <f t="shared" si="5"/>
        <v>7.5737810795484464</v>
      </c>
      <c r="K18" s="180">
        <f t="shared" si="5"/>
        <v>51.376230036687829</v>
      </c>
      <c r="L18" s="181">
        <f t="shared" si="4"/>
        <v>8987.9086773582458</v>
      </c>
      <c r="M18" s="365">
        <f t="shared" si="1"/>
        <v>3.6598531974695883E-2</v>
      </c>
      <c r="N18" s="366">
        <f t="shared" si="2"/>
        <v>51.376230036687829</v>
      </c>
      <c r="R18" s="362">
        <v>67.40630651537532</v>
      </c>
      <c r="S18" s="356"/>
      <c r="T18" s="356"/>
      <c r="U18" s="356"/>
      <c r="V18" s="151" t="s">
        <v>282</v>
      </c>
      <c r="W18" s="363">
        <f>E20+0</f>
        <v>7.8983895890443563</v>
      </c>
      <c r="X18" s="369">
        <f>виробництво!K20+постачання!K12</f>
        <v>11322.33294</v>
      </c>
    </row>
    <row r="19" spans="1:24" ht="16.899999999999999" customHeight="1" x14ac:dyDescent="0.25">
      <c r="A19" s="359" t="s">
        <v>27</v>
      </c>
      <c r="B19" s="182" t="s">
        <v>27</v>
      </c>
      <c r="C19" s="183" t="s">
        <v>139</v>
      </c>
      <c r="D19" s="189">
        <f>E19*D47/1000</f>
        <v>2102.0501530333645</v>
      </c>
      <c r="E19" s="192">
        <f>[1]виробн!D21+[1]постачання!D13</f>
        <v>16.233301175895171</v>
      </c>
      <c r="F19" s="190">
        <f>G19*F47/1000</f>
        <v>354.72537340501907</v>
      </c>
      <c r="G19" s="191">
        <f>[1]виробн!F21+[1]постачання!F13</f>
        <v>16.233301175895171</v>
      </c>
      <c r="H19" s="189">
        <f>I19*H47/1000</f>
        <v>380.73281015212541</v>
      </c>
      <c r="I19" s="192">
        <f>[1]виробн!H21+[1]постачання!H13</f>
        <v>16.233301175895171</v>
      </c>
      <c r="J19" s="184">
        <f>K19*J47/1000</f>
        <v>2.3930807927481146</v>
      </c>
      <c r="K19" s="191">
        <f>[1]виробн!J21+[1]постачання!K13</f>
        <v>16.233301175895171</v>
      </c>
      <c r="L19" s="194">
        <f t="shared" si="4"/>
        <v>2839.901417383257</v>
      </c>
      <c r="M19" s="365">
        <f t="shared" si="1"/>
        <v>1.1564005216354128E-2</v>
      </c>
      <c r="N19" s="366">
        <f t="shared" si="2"/>
        <v>16.233301175895171</v>
      </c>
      <c r="R19" s="362">
        <v>17.840422058880616</v>
      </c>
      <c r="S19" s="356"/>
      <c r="T19" s="356"/>
      <c r="U19" s="356"/>
      <c r="V19" s="151" t="s">
        <v>283</v>
      </c>
      <c r="W19" s="151">
        <v>6.41</v>
      </c>
      <c r="X19" s="363">
        <f>виробництво!K21+постачання!K13</f>
        <v>3508.9728300000002</v>
      </c>
    </row>
    <row r="20" spans="1:24" ht="16.899999999999999" customHeight="1" x14ac:dyDescent="0.25">
      <c r="A20" s="359" t="s">
        <v>29</v>
      </c>
      <c r="B20" s="182" t="s">
        <v>29</v>
      </c>
      <c r="C20" s="183" t="s">
        <v>173</v>
      </c>
      <c r="D20" s="189">
        <f>E20*D47/1000</f>
        <v>1022.7624599869641</v>
      </c>
      <c r="E20" s="192">
        <f>[1]виробн!D22+[1]постачання!D14</f>
        <v>7.8983895890443563</v>
      </c>
      <c r="F20" s="190">
        <f>G20*F47/1000</f>
        <v>172.59331086842687</v>
      </c>
      <c r="G20" s="191">
        <f>[1]виробн!F22+[1]постачання!F14</f>
        <v>7.8983895890443563</v>
      </c>
      <c r="H20" s="189">
        <f>I20*H47/1000</f>
        <v>185.24735242259317</v>
      </c>
      <c r="I20" s="192">
        <f>[1]виробн!H22+[1]постачання!H14</f>
        <v>7.8983895890443563</v>
      </c>
      <c r="J20" s="184">
        <f>K20*J47/1000</f>
        <v>1.164364796437741</v>
      </c>
      <c r="K20" s="191">
        <f>[1]виробн!J22+[1]постачання!K14</f>
        <v>7.8983895890443563</v>
      </c>
      <c r="L20" s="194">
        <f t="shared" si="4"/>
        <v>1381.7674880744219</v>
      </c>
      <c r="M20" s="365">
        <f t="shared" si="1"/>
        <v>5.6265215201041436E-3</v>
      </c>
      <c r="N20" s="366">
        <f t="shared" si="2"/>
        <v>7.8983895890443572</v>
      </c>
      <c r="R20" s="362">
        <v>8.1159962148288294</v>
      </c>
      <c r="S20" s="356"/>
      <c r="T20" s="356"/>
      <c r="U20" s="356"/>
      <c r="X20" s="363">
        <f>виробництво!K22+постачання!K14</f>
        <v>1760.5414400000002</v>
      </c>
    </row>
    <row r="21" spans="1:24" ht="15" customHeight="1" x14ac:dyDescent="0.25">
      <c r="A21" s="359" t="s">
        <v>284</v>
      </c>
      <c r="B21" s="182" t="s">
        <v>31</v>
      </c>
      <c r="C21" s="183" t="s">
        <v>174</v>
      </c>
      <c r="D21" s="189">
        <f>E21*D47/1000</f>
        <v>3527.8953630541482</v>
      </c>
      <c r="E21" s="192">
        <f>[1]виробн!D23+[1]постачання!D15</f>
        <v>27.244539271748302</v>
      </c>
      <c r="F21" s="190">
        <f>G21*F47/1000</f>
        <v>595.33974400531577</v>
      </c>
      <c r="G21" s="191">
        <f>[1]виробн!F23+[1]постачання!F15</f>
        <v>27.244539271748302</v>
      </c>
      <c r="H21" s="189">
        <f>I21*H47/1000</f>
        <v>638.98832935074074</v>
      </c>
      <c r="I21" s="192">
        <f>[1]виробн!H23+[1]постачання!H15</f>
        <v>27.244539271748302</v>
      </c>
      <c r="J21" s="184">
        <f>K21*J47/1000</f>
        <v>4.0163354903625912</v>
      </c>
      <c r="K21" s="191">
        <f>[1]виробн!J23+[1]постачання!K15</f>
        <v>27.244539271748302</v>
      </c>
      <c r="L21" s="194">
        <f t="shared" si="4"/>
        <v>4766.2397719005676</v>
      </c>
      <c r="M21" s="365">
        <f t="shared" si="1"/>
        <v>1.9408005238237613E-2</v>
      </c>
      <c r="N21" s="366">
        <f t="shared" si="2"/>
        <v>27.244539271748302</v>
      </c>
      <c r="R21" s="362">
        <v>41.449888241665882</v>
      </c>
      <c r="S21" s="356"/>
      <c r="T21" s="356"/>
      <c r="U21" s="356"/>
      <c r="X21" s="363">
        <f>виробництво!K23+постачання!K15</f>
        <v>6052.8186700000006</v>
      </c>
    </row>
    <row r="22" spans="1:24" ht="15.75" x14ac:dyDescent="0.25">
      <c r="A22" s="359" t="s">
        <v>33</v>
      </c>
      <c r="B22" s="175" t="s">
        <v>33</v>
      </c>
      <c r="C22" s="176" t="s">
        <v>175</v>
      </c>
      <c r="D22" s="177">
        <f t="shared" ref="D22:K22" si="6">D23+D24+D25</f>
        <v>2499.8429695077757</v>
      </c>
      <c r="E22" s="178">
        <f t="shared" si="6"/>
        <v>19.305297619994388</v>
      </c>
      <c r="F22" s="179">
        <f t="shared" si="6"/>
        <v>421.85374575050997</v>
      </c>
      <c r="G22" s="180">
        <f t="shared" si="6"/>
        <v>19.305297619994388</v>
      </c>
      <c r="H22" s="177">
        <f t="shared" si="6"/>
        <v>452.78284028869348</v>
      </c>
      <c r="I22" s="178">
        <f t="shared" si="6"/>
        <v>19.305297619994388</v>
      </c>
      <c r="J22" s="177">
        <f t="shared" si="6"/>
        <v>2.8459483645443329</v>
      </c>
      <c r="K22" s="180">
        <f t="shared" si="6"/>
        <v>19.305297619994388</v>
      </c>
      <c r="L22" s="181">
        <f>D22+F22+H22+J22</f>
        <v>3377.3255039115234</v>
      </c>
      <c r="M22" s="365">
        <f t="shared" si="1"/>
        <v>1.3752382214923904E-2</v>
      </c>
      <c r="N22" s="366">
        <f t="shared" si="2"/>
        <v>19.305297619994388</v>
      </c>
      <c r="O22" s="363">
        <f>L22-'[1]4_Структура пл.соб.'!C7/1000</f>
        <v>-913.59803229847648</v>
      </c>
      <c r="R22" s="362">
        <v>40.016238573605847</v>
      </c>
      <c r="S22" s="356"/>
      <c r="T22" s="356"/>
      <c r="U22" s="356"/>
      <c r="X22" s="369">
        <f>виробництво!K24+постачання!K16</f>
        <v>4290.92353</v>
      </c>
    </row>
    <row r="23" spans="1:24" ht="15.6" customHeight="1" x14ac:dyDescent="0.25">
      <c r="A23" s="359" t="s">
        <v>35</v>
      </c>
      <c r="B23" s="182" t="s">
        <v>35</v>
      </c>
      <c r="C23" s="183" t="s">
        <v>42</v>
      </c>
      <c r="D23" s="189">
        <f>E23*$D$47/1000</f>
        <v>1758.9909264347602</v>
      </c>
      <c r="E23" s="192">
        <f>[1]виробн!D25+[1]постачання!D17</f>
        <v>13.58399057856785</v>
      </c>
      <c r="F23" s="190">
        <f>G23*F47/1000</f>
        <v>296.83340918160627</v>
      </c>
      <c r="G23" s="191">
        <f>[1]виробн!F25+[1]постачання!F17</f>
        <v>13.58399057856785</v>
      </c>
      <c r="H23" s="189">
        <f>I23*H47/1000</f>
        <v>318.59637482349211</v>
      </c>
      <c r="I23" s="192">
        <f>[1]виробн!H25+[1]постачання!H17</f>
        <v>13.58399057856785</v>
      </c>
      <c r="J23" s="189">
        <f>K23*J47/1000</f>
        <v>2.002524723111315</v>
      </c>
      <c r="K23" s="191">
        <f>[1]виробн!J25+[1]постачання!K17</f>
        <v>13.583990578567848</v>
      </c>
      <c r="L23" s="194">
        <f t="shared" si="4"/>
        <v>2376.4232351629703</v>
      </c>
      <c r="M23" s="365">
        <f t="shared" si="1"/>
        <v>9.6767340300887156E-3</v>
      </c>
      <c r="N23" s="366">
        <f t="shared" si="2"/>
        <v>13.583990578567851</v>
      </c>
      <c r="R23" s="362">
        <v>13.486771075165278</v>
      </c>
      <c r="S23" s="356"/>
      <c r="T23" s="356"/>
      <c r="U23" s="356"/>
      <c r="X23" s="363">
        <f>виробництво!K25+постачання!K17</f>
        <v>3019.2678680560321</v>
      </c>
    </row>
    <row r="24" spans="1:24" ht="17.45" customHeight="1" x14ac:dyDescent="0.25">
      <c r="A24" s="359" t="s">
        <v>37</v>
      </c>
      <c r="B24" s="182" t="s">
        <v>37</v>
      </c>
      <c r="C24" s="183" t="s">
        <v>176</v>
      </c>
      <c r="D24" s="189">
        <f>E24*$D$47/1000</f>
        <v>386.97800381564724</v>
      </c>
      <c r="E24" s="192">
        <f>[1]виробн!D26+[1]постачання!D18</f>
        <v>2.9884779272849267</v>
      </c>
      <c r="F24" s="190">
        <f>G24*F47/1000</f>
        <v>65.303350019953371</v>
      </c>
      <c r="G24" s="191">
        <f>[1]виробн!F26+[1]постачання!F18</f>
        <v>2.9884779272849267</v>
      </c>
      <c r="H24" s="189">
        <f>I24*H47/1000</f>
        <v>70.091202461168251</v>
      </c>
      <c r="I24" s="192">
        <f>[1]виробн!H26+[1]постачання!H18</f>
        <v>2.9884779272849267</v>
      </c>
      <c r="J24" s="189">
        <f>K24*J47/1000</f>
        <v>0.44055543908448941</v>
      </c>
      <c r="K24" s="191">
        <f>[1]виробн!J26+[1]постачання!K18</f>
        <v>2.9884779272849271</v>
      </c>
      <c r="L24" s="194">
        <f t="shared" si="4"/>
        <v>522.81311173585334</v>
      </c>
      <c r="M24" s="365">
        <f t="shared" si="1"/>
        <v>2.1288814866195168E-3</v>
      </c>
      <c r="N24" s="366">
        <f t="shared" si="2"/>
        <v>2.9884779272849271</v>
      </c>
      <c r="R24" s="362">
        <v>2.9670896365363619</v>
      </c>
      <c r="S24" s="356"/>
      <c r="T24" s="356"/>
      <c r="U24" s="356"/>
      <c r="X24" s="363">
        <f>виробництво!K26+постачання!K18</f>
        <v>664.23893097232701</v>
      </c>
    </row>
    <row r="25" spans="1:24" ht="16.149999999999999" customHeight="1" x14ac:dyDescent="0.25">
      <c r="A25" s="359" t="s">
        <v>38</v>
      </c>
      <c r="B25" s="182" t="s">
        <v>38</v>
      </c>
      <c r="C25" s="183" t="s">
        <v>113</v>
      </c>
      <c r="D25" s="189">
        <f>E25*$D$47/1000</f>
        <v>353.87403925736834</v>
      </c>
      <c r="E25" s="192">
        <f>[1]виробн!D27+[1]постачання!D19</f>
        <v>2.7328291141416132</v>
      </c>
      <c r="F25" s="190">
        <f>G25*F47/1000</f>
        <v>59.716986548950317</v>
      </c>
      <c r="G25" s="191">
        <f>[1]виробн!F27+[1]постачання!F19</f>
        <v>2.7328291141416132</v>
      </c>
      <c r="H25" s="189">
        <f>I25*H47/1000</f>
        <v>64.095263004033058</v>
      </c>
      <c r="I25" s="192">
        <f>[1]виробн!H27+[1]постачання!H19</f>
        <v>2.7328291141416137</v>
      </c>
      <c r="J25" s="189">
        <f>K25*J47/1000</f>
        <v>0.40286820234852838</v>
      </c>
      <c r="K25" s="191">
        <f>[1]виробн!J27+[1]постачання!K19</f>
        <v>2.7328291141416132</v>
      </c>
      <c r="L25" s="194">
        <f t="shared" si="4"/>
        <v>478.08915701270024</v>
      </c>
      <c r="M25" s="365">
        <f t="shared" si="1"/>
        <v>1.9467666982156732E-3</v>
      </c>
      <c r="N25" s="366">
        <f t="shared" si="2"/>
        <v>2.7328291141416132</v>
      </c>
      <c r="R25" s="362">
        <v>23.562377861904203</v>
      </c>
      <c r="S25" s="356"/>
      <c r="T25" s="356"/>
      <c r="U25" s="356"/>
      <c r="X25" s="363">
        <f>виробництво!K27+постачання!K19</f>
        <v>607.41673097164062</v>
      </c>
    </row>
    <row r="26" spans="1:24" ht="15.75" x14ac:dyDescent="0.25">
      <c r="A26" s="359">
        <v>2</v>
      </c>
      <c r="B26" s="168">
        <v>2</v>
      </c>
      <c r="C26" s="169" t="s">
        <v>177</v>
      </c>
      <c r="D26" s="195">
        <f t="shared" ref="D26:K26" si="7">D27+D28+D29</f>
        <v>318.18724552706163</v>
      </c>
      <c r="E26" s="171">
        <f t="shared" si="7"/>
        <v>2.4572341337886767</v>
      </c>
      <c r="F26" s="196">
        <f t="shared" si="7"/>
        <v>53.694765236417233</v>
      </c>
      <c r="G26" s="173">
        <f t="shared" si="7"/>
        <v>2.4572341337886767</v>
      </c>
      <c r="H26" s="195">
        <f t="shared" si="7"/>
        <v>57.631509871096611</v>
      </c>
      <c r="I26" s="171">
        <f t="shared" si="7"/>
        <v>2.4572341337886767</v>
      </c>
      <c r="J26" s="195">
        <f t="shared" si="7"/>
        <v>0.36224054153485918</v>
      </c>
      <c r="K26" s="173">
        <f t="shared" si="7"/>
        <v>2.4572341337886767</v>
      </c>
      <c r="L26" s="174">
        <f>D26+F26+H26+J26</f>
        <v>429.87576117611036</v>
      </c>
      <c r="M26" s="367">
        <f t="shared" si="1"/>
        <v>1.7504429957308873E-3</v>
      </c>
      <c r="N26" s="366">
        <f t="shared" si="2"/>
        <v>2.4572341337886772</v>
      </c>
      <c r="O26" s="361">
        <f>L26-'[1]4_Структура пл.соб.'!E7/1000</f>
        <v>-116.28539882388964</v>
      </c>
      <c r="R26" s="362">
        <v>2.0864856256854636</v>
      </c>
      <c r="S26" s="356"/>
      <c r="T26" s="356"/>
      <c r="U26" s="356"/>
      <c r="X26" s="369">
        <f>виробництво!K28+постачання!K20</f>
        <v>546.16116</v>
      </c>
    </row>
    <row r="27" spans="1:24" ht="15.75" x14ac:dyDescent="0.25">
      <c r="A27" s="359" t="s">
        <v>41</v>
      </c>
      <c r="B27" s="182" t="s">
        <v>41</v>
      </c>
      <c r="C27" s="183" t="s">
        <v>42</v>
      </c>
      <c r="D27" s="189">
        <f>E27*$D$47/1000</f>
        <v>192.11618923506018</v>
      </c>
      <c r="E27" s="192">
        <f>[1]виробн!D29+[1]постачання!D21</f>
        <v>1.4836372748374196</v>
      </c>
      <c r="F27" s="190">
        <f>G27*F47/1000</f>
        <v>32.420009991300311</v>
      </c>
      <c r="G27" s="191">
        <f>[1]виробн!F29+[1]постачання!F21</f>
        <v>1.4836372748374196</v>
      </c>
      <c r="H27" s="189">
        <f>I27*H47/1000</f>
        <v>34.796951203866442</v>
      </c>
      <c r="I27" s="192">
        <f>[1]виробн!H29+[1]постачання!H21</f>
        <v>1.4836372748374196</v>
      </c>
      <c r="J27" s="197">
        <f>K27*J47/1000</f>
        <v>0.21871483978198272</v>
      </c>
      <c r="K27" s="191">
        <f>[1]виробн!J29+[1]постачання!K21</f>
        <v>1.4836372748374196</v>
      </c>
      <c r="L27" s="194">
        <f t="shared" si="4"/>
        <v>259.55186527000888</v>
      </c>
      <c r="M27" s="365">
        <f t="shared" si="1"/>
        <v>1.0568884911020722E-3</v>
      </c>
      <c r="N27" s="366">
        <f t="shared" si="2"/>
        <v>1.4836372748374194</v>
      </c>
      <c r="R27" s="362">
        <v>1.4962965580536034</v>
      </c>
      <c r="S27" s="356"/>
      <c r="T27" s="356"/>
      <c r="U27" s="356"/>
      <c r="X27" s="363">
        <f>виробництво!K29+постачання!K21</f>
        <v>329.7630637982308</v>
      </c>
    </row>
    <row r="28" spans="1:24" ht="15.75" x14ac:dyDescent="0.25">
      <c r="A28" s="359" t="s">
        <v>43</v>
      </c>
      <c r="B28" s="182" t="s">
        <v>43</v>
      </c>
      <c r="C28" s="183" t="s">
        <v>112</v>
      </c>
      <c r="D28" s="189">
        <f>E28*$D$47/1000</f>
        <v>42.265561631713254</v>
      </c>
      <c r="E28" s="192">
        <f>[1]виробн!D30+[1]постачання!D22</f>
        <v>0.3264002004642324</v>
      </c>
      <c r="F28" s="190">
        <f>G28*F47/1000</f>
        <v>7.132402198086071</v>
      </c>
      <c r="G28" s="191">
        <f>[1]виробн!F30+[1]постачання!F22</f>
        <v>0.3264002004642324</v>
      </c>
      <c r="H28" s="189">
        <f>I28*H47/1000</f>
        <v>7.6553292648506197</v>
      </c>
      <c r="I28" s="192">
        <f>[1]виробн!H30+[1]постачання!H22</f>
        <v>0.3264002004642324</v>
      </c>
      <c r="J28" s="197">
        <f>K28*J47/1000</f>
        <v>4.8117264752036211E-2</v>
      </c>
      <c r="K28" s="191">
        <f>[1]виробн!J30+[1]постачання!K22</f>
        <v>0.3264002004642324</v>
      </c>
      <c r="L28" s="194">
        <f t="shared" si="4"/>
        <v>57.101410359401982</v>
      </c>
      <c r="M28" s="365">
        <f t="shared" si="1"/>
        <v>2.3251546804245598E-4</v>
      </c>
      <c r="N28" s="366">
        <f t="shared" si="2"/>
        <v>0.3264002004642324</v>
      </c>
      <c r="R28" s="362">
        <v>0.32918524277179262</v>
      </c>
      <c r="S28" s="356"/>
      <c r="T28" s="356"/>
      <c r="U28" s="356"/>
      <c r="X28" s="363">
        <f>виробництво!K30+постачання!K22</f>
        <v>72.547874035610818</v>
      </c>
    </row>
    <row r="29" spans="1:24" ht="15.75" x14ac:dyDescent="0.25">
      <c r="A29" s="359" t="s">
        <v>44</v>
      </c>
      <c r="B29" s="182" t="s">
        <v>44</v>
      </c>
      <c r="C29" s="183" t="s">
        <v>113</v>
      </c>
      <c r="D29" s="189">
        <f>E29*$D$47/1000</f>
        <v>83.805494660288218</v>
      </c>
      <c r="E29" s="192">
        <f>[1]виробн!D31+[1]постачання!D23</f>
        <v>0.64719665848702501</v>
      </c>
      <c r="F29" s="190">
        <f>G29*F47/1000</f>
        <v>14.14235304703085</v>
      </c>
      <c r="G29" s="191">
        <f>[1]виробн!F31+[1]постачання!F23</f>
        <v>0.64719665848702501</v>
      </c>
      <c r="H29" s="189">
        <f>I29*H47/1000</f>
        <v>15.179229402379544</v>
      </c>
      <c r="I29" s="192">
        <f>[1]виробн!H31+[1]постачання!H23</f>
        <v>0.6471966584870249</v>
      </c>
      <c r="J29" s="197">
        <f>K29*J47/1000</f>
        <v>9.5408437000840257E-2</v>
      </c>
      <c r="K29" s="191">
        <f>[1]виробн!J31+[1]постачання!K23</f>
        <v>0.64719665848702501</v>
      </c>
      <c r="L29" s="194">
        <f t="shared" si="4"/>
        <v>113.22248554669946</v>
      </c>
      <c r="M29" s="365">
        <f t="shared" si="1"/>
        <v>4.6103903658635905E-4</v>
      </c>
      <c r="N29" s="366">
        <f t="shared" si="2"/>
        <v>0.64719665848702512</v>
      </c>
      <c r="R29" s="362">
        <v>0.26100382486006751</v>
      </c>
      <c r="S29" s="356"/>
      <c r="T29" s="356"/>
      <c r="U29" s="356"/>
      <c r="X29" s="363">
        <f>виробництво!K31+постачання!K23</f>
        <v>143.85022216615829</v>
      </c>
    </row>
    <row r="30" spans="1:24" ht="15.75" x14ac:dyDescent="0.25">
      <c r="A30" s="359"/>
      <c r="B30" s="198" t="s">
        <v>45</v>
      </c>
      <c r="C30" s="103" t="s">
        <v>46</v>
      </c>
      <c r="D30" s="189"/>
      <c r="E30" s="199"/>
      <c r="F30" s="190"/>
      <c r="G30" s="200"/>
      <c r="H30" s="189"/>
      <c r="I30" s="199"/>
      <c r="J30" s="197"/>
      <c r="K30" s="191"/>
      <c r="L30" s="194"/>
      <c r="M30" s="365"/>
      <c r="N30" s="366"/>
      <c r="R30" s="362"/>
      <c r="S30" s="356"/>
      <c r="T30" s="356"/>
      <c r="U30" s="356"/>
      <c r="X30" s="363"/>
    </row>
    <row r="31" spans="1:24" ht="15.75" x14ac:dyDescent="0.25">
      <c r="A31" s="359"/>
      <c r="B31" s="201" t="s">
        <v>47</v>
      </c>
      <c r="C31" s="105" t="s">
        <v>42</v>
      </c>
      <c r="D31" s="189"/>
      <c r="E31" s="199"/>
      <c r="F31" s="190"/>
      <c r="G31" s="200"/>
      <c r="H31" s="189"/>
      <c r="I31" s="199"/>
      <c r="J31" s="197"/>
      <c r="K31" s="191"/>
      <c r="L31" s="194"/>
      <c r="M31" s="365"/>
      <c r="N31" s="366"/>
      <c r="R31" s="362"/>
      <c r="S31" s="356"/>
      <c r="T31" s="356"/>
      <c r="U31" s="356"/>
      <c r="X31" s="363"/>
    </row>
    <row r="32" spans="1:24" ht="15.75" x14ac:dyDescent="0.25">
      <c r="A32" s="359"/>
      <c r="B32" s="201" t="s">
        <v>48</v>
      </c>
      <c r="C32" s="105" t="s">
        <v>112</v>
      </c>
      <c r="D32" s="189"/>
      <c r="E32" s="199"/>
      <c r="F32" s="190"/>
      <c r="G32" s="200"/>
      <c r="H32" s="189"/>
      <c r="I32" s="199"/>
      <c r="J32" s="197"/>
      <c r="K32" s="191"/>
      <c r="L32" s="194"/>
      <c r="M32" s="365"/>
      <c r="N32" s="366"/>
      <c r="R32" s="362"/>
      <c r="S32" s="356"/>
      <c r="T32" s="356"/>
      <c r="U32" s="356"/>
      <c r="X32" s="363"/>
    </row>
    <row r="33" spans="1:24" ht="15.75" x14ac:dyDescent="0.25">
      <c r="A33" s="359"/>
      <c r="B33" s="201" t="s">
        <v>49</v>
      </c>
      <c r="C33" s="105" t="s">
        <v>113</v>
      </c>
      <c r="D33" s="189"/>
      <c r="E33" s="199"/>
      <c r="F33" s="190"/>
      <c r="G33" s="200"/>
      <c r="H33" s="189"/>
      <c r="I33" s="199"/>
      <c r="J33" s="197"/>
      <c r="K33" s="191"/>
      <c r="L33" s="194"/>
      <c r="M33" s="365"/>
      <c r="N33" s="366"/>
      <c r="R33" s="362"/>
      <c r="S33" s="356"/>
      <c r="T33" s="356"/>
      <c r="U33" s="356"/>
      <c r="X33" s="363"/>
    </row>
    <row r="34" spans="1:24" ht="15.75" x14ac:dyDescent="0.25">
      <c r="A34" s="359"/>
      <c r="B34" s="198" t="s">
        <v>50</v>
      </c>
      <c r="C34" s="103" t="s">
        <v>178</v>
      </c>
      <c r="D34" s="189"/>
      <c r="E34" s="199"/>
      <c r="F34" s="190"/>
      <c r="G34" s="200"/>
      <c r="H34" s="189"/>
      <c r="I34" s="199"/>
      <c r="J34" s="197"/>
      <c r="K34" s="191"/>
      <c r="L34" s="194"/>
      <c r="M34" s="365"/>
      <c r="N34" s="366"/>
      <c r="R34" s="362"/>
      <c r="S34" s="356"/>
      <c r="T34" s="356"/>
      <c r="U34" s="356"/>
      <c r="X34" s="363"/>
    </row>
    <row r="35" spans="1:24" ht="15.75" x14ac:dyDescent="0.25">
      <c r="A35" s="359"/>
      <c r="B35" s="198" t="s">
        <v>52</v>
      </c>
      <c r="C35" s="103" t="s">
        <v>179</v>
      </c>
      <c r="D35" s="189"/>
      <c r="E35" s="199"/>
      <c r="F35" s="190"/>
      <c r="G35" s="200"/>
      <c r="H35" s="189"/>
      <c r="I35" s="199"/>
      <c r="J35" s="197"/>
      <c r="K35" s="191"/>
      <c r="L35" s="194"/>
      <c r="M35" s="365"/>
      <c r="N35" s="366"/>
      <c r="R35" s="362"/>
      <c r="S35" s="356"/>
      <c r="T35" s="356"/>
      <c r="U35" s="356"/>
      <c r="X35" s="363"/>
    </row>
    <row r="36" spans="1:24" s="370" customFormat="1" ht="15.75" x14ac:dyDescent="0.25">
      <c r="A36" s="368">
        <v>6</v>
      </c>
      <c r="B36" s="168" t="s">
        <v>54</v>
      </c>
      <c r="C36" s="169" t="s">
        <v>180</v>
      </c>
      <c r="D36" s="195">
        <f>D8+D26</f>
        <v>138056.82131587068</v>
      </c>
      <c r="E36" s="171">
        <f>E8+E26</f>
        <v>1066.1581773266573</v>
      </c>
      <c r="F36" s="172">
        <f t="shared" ref="F36:K36" si="8">F8+F26</f>
        <v>23308.960513490205</v>
      </c>
      <c r="G36" s="173">
        <f t="shared" si="8"/>
        <v>1066.688217085913</v>
      </c>
      <c r="H36" s="170">
        <f t="shared" si="8"/>
        <v>25030.804733955658</v>
      </c>
      <c r="I36" s="171">
        <f t="shared" si="8"/>
        <v>1067.2381814400781</v>
      </c>
      <c r="J36" s="170">
        <f>J8+J26</f>
        <v>156.7418353618892</v>
      </c>
      <c r="K36" s="173">
        <f t="shared" si="8"/>
        <v>1063.2476045115873</v>
      </c>
      <c r="L36" s="174">
        <f>D36+F36+H36+J36</f>
        <v>186553.32839867842</v>
      </c>
      <c r="M36" s="365">
        <f>L36/$L$45</f>
        <v>0.75964033452905044</v>
      </c>
      <c r="N36" s="361">
        <f>L36/$L$47*1000</f>
        <v>1066.3667220011575</v>
      </c>
      <c r="O36" s="369">
        <f>L36-'[1]4_Структура пл.соб.'!F7/1000</f>
        <v>-20894.385491121415</v>
      </c>
      <c r="R36" s="371">
        <v>1340.0866608812987</v>
      </c>
      <c r="S36" s="372"/>
      <c r="T36" s="372"/>
      <c r="U36" s="372"/>
      <c r="X36" s="363">
        <f>виробництво!K38+постачання!K30+транспортування!L35</f>
        <v>230721.86700838988</v>
      </c>
    </row>
    <row r="37" spans="1:24" s="370" customFormat="1" ht="16.5" customHeight="1" x14ac:dyDescent="0.25">
      <c r="A37" s="368"/>
      <c r="B37" s="168" t="s">
        <v>56</v>
      </c>
      <c r="C37" s="169" t="s">
        <v>57</v>
      </c>
      <c r="D37" s="202">
        <f>E37*D47/1000</f>
        <v>33879.763338359997</v>
      </c>
      <c r="E37" s="203">
        <f>[1]транспорт!D36</f>
        <v>261.64</v>
      </c>
      <c r="F37" s="173">
        <f>G37*F47/1000</f>
        <v>5002.599148205999</v>
      </c>
      <c r="G37" s="203">
        <f>[1]транспорт!F36</f>
        <v>228.93399999999997</v>
      </c>
      <c r="H37" s="204">
        <f>I37*H47/1000</f>
        <v>4622.9810804300005</v>
      </c>
      <c r="I37" s="203">
        <f>[1]транспорт!H36</f>
        <v>197.11</v>
      </c>
      <c r="J37" s="204">
        <f>K37*J47/1000</f>
        <v>28.566660040000002</v>
      </c>
      <c r="K37" s="203">
        <f>[1]транспорт!K36</f>
        <v>193.78</v>
      </c>
      <c r="L37" s="174">
        <f>D37+F37+H37+J37</f>
        <v>43533.910227035994</v>
      </c>
      <c r="M37" s="365"/>
      <c r="N37" s="361"/>
      <c r="O37" s="369"/>
      <c r="R37" s="373"/>
      <c r="S37" s="374"/>
      <c r="T37" s="374"/>
      <c r="U37" s="374"/>
      <c r="X37" s="363">
        <f>транспортування!L36</f>
        <v>43533.910227035994</v>
      </c>
    </row>
    <row r="38" spans="1:24" s="370" customFormat="1" ht="15.75" x14ac:dyDescent="0.25">
      <c r="A38" s="368"/>
      <c r="B38" s="168"/>
      <c r="C38" s="169"/>
      <c r="D38" s="202">
        <f>E38*D47/1000</f>
        <v>-1003.2468250587578</v>
      </c>
      <c r="E38" s="203">
        <f>[1]виробн!D40</f>
        <v>-7.7476780663096445</v>
      </c>
      <c r="F38" s="173">
        <f>G38*F47/1000</f>
        <v>-176.77324604836991</v>
      </c>
      <c r="G38" s="203">
        <f>[1]виробн!F40</f>
        <v>-8.0896760087904305</v>
      </c>
      <c r="H38" s="204">
        <f>I38*H47/1000</f>
        <v>-215.0305924145357</v>
      </c>
      <c r="I38" s="203">
        <f>[1]виробн!H40</f>
        <v>-9.1682573070116877</v>
      </c>
      <c r="J38" s="204">
        <f>K38*J47/1000</f>
        <v>-1.2133259759141075</v>
      </c>
      <c r="K38" s="205">
        <f>[1]виробн!J40</f>
        <v>-8.2305144277775266</v>
      </c>
      <c r="L38" s="174">
        <f>D38+F38+H38+J38</f>
        <v>-1396.2639894975775</v>
      </c>
      <c r="M38" s="365"/>
      <c r="N38" s="361"/>
      <c r="O38" s="369"/>
      <c r="R38" s="373"/>
      <c r="S38" s="374"/>
      <c r="T38" s="374"/>
      <c r="U38" s="374"/>
      <c r="X38" s="389">
        <f>виробництво!K40+постачання!K32</f>
        <v>-1773.7447361235531</v>
      </c>
    </row>
    <row r="39" spans="1:24" s="370" customFormat="1" ht="15.6" customHeight="1" x14ac:dyDescent="0.25">
      <c r="A39" s="368">
        <v>7</v>
      </c>
      <c r="B39" s="168" t="s">
        <v>58</v>
      </c>
      <c r="C39" s="169" t="s">
        <v>181</v>
      </c>
      <c r="D39" s="206">
        <f>D40+D41+D42+D43+D44</f>
        <v>11155.169547363796</v>
      </c>
      <c r="E39" s="207">
        <f>E40+E41+E42+E43+E44</f>
        <v>86.146958325050207</v>
      </c>
      <c r="F39" s="206">
        <f t="shared" ref="F39:K39" si="9">F40+F41+F42+F43+F44</f>
        <v>2748.7927209564923</v>
      </c>
      <c r="G39" s="207">
        <f t="shared" si="9"/>
        <v>111.39339865579896</v>
      </c>
      <c r="H39" s="206">
        <f t="shared" si="9"/>
        <v>2965.7492069486425</v>
      </c>
      <c r="I39" s="207">
        <f t="shared" si="9"/>
        <v>120.26309706936615</v>
      </c>
      <c r="J39" s="206">
        <f t="shared" si="9"/>
        <v>20.439480449442932</v>
      </c>
      <c r="K39" s="208">
        <f t="shared" si="9"/>
        <v>112.55158534062552</v>
      </c>
      <c r="L39" s="174">
        <f t="shared" si="4"/>
        <v>16890.150955718374</v>
      </c>
      <c r="M39" s="365">
        <f>L39/$L$45</f>
        <v>6.8776258415655059E-2</v>
      </c>
      <c r="N39" s="361">
        <f>L39/$L$47*1000</f>
        <v>96.546628587955624</v>
      </c>
      <c r="O39" s="375"/>
      <c r="R39" s="376"/>
      <c r="X39" s="363">
        <f>виробництво!K41+постачання!K33</f>
        <v>20788.677884980487</v>
      </c>
    </row>
    <row r="40" spans="1:24" ht="15.75" x14ac:dyDescent="0.25">
      <c r="A40" s="359" t="s">
        <v>285</v>
      </c>
      <c r="B40" s="182" t="s">
        <v>60</v>
      </c>
      <c r="C40" s="183" t="s">
        <v>182</v>
      </c>
      <c r="D40" s="209">
        <f>E40*D47/1000</f>
        <v>2007.9305185254832</v>
      </c>
      <c r="E40" s="210">
        <f>виробництво!D42</f>
        <v>15.50645249850904</v>
      </c>
      <c r="F40" s="190">
        <f>'[1]Д3(вробн)'!X48</f>
        <v>549.13729609889685</v>
      </c>
      <c r="G40" s="211">
        <f>[1]виробн!F42</f>
        <v>20.05081175804381</v>
      </c>
      <c r="H40" s="209">
        <f>'[1]Д3(вробн)'!AB48</f>
        <v>561.46961055754184</v>
      </c>
      <c r="I40" s="210">
        <f>[1]виробн!H42</f>
        <v>21.647357472485908</v>
      </c>
      <c r="J40" s="209">
        <f>'[1]Д3(вробн)'!P48</f>
        <v>3.679106480899728</v>
      </c>
      <c r="K40" s="191">
        <f>[1]виробн!J42</f>
        <v>20.259285361312592</v>
      </c>
      <c r="L40" s="194">
        <f>D40+F40+H40+J40</f>
        <v>3122.2165316628216</v>
      </c>
      <c r="M40" s="365">
        <f>L40/$L$45</f>
        <v>1.2713585069443764E-2</v>
      </c>
      <c r="N40" s="361">
        <f>L40/$L$47*1000</f>
        <v>17.84705658604959</v>
      </c>
      <c r="R40" s="361"/>
      <c r="X40" s="363">
        <f>виробництво!K42</f>
        <v>3741.9620192964876</v>
      </c>
    </row>
    <row r="41" spans="1:24" ht="15.75" x14ac:dyDescent="0.25">
      <c r="A41" s="359" t="s">
        <v>286</v>
      </c>
      <c r="B41" s="182" t="s">
        <v>62</v>
      </c>
      <c r="C41" s="183" t="s">
        <v>63</v>
      </c>
      <c r="D41" s="209">
        <f>[2]Д3!L38+[2]Д4!K38+[2]Д5!K33</f>
        <v>0</v>
      </c>
      <c r="E41" s="212">
        <f>D41/$D$47*1000</f>
        <v>0</v>
      </c>
      <c r="F41" s="213">
        <f>'[1]Д3(вробн)'!X49</f>
        <v>503.81373531199989</v>
      </c>
      <c r="G41" s="214">
        <f>[1]виробн!F43</f>
        <v>18.395899239811463</v>
      </c>
      <c r="H41" s="209">
        <f>'[1]Д3(вробн)'!AB49</f>
        <v>477.13620488199996</v>
      </c>
      <c r="I41" s="210">
        <f>[1]виробн!H43</f>
        <v>18.395898541845291</v>
      </c>
      <c r="J41" s="209">
        <f>'[1]Д3(вробн)'!P49</f>
        <v>3.340713971</v>
      </c>
      <c r="K41" s="191">
        <f>[1]виробн!J43</f>
        <v>18.395900743938636</v>
      </c>
      <c r="L41" s="194">
        <f t="shared" si="4"/>
        <v>984.29065416499986</v>
      </c>
      <c r="M41" s="365">
        <f>L41/$L$45</f>
        <v>4.008006119332338E-3</v>
      </c>
      <c r="N41" s="361">
        <f>L41/$L$47*1000</f>
        <v>5.6263525683937425</v>
      </c>
      <c r="X41" s="363">
        <f>виробництво!K43</f>
        <v>984.29065416499986</v>
      </c>
    </row>
    <row r="42" spans="1:24" ht="15.75" x14ac:dyDescent="0.25">
      <c r="A42" s="359" t="s">
        <v>287</v>
      </c>
      <c r="B42" s="182" t="s">
        <v>64</v>
      </c>
      <c r="C42" s="183" t="s">
        <v>65</v>
      </c>
      <c r="D42" s="209">
        <f>[2]Д3!L39+[2]Д4!K39+[2]Д5!K34</f>
        <v>0</v>
      </c>
      <c r="E42" s="212">
        <f>D42/$D$47*1000</f>
        <v>0</v>
      </c>
      <c r="F42" s="213">
        <f>[2]Д3!P39+[2]Д4!O39+[2]Д5!O34</f>
        <v>0</v>
      </c>
      <c r="G42" s="215">
        <f>F42/$F$47*1000</f>
        <v>0</v>
      </c>
      <c r="H42" s="209">
        <f>'[1]Д3(вробн)'!AB50</f>
        <v>0</v>
      </c>
      <c r="I42" s="212">
        <f>H42/$H$47*1000</f>
        <v>0</v>
      </c>
      <c r="J42" s="209">
        <f>[2]Д3!X39+[2]Д4!W39+[2]Д5!W34</f>
        <v>0</v>
      </c>
      <c r="K42" s="191">
        <f>J42/$J$47*1000</f>
        <v>0</v>
      </c>
      <c r="L42" s="194">
        <f t="shared" si="4"/>
        <v>0</v>
      </c>
      <c r="M42" s="365">
        <f>L42/$L$45</f>
        <v>0</v>
      </c>
      <c r="N42" s="361">
        <f>L42/$L$47*1000</f>
        <v>0</v>
      </c>
      <c r="X42" s="363">
        <f>виробництво!K44</f>
        <v>0</v>
      </c>
    </row>
    <row r="43" spans="1:24" ht="16.899999999999999" customHeight="1" x14ac:dyDescent="0.25">
      <c r="A43" s="359" t="s">
        <v>288</v>
      </c>
      <c r="B43" s="182" t="s">
        <v>66</v>
      </c>
      <c r="C43" s="183" t="s">
        <v>183</v>
      </c>
      <c r="D43" s="209">
        <f>E43*D47/1000</f>
        <v>6765.1541576540931</v>
      </c>
      <c r="E43" s="210">
        <f>виробництво!D45</f>
        <v>52.244607382027183</v>
      </c>
      <c r="F43" s="190">
        <f>G43*F47/1000</f>
        <v>1192.0279542335957</v>
      </c>
      <c r="G43" s="214">
        <f>[1]виробн!F45</f>
        <v>54.550788418132221</v>
      </c>
      <c r="H43" s="209">
        <f>I43*H47/1000</f>
        <v>1450.0071866271005</v>
      </c>
      <c r="I43" s="210">
        <f>[1]виробн!H45</f>
        <v>61.823942513189671</v>
      </c>
      <c r="J43" s="209">
        <f>'[1]Д3(вробн)'!P51</f>
        <v>10.078946026543205</v>
      </c>
      <c r="K43" s="191">
        <f>[1]виробн!J45</f>
        <v>55.50049849143565</v>
      </c>
      <c r="L43" s="194">
        <f t="shared" si="4"/>
        <v>9417.268244541332</v>
      </c>
      <c r="M43" s="365">
        <f>L43/$L$45</f>
        <v>3.8346873041820571E-2</v>
      </c>
      <c r="N43" s="361">
        <f>L43/$L$47*1000</f>
        <v>53.830513528421591</v>
      </c>
      <c r="X43" s="363">
        <f>виробництво!K45</f>
        <v>11960.821879999998</v>
      </c>
    </row>
    <row r="44" spans="1:24" ht="16.899999999999999" customHeight="1" x14ac:dyDescent="0.25">
      <c r="A44" s="359"/>
      <c r="B44" s="182" t="s">
        <v>68</v>
      </c>
      <c r="C44" s="183" t="s">
        <v>143</v>
      </c>
      <c r="D44" s="209">
        <f>E44*D47/1000</f>
        <v>2382.0848711842186</v>
      </c>
      <c r="E44" s="210">
        <f>виробництво!D46</f>
        <v>18.395898444513996</v>
      </c>
      <c r="F44" s="190">
        <f>'[1]Д3(вробн)'!X52</f>
        <v>503.81373531199989</v>
      </c>
      <c r="G44" s="214">
        <f>[1]виробн!F46</f>
        <v>18.395899239811463</v>
      </c>
      <c r="H44" s="209">
        <f>'[1]Д3(вробн)'!AB52</f>
        <v>477.13620488199996</v>
      </c>
      <c r="I44" s="210">
        <f>[1]виробн!H46</f>
        <v>18.395898541845291</v>
      </c>
      <c r="J44" s="209">
        <f>'[1]Д3(вробн)'!P52</f>
        <v>3.340713971</v>
      </c>
      <c r="K44" s="191">
        <f>[1]виробн!J46</f>
        <v>18.395900743938636</v>
      </c>
      <c r="L44" s="194">
        <f t="shared" si="4"/>
        <v>3366.3755253492186</v>
      </c>
      <c r="M44" s="365"/>
      <c r="N44" s="361"/>
      <c r="X44" s="363">
        <f>виробництво!K46</f>
        <v>4101.6033315189998</v>
      </c>
    </row>
    <row r="45" spans="1:24" s="370" customFormat="1" ht="31.5" x14ac:dyDescent="0.25">
      <c r="A45" s="368">
        <v>8</v>
      </c>
      <c r="B45" s="216" t="s">
        <v>70</v>
      </c>
      <c r="C45" s="217" t="s">
        <v>184</v>
      </c>
      <c r="D45" s="218">
        <f>D36+D39+D37+D38</f>
        <v>182088.50737653571</v>
      </c>
      <c r="E45" s="219">
        <f t="shared" ref="E45:K45" si="10">E36+E39+E37+E38</f>
        <v>1406.1974575853978</v>
      </c>
      <c r="F45" s="220">
        <f t="shared" si="10"/>
        <v>30883.579136604323</v>
      </c>
      <c r="G45" s="221">
        <f t="shared" si="10"/>
        <v>1398.9259397329217</v>
      </c>
      <c r="H45" s="222">
        <f t="shared" si="10"/>
        <v>32404.504428919765</v>
      </c>
      <c r="I45" s="219">
        <f t="shared" si="10"/>
        <v>1375.4430212024324</v>
      </c>
      <c r="J45" s="222">
        <f t="shared" si="10"/>
        <v>204.53464987541801</v>
      </c>
      <c r="K45" s="221">
        <f t="shared" si="10"/>
        <v>1361.3486754244352</v>
      </c>
      <c r="L45" s="223">
        <f>D45+F45+H45+J45</f>
        <v>245581.12559193521</v>
      </c>
      <c r="M45" s="365">
        <f>L45/$L$45</f>
        <v>1</v>
      </c>
      <c r="N45" s="361">
        <f>L45/$L$47*1000</f>
        <v>1403.7784376763855</v>
      </c>
      <c r="O45" s="369">
        <f>'[1]4_Структура пл.соб.'!F7/1000-[1]структураТАРИФА!L45</f>
        <v>-38133.411702135374</v>
      </c>
      <c r="P45" s="370" t="s">
        <v>289</v>
      </c>
      <c r="X45" s="369">
        <f>X36+X37+X39+X38</f>
        <v>293270.71038428287</v>
      </c>
    </row>
    <row r="46" spans="1:24" s="370" customFormat="1" ht="31.5" hidden="1" x14ac:dyDescent="0.25">
      <c r="A46" s="368">
        <v>9</v>
      </c>
      <c r="B46" s="224">
        <v>9</v>
      </c>
      <c r="C46" s="225" t="s">
        <v>185</v>
      </c>
      <c r="D46" s="226"/>
      <c r="E46" s="227"/>
      <c r="F46" s="228"/>
      <c r="G46" s="229"/>
      <c r="H46" s="226"/>
      <c r="I46" s="227"/>
      <c r="J46" s="230"/>
      <c r="K46" s="229"/>
      <c r="L46" s="231">
        <f t="shared" si="4"/>
        <v>0</v>
      </c>
      <c r="M46" s="365">
        <f>L46/$L$45</f>
        <v>0</v>
      </c>
      <c r="N46" s="361">
        <f>L46/$L$47*1000</f>
        <v>0</v>
      </c>
      <c r="X46" s="363">
        <f>виробництво!K48+постачання!K40</f>
        <v>0</v>
      </c>
    </row>
    <row r="47" spans="1:24" s="370" customFormat="1" ht="30.75" customHeight="1" x14ac:dyDescent="0.25">
      <c r="A47" s="368">
        <v>10</v>
      </c>
      <c r="B47" s="232" t="s">
        <v>72</v>
      </c>
      <c r="C47" s="233" t="s">
        <v>186</v>
      </c>
      <c r="D47" s="234">
        <f>'[1]Д3(вробн)'!L57</f>
        <v>129489.999</v>
      </c>
      <c r="E47" s="235"/>
      <c r="F47" s="236">
        <f>'[1]Д3(вробн)'!X57</f>
        <v>21851.708999999999</v>
      </c>
      <c r="G47" s="237"/>
      <c r="H47" s="234">
        <f>'[1]Д3(вробн)'!AB57</f>
        <v>23453.812999999998</v>
      </c>
      <c r="I47" s="238"/>
      <c r="J47" s="234">
        <f>'[1]Д3(вробн)'!P57</f>
        <v>147.41800000000001</v>
      </c>
      <c r="K47" s="239"/>
      <c r="L47" s="240">
        <f>D47+F47+H47+J47</f>
        <v>174942.93899999998</v>
      </c>
      <c r="M47" s="365"/>
      <c r="X47" s="363">
        <f>виробництво!K49+постачання!K41</f>
        <v>0</v>
      </c>
    </row>
    <row r="48" spans="1:24" s="370" customFormat="1" ht="16.899999999999999" hidden="1" customHeight="1" x14ac:dyDescent="0.2">
      <c r="A48" s="377"/>
      <c r="B48" s="232"/>
      <c r="C48" s="233"/>
      <c r="D48" s="241"/>
      <c r="E48" s="242"/>
      <c r="F48" s="243"/>
      <c r="G48" s="244"/>
      <c r="H48" s="241"/>
      <c r="I48" s="242"/>
      <c r="J48" s="241"/>
      <c r="K48" s="245"/>
      <c r="L48" s="246"/>
      <c r="M48" s="365"/>
    </row>
    <row r="49" spans="2:17" ht="15.75" thickBot="1" x14ac:dyDescent="0.3">
      <c r="B49" s="247" t="s">
        <v>74</v>
      </c>
      <c r="C49" s="248" t="s">
        <v>121</v>
      </c>
      <c r="D49" s="250">
        <f>'[1]5_Розрахунок тарифів'!E25</f>
        <v>10.574051954710399</v>
      </c>
      <c r="E49" s="251"/>
      <c r="F49" s="252">
        <f>'[1]5_Розрахунок тарифів'!G25</f>
        <v>13.088368957214701</v>
      </c>
      <c r="G49" s="253"/>
      <c r="H49" s="250">
        <f>'[1]5_Розрахунок тарифів'!H25</f>
        <v>12.46174723374997</v>
      </c>
      <c r="I49" s="254"/>
      <c r="J49" s="250">
        <f>'[1]5_Розрахунок тарифів'!F25</f>
        <v>13.040243113749902</v>
      </c>
      <c r="K49" s="249"/>
      <c r="L49" s="255"/>
      <c r="M49" s="358"/>
      <c r="O49" s="363">
        <f>L36+'[3]расчет послуги'!$C$4</f>
        <v>196013.56506457733</v>
      </c>
      <c r="Q49" s="363">
        <f>'[2]1_Структура по елементах'!AA2/1000+[1]структураТАРИФА!L39</f>
        <v>315861.07043908129</v>
      </c>
    </row>
    <row r="50" spans="2:17" hidden="1" x14ac:dyDescent="0.25">
      <c r="B50" s="378"/>
      <c r="C50" s="379" t="s">
        <v>290</v>
      </c>
      <c r="D50" s="380">
        <f>D17+D23+D27+D19+D24+D28</f>
        <v>14037.174257029475</v>
      </c>
      <c r="E50" s="380"/>
      <c r="F50" s="380">
        <f>F17+F23+F27+F19+F24+F28</f>
        <v>2368.8026057278694</v>
      </c>
      <c r="G50" s="380"/>
      <c r="H50" s="380">
        <f>H17+H23+H27+H19+H24+H28</f>
        <v>2542.4763504151633</v>
      </c>
      <c r="I50" s="380"/>
      <c r="J50" s="380">
        <f>J17+J23+J27+J19+J24+J28</f>
        <v>15.980633026514822</v>
      </c>
      <c r="K50" s="380"/>
      <c r="L50" s="380">
        <f>L17+L23+L27+L19+L24+L28</f>
        <v>18964.433846199023</v>
      </c>
      <c r="M50" s="381">
        <f>L50/$L$45%/100</f>
        <v>7.7222684766543828E-2</v>
      </c>
      <c r="N50" s="382">
        <v>2.3099999999999999E-2</v>
      </c>
      <c r="O50" s="151" t="s">
        <v>291</v>
      </c>
    </row>
    <row r="51" spans="2:17" hidden="1" x14ac:dyDescent="0.25">
      <c r="C51" s="356" t="s">
        <v>292</v>
      </c>
      <c r="D51" s="356"/>
      <c r="E51" s="356"/>
      <c r="F51" s="356"/>
      <c r="G51" s="356"/>
      <c r="H51" s="356"/>
      <c r="I51" s="356"/>
      <c r="J51" s="356"/>
      <c r="K51" s="356"/>
      <c r="L51" s="383">
        <f>('[2]1_Структура по елементах'!AL15+'[2]1_Структура по елементах'!AL16+'[2]1_Структура по елементах'!AM34)/1000</f>
        <v>2904.96783</v>
      </c>
      <c r="M51" s="356"/>
    </row>
    <row r="52" spans="2:17" hidden="1" x14ac:dyDescent="0.25">
      <c r="C52" s="356" t="s">
        <v>293</v>
      </c>
      <c r="D52" s="356"/>
      <c r="E52" s="356"/>
      <c r="F52" s="356"/>
      <c r="G52" s="356"/>
      <c r="H52" s="356"/>
      <c r="I52" s="356"/>
      <c r="J52" s="356"/>
      <c r="K52" s="356"/>
      <c r="L52" s="383">
        <f>L50+L51</f>
        <v>21869.401676199024</v>
      </c>
      <c r="M52" s="356"/>
    </row>
    <row r="53" spans="2:17" hidden="1" x14ac:dyDescent="0.25">
      <c r="C53" s="384"/>
      <c r="D53" s="384"/>
      <c r="E53" s="384"/>
      <c r="F53" s="384"/>
      <c r="G53" s="384"/>
      <c r="H53" s="384"/>
      <c r="I53" s="384"/>
      <c r="J53" s="384"/>
      <c r="K53" s="384"/>
      <c r="L53" s="385"/>
      <c r="M53" s="384"/>
    </row>
    <row r="54" spans="2:17" x14ac:dyDescent="0.25">
      <c r="C54" s="384"/>
      <c r="D54" s="384"/>
      <c r="E54" s="384"/>
      <c r="F54" s="384"/>
      <c r="G54" s="384"/>
      <c r="H54" s="384"/>
      <c r="I54" s="384"/>
      <c r="J54" s="384"/>
      <c r="K54" s="384"/>
      <c r="L54" s="385"/>
      <c r="M54" s="384"/>
    </row>
    <row r="55" spans="2:17" ht="45" customHeight="1" x14ac:dyDescent="0.25">
      <c r="C55" s="68" t="s">
        <v>122</v>
      </c>
      <c r="D55" s="386"/>
      <c r="E55" s="386"/>
      <c r="F55" s="477" t="s">
        <v>104</v>
      </c>
      <c r="G55" s="477"/>
      <c r="H55" s="384"/>
      <c r="I55" s="384"/>
      <c r="J55" s="384"/>
      <c r="K55" s="384"/>
      <c r="L55" s="385"/>
      <c r="M55" s="384"/>
    </row>
    <row r="56" spans="2:17" x14ac:dyDescent="0.25">
      <c r="C56" s="384"/>
      <c r="D56" s="384"/>
      <c r="E56" s="384"/>
      <c r="F56" s="384"/>
      <c r="G56" s="384"/>
      <c r="H56" s="384"/>
      <c r="I56" s="384"/>
      <c r="J56" s="384"/>
      <c r="K56" s="384"/>
      <c r="L56" s="385"/>
      <c r="M56" s="384"/>
    </row>
  </sheetData>
  <mergeCells count="14">
    <mergeCell ref="A5:A6"/>
    <mergeCell ref="B5:B6"/>
    <mergeCell ref="C5:C6"/>
    <mergeCell ref="D5:E5"/>
    <mergeCell ref="F5:G5"/>
    <mergeCell ref="C2:I2"/>
    <mergeCell ref="C3:I3"/>
    <mergeCell ref="C4:I4"/>
    <mergeCell ref="F55:G55"/>
    <mergeCell ref="R4:S4"/>
    <mergeCell ref="H5:I5"/>
    <mergeCell ref="J5:K5"/>
    <mergeCell ref="L5:L6"/>
    <mergeCell ref="M5:M6"/>
  </mergeCells>
  <conditionalFormatting sqref="L3:O3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abSelected="1" topLeftCell="A20" workbookViewId="0">
      <selection activeCell="B40" sqref="B40"/>
    </sheetView>
  </sheetViews>
  <sheetFormatPr defaultColWidth="8.140625" defaultRowHeight="12.75" x14ac:dyDescent="0.2"/>
  <cols>
    <col min="1" max="1" width="8.28515625" style="70" customWidth="1"/>
    <col min="2" max="2" width="60.7109375" style="70" customWidth="1"/>
    <col min="3" max="3" width="13.5703125" style="70" customWidth="1"/>
    <col min="4" max="4" width="12.85546875" style="70" customWidth="1"/>
    <col min="5" max="5" width="13.7109375" style="70" customWidth="1"/>
    <col min="6" max="6" width="13.28515625" style="70" customWidth="1"/>
    <col min="7" max="7" width="14.5703125" style="70" customWidth="1"/>
    <col min="8" max="8" width="13" style="70" customWidth="1"/>
    <col min="9" max="9" width="13.7109375" style="70" customWidth="1"/>
    <col min="10" max="10" width="14.7109375" style="70" customWidth="1"/>
    <col min="11" max="11" width="11.5703125" style="130" customWidth="1"/>
    <col min="12" max="237" width="11.5703125" style="70" customWidth="1"/>
    <col min="238" max="238" width="6.42578125" style="70" customWidth="1"/>
    <col min="239" max="239" width="65.7109375" style="70" customWidth="1"/>
    <col min="240" max="243" width="11.5703125" style="70" hidden="1" customWidth="1"/>
    <col min="244" max="244" width="14.85546875" style="70" customWidth="1"/>
    <col min="245" max="245" width="13.28515625" style="70" customWidth="1"/>
    <col min="246" max="246" width="14.5703125" style="70" customWidth="1"/>
    <col min="247" max="247" width="13" style="70" customWidth="1"/>
    <col min="248" max="257" width="11.5703125" style="70" hidden="1" customWidth="1"/>
    <col min="258" max="16384" width="8.140625" style="70"/>
  </cols>
  <sheetData>
    <row r="1" spans="1:81" ht="18" customHeight="1" x14ac:dyDescent="0.3">
      <c r="A1" s="110"/>
      <c r="B1" s="4"/>
      <c r="C1" s="4"/>
      <c r="D1" s="4"/>
      <c r="E1" s="4"/>
      <c r="F1" s="5"/>
    </row>
    <row r="2" spans="1:81" ht="18" customHeight="1" x14ac:dyDescent="0.3">
      <c r="A2" s="110"/>
      <c r="B2" s="4"/>
      <c r="C2" s="4"/>
      <c r="D2" s="4"/>
      <c r="E2" s="4"/>
      <c r="F2" s="5"/>
      <c r="J2" s="111" t="s">
        <v>124</v>
      </c>
    </row>
    <row r="3" spans="1:81" ht="19.899999999999999" customHeight="1" x14ac:dyDescent="0.25">
      <c r="A3" s="71"/>
      <c r="B3" s="495" t="s">
        <v>125</v>
      </c>
      <c r="C3" s="495"/>
      <c r="D3" s="495"/>
      <c r="E3" s="495"/>
      <c r="F3" s="495"/>
      <c r="G3" s="495"/>
      <c r="H3" s="495"/>
      <c r="I3" s="112"/>
      <c r="J3" s="113"/>
    </row>
    <row r="4" spans="1:81" ht="24.95" customHeight="1" x14ac:dyDescent="0.2">
      <c r="B4" s="495" t="s">
        <v>106</v>
      </c>
      <c r="C4" s="495"/>
      <c r="D4" s="495"/>
      <c r="E4" s="495"/>
      <c r="F4" s="495"/>
      <c r="G4" s="495"/>
      <c r="H4" s="495"/>
      <c r="I4" s="112"/>
      <c r="J4" s="113"/>
    </row>
    <row r="5" spans="1:81" ht="15.75" x14ac:dyDescent="0.25">
      <c r="A5" s="109"/>
      <c r="B5" s="496"/>
      <c r="C5" s="496"/>
      <c r="D5" s="496"/>
      <c r="E5" s="496"/>
      <c r="F5" s="496"/>
      <c r="H5" s="114"/>
      <c r="J5" s="115" t="s">
        <v>126</v>
      </c>
    </row>
    <row r="6" spans="1:81" ht="49.9" customHeight="1" x14ac:dyDescent="0.2">
      <c r="A6" s="492" t="s">
        <v>4</v>
      </c>
      <c r="B6" s="492" t="s">
        <v>5</v>
      </c>
      <c r="C6" s="492" t="s">
        <v>6</v>
      </c>
      <c r="D6" s="492"/>
      <c r="E6" s="492" t="s">
        <v>127</v>
      </c>
      <c r="F6" s="492"/>
      <c r="G6" s="492" t="s">
        <v>8</v>
      </c>
      <c r="H6" s="492"/>
      <c r="I6" s="492" t="s">
        <v>128</v>
      </c>
      <c r="J6" s="492"/>
      <c r="K6" s="13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</row>
    <row r="7" spans="1:81" ht="22.15" customHeight="1" x14ac:dyDescent="0.2">
      <c r="A7" s="492"/>
      <c r="B7" s="492"/>
      <c r="C7" s="116" t="s">
        <v>10</v>
      </c>
      <c r="D7" s="116" t="s">
        <v>11</v>
      </c>
      <c r="E7" s="116" t="s">
        <v>10</v>
      </c>
      <c r="F7" s="116" t="s">
        <v>11</v>
      </c>
      <c r="G7" s="116" t="s">
        <v>10</v>
      </c>
      <c r="H7" s="116" t="s">
        <v>11</v>
      </c>
      <c r="I7" s="116" t="s">
        <v>10</v>
      </c>
      <c r="J7" s="116" t="s">
        <v>11</v>
      </c>
      <c r="K7" s="13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</row>
    <row r="8" spans="1:81" ht="15.75" customHeight="1" x14ac:dyDescent="0.25">
      <c r="A8" s="107">
        <v>1</v>
      </c>
      <c r="B8" s="107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17">
        <v>9</v>
      </c>
      <c r="J8" s="117">
        <v>10</v>
      </c>
      <c r="K8" s="13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</row>
    <row r="9" spans="1:81" s="133" customFormat="1" ht="15.75" customHeight="1" x14ac:dyDescent="0.25">
      <c r="A9" s="13">
        <v>1</v>
      </c>
      <c r="B9" s="14" t="s">
        <v>12</v>
      </c>
      <c r="C9" s="37">
        <f>C10+C19+C20+C24</f>
        <v>155455.27633058777</v>
      </c>
      <c r="D9" s="37">
        <f t="shared" ref="D9:J9" si="0">D10+D19+D20+D24</f>
        <v>917.37331863312579</v>
      </c>
      <c r="E9" s="37">
        <f t="shared" si="0"/>
        <v>25124.365617699288</v>
      </c>
      <c r="F9" s="37">
        <f t="shared" si="0"/>
        <v>917.37335839238153</v>
      </c>
      <c r="G9" s="37">
        <f t="shared" si="0"/>
        <v>23794.000857289484</v>
      </c>
      <c r="H9" s="37">
        <f t="shared" si="0"/>
        <v>917.37332274654648</v>
      </c>
      <c r="I9" s="37">
        <f t="shared" si="0"/>
        <v>166.59580801330475</v>
      </c>
      <c r="J9" s="16">
        <f t="shared" si="0"/>
        <v>917.37274581805582</v>
      </c>
      <c r="K9" s="132">
        <f>C9+E9+G9+I9</f>
        <v>204540.23861358984</v>
      </c>
    </row>
    <row r="10" spans="1:81" s="133" customFormat="1" ht="20.45" customHeight="1" x14ac:dyDescent="0.25">
      <c r="A10" s="13" t="s">
        <v>13</v>
      </c>
      <c r="B10" s="14" t="s">
        <v>14</v>
      </c>
      <c r="C10" s="37">
        <f>C11+C12+C13+C15+C17+C18</f>
        <v>133261.22358461775</v>
      </c>
      <c r="D10" s="37">
        <f t="shared" ref="D10:J10" si="1">D11+D12+D13+D15+D17+D18</f>
        <v>786.40168291848113</v>
      </c>
      <c r="E10" s="37">
        <f t="shared" si="1"/>
        <v>21537.408103466139</v>
      </c>
      <c r="F10" s="37">
        <f t="shared" si="1"/>
        <v>786.40172267773687</v>
      </c>
      <c r="G10" s="37">
        <f t="shared" si="1"/>
        <v>20396.976837510083</v>
      </c>
      <c r="H10" s="37">
        <f t="shared" si="1"/>
        <v>786.40168703190182</v>
      </c>
      <c r="I10" s="37">
        <f t="shared" si="1"/>
        <v>142.81122799588957</v>
      </c>
      <c r="J10" s="37">
        <f t="shared" si="1"/>
        <v>786.40111010341116</v>
      </c>
      <c r="K10" s="132">
        <f>C10+E10+G10+I10</f>
        <v>175338.4197535899</v>
      </c>
    </row>
    <row r="11" spans="1:81" s="136" customFormat="1" ht="34.15" customHeight="1" x14ac:dyDescent="0.25">
      <c r="A11" s="17" t="s">
        <v>15</v>
      </c>
      <c r="B11" s="14" t="s">
        <v>129</v>
      </c>
      <c r="C11" s="28">
        <f>'[1]Д3(вробн)'!L14</f>
        <v>114531.63226769998</v>
      </c>
      <c r="D11" s="32">
        <f t="shared" ref="D11:D19" si="2">C11/$C$53*1000</f>
        <v>675.8745412954197</v>
      </c>
      <c r="E11" s="32">
        <f>'[1]Д3(вробн)'!X14</f>
        <v>18510.369775599997</v>
      </c>
      <c r="F11" s="80">
        <f t="shared" ref="F11:F19" si="3">E11/$E$53*1000</f>
        <v>675.87458105467545</v>
      </c>
      <c r="G11" s="32">
        <f>'[1]Д3(вробн)'!AB14</f>
        <v>17530.223644099999</v>
      </c>
      <c r="H11" s="32">
        <f t="shared" ref="H11:H19" si="4">G11/$G$53*1000</f>
        <v>675.87454540884039</v>
      </c>
      <c r="I11" s="32">
        <f>'[1]Д3(вробн)'!P14</f>
        <v>122.73938855</v>
      </c>
      <c r="J11" s="32">
        <f t="shared" ref="J11:J19" si="5">I11/$I$53*1000</f>
        <v>675.87396848034973</v>
      </c>
      <c r="K11" s="134">
        <f>C11+E11+G11+I11</f>
        <v>150694.96507594996</v>
      </c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</row>
    <row r="12" spans="1:81" s="136" customFormat="1" ht="15.75" customHeight="1" x14ac:dyDescent="0.25">
      <c r="A12" s="30" t="s">
        <v>17</v>
      </c>
      <c r="B12" s="27" t="s">
        <v>130</v>
      </c>
      <c r="C12" s="28">
        <f>'[1]Д3(вробн)'!L15</f>
        <v>15582.940074160959</v>
      </c>
      <c r="D12" s="32">
        <f t="shared" si="2"/>
        <v>91.958110315239082</v>
      </c>
      <c r="E12" s="77">
        <f>'[1]Д3(вробн)'!X15</f>
        <v>2518.4829752648925</v>
      </c>
      <c r="F12" s="77">
        <f t="shared" si="3"/>
        <v>91.958110315239082</v>
      </c>
      <c r="G12" s="77">
        <f>'[1]Д3(вробн)'!AB15</f>
        <v>2385.1264271830569</v>
      </c>
      <c r="H12" s="77">
        <f t="shared" si="4"/>
        <v>91.958110315239082</v>
      </c>
      <c r="I12" s="77">
        <f>'[1]Д3(вробн)'!P15</f>
        <v>16.699684791357733</v>
      </c>
      <c r="J12" s="77">
        <f t="shared" si="5"/>
        <v>91.958110315239082</v>
      </c>
      <c r="K12" s="134">
        <f t="shared" ref="K12:K18" si="6">C12+E12+G12+I12</f>
        <v>20503.249161400268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</row>
    <row r="13" spans="1:81" s="136" customFormat="1" ht="18.600000000000001" customHeight="1" x14ac:dyDescent="0.25">
      <c r="A13" s="34" t="s">
        <v>19</v>
      </c>
      <c r="B13" s="35" t="s">
        <v>131</v>
      </c>
      <c r="C13" s="25">
        <f>'[1]Д3(вробн)'!L17</f>
        <v>0</v>
      </c>
      <c r="D13" s="32">
        <f t="shared" si="2"/>
        <v>0</v>
      </c>
      <c r="E13" s="77">
        <f>'[1]Д3(вробн)'!X17</f>
        <v>0</v>
      </c>
      <c r="F13" s="77">
        <f t="shared" si="3"/>
        <v>0</v>
      </c>
      <c r="G13" s="77">
        <f>'[1]Д3(вробн)'!AB17</f>
        <v>0</v>
      </c>
      <c r="H13" s="77">
        <f t="shared" si="4"/>
        <v>0</v>
      </c>
      <c r="I13" s="77">
        <f>'[1]Д3(вробн)'!P17</f>
        <v>0</v>
      </c>
      <c r="J13" s="77">
        <f t="shared" si="5"/>
        <v>0</v>
      </c>
      <c r="K13" s="134">
        <f t="shared" si="6"/>
        <v>0</v>
      </c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</row>
    <row r="14" spans="1:81" s="136" customFormat="1" ht="31.5" hidden="1" x14ac:dyDescent="0.25">
      <c r="A14" s="18" t="s">
        <v>132</v>
      </c>
      <c r="B14" s="19" t="s">
        <v>133</v>
      </c>
      <c r="C14" s="21"/>
      <c r="D14" s="32">
        <f t="shared" si="2"/>
        <v>0</v>
      </c>
      <c r="E14" s="77">
        <f>'[1]Д3(вробн)'!X18</f>
        <v>2411.006416855329</v>
      </c>
      <c r="F14" s="77">
        <f t="shared" si="3"/>
        <v>88.033787097017068</v>
      </c>
      <c r="G14" s="77">
        <f>'[1]Д3(вробн)'!AB17</f>
        <v>0</v>
      </c>
      <c r="H14" s="77">
        <f t="shared" si="4"/>
        <v>0</v>
      </c>
      <c r="I14" s="77">
        <f>'[1]Д3(вробн)'!P17</f>
        <v>0</v>
      </c>
      <c r="J14" s="77">
        <f t="shared" si="5"/>
        <v>0</v>
      </c>
      <c r="K14" s="134">
        <f t="shared" si="6"/>
        <v>2411.006416855329</v>
      </c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</row>
    <row r="15" spans="1:81" s="139" customFormat="1" ht="16.899999999999999" customHeight="1" x14ac:dyDescent="0.25">
      <c r="A15" s="17" t="s">
        <v>21</v>
      </c>
      <c r="B15" s="14" t="s">
        <v>134</v>
      </c>
      <c r="C15" s="28">
        <f>'[1]Д3(вробн)'!L16</f>
        <v>0</v>
      </c>
      <c r="D15" s="32">
        <f t="shared" si="2"/>
        <v>0</v>
      </c>
      <c r="E15" s="77">
        <f>'[1]Д3(вробн)'!X16</f>
        <v>0</v>
      </c>
      <c r="F15" s="77">
        <f t="shared" si="3"/>
        <v>0</v>
      </c>
      <c r="G15" s="77">
        <f>'[1]Д3(вробн)'!AB16</f>
        <v>0</v>
      </c>
      <c r="H15" s="77">
        <f t="shared" si="4"/>
        <v>0</v>
      </c>
      <c r="I15" s="77">
        <f>'[1]Д3(вробн)'!P16</f>
        <v>0</v>
      </c>
      <c r="J15" s="77">
        <f t="shared" si="5"/>
        <v>0</v>
      </c>
      <c r="K15" s="137">
        <f t="shared" si="6"/>
        <v>0</v>
      </c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</row>
    <row r="16" spans="1:81" s="139" customFormat="1" ht="15.75" hidden="1" x14ac:dyDescent="0.25">
      <c r="A16" s="30" t="s">
        <v>135</v>
      </c>
      <c r="B16" s="27" t="s">
        <v>136</v>
      </c>
      <c r="C16" s="31"/>
      <c r="D16" s="32">
        <f t="shared" si="2"/>
        <v>0</v>
      </c>
      <c r="E16" s="77">
        <f>'[1]Д3(вробн)'!X17</f>
        <v>0</v>
      </c>
      <c r="F16" s="77">
        <f t="shared" si="3"/>
        <v>0</v>
      </c>
      <c r="G16" s="77">
        <f>'[1]Д3(вробн)'!AB19</f>
        <v>0</v>
      </c>
      <c r="H16" s="77">
        <f t="shared" si="4"/>
        <v>0</v>
      </c>
      <c r="I16" s="77">
        <f>'[1]Д3(вробн)'!P19</f>
        <v>15.98706879911221</v>
      </c>
      <c r="J16" s="77">
        <f t="shared" si="5"/>
        <v>88.034035049984354</v>
      </c>
      <c r="K16" s="137">
        <f t="shared" si="6"/>
        <v>15.98706879911221</v>
      </c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</row>
    <row r="17" spans="1:81" s="136" customFormat="1" ht="15.75" x14ac:dyDescent="0.25">
      <c r="A17" s="30" t="s">
        <v>137</v>
      </c>
      <c r="B17" s="27" t="s">
        <v>20</v>
      </c>
      <c r="C17" s="28">
        <f>'[1]Д3(вробн)'!L21</f>
        <v>1827.4319389002806</v>
      </c>
      <c r="D17" s="32">
        <f t="shared" si="2"/>
        <v>10.784048904200864</v>
      </c>
      <c r="E17" s="77">
        <f>'[1]Д3(вробн)'!X21</f>
        <v>295.34582079328675</v>
      </c>
      <c r="F17" s="77">
        <f t="shared" si="3"/>
        <v>10.784048904200864</v>
      </c>
      <c r="G17" s="77">
        <f>'[1]Д3(вробн)'!AB21</f>
        <v>279.70692248100153</v>
      </c>
      <c r="H17" s="77">
        <f t="shared" si="4"/>
        <v>10.784048904200864</v>
      </c>
      <c r="I17" s="77">
        <f>'[1]Д3(вробн)'!P21</f>
        <v>1.9583940650517813</v>
      </c>
      <c r="J17" s="77">
        <f t="shared" si="5"/>
        <v>10.784048904200864</v>
      </c>
      <c r="K17" s="134">
        <f t="shared" si="6"/>
        <v>2404.443076239621</v>
      </c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</row>
    <row r="18" spans="1:81" s="136" customFormat="1" ht="15.75" x14ac:dyDescent="0.25">
      <c r="A18" s="30" t="s">
        <v>138</v>
      </c>
      <c r="B18" s="27" t="s">
        <v>22</v>
      </c>
      <c r="C18" s="28">
        <f>'[1]Д3(вробн)'!L22</f>
        <v>1319.2193038565283</v>
      </c>
      <c r="D18" s="32">
        <f t="shared" si="2"/>
        <v>7.7849824036215098</v>
      </c>
      <c r="E18" s="77">
        <f>'[1]Д3(вробн)'!X22</f>
        <v>213.20953180796732</v>
      </c>
      <c r="F18" s="77">
        <f t="shared" si="3"/>
        <v>7.7849824036215098</v>
      </c>
      <c r="G18" s="77">
        <f>'[1]Д3(вробн)'!AB22</f>
        <v>201.91984374602427</v>
      </c>
      <c r="H18" s="77">
        <f t="shared" si="4"/>
        <v>7.7849824036215098</v>
      </c>
      <c r="I18" s="77">
        <f>'[1]Д3(вробн)'!P22</f>
        <v>1.4137605894800698</v>
      </c>
      <c r="J18" s="77">
        <f t="shared" si="5"/>
        <v>7.7849824036215098</v>
      </c>
      <c r="K18" s="134">
        <f t="shared" si="6"/>
        <v>1735.76244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</row>
    <row r="19" spans="1:81" s="133" customFormat="1" ht="15.75" x14ac:dyDescent="0.25">
      <c r="A19" s="13" t="s">
        <v>23</v>
      </c>
      <c r="B19" s="14" t="s">
        <v>24</v>
      </c>
      <c r="C19" s="37">
        <f>'[1]Д3(вробн)'!L23</f>
        <v>10732.159924719799</v>
      </c>
      <c r="D19" s="16">
        <f t="shared" si="2"/>
        <v>63.332666466107163</v>
      </c>
      <c r="E19" s="16">
        <f>'[1]Д3(вробн)'!X23</f>
        <v>1734.5097863172198</v>
      </c>
      <c r="F19" s="16">
        <f t="shared" si="3"/>
        <v>63.332666466107163</v>
      </c>
      <c r="G19" s="16">
        <f>'[1]Д3(вробн)'!AB23</f>
        <v>1642.6655134000687</v>
      </c>
      <c r="H19" s="16">
        <f t="shared" si="4"/>
        <v>63.332666466107163</v>
      </c>
      <c r="I19" s="16">
        <f>'[1]Д3(вробн)'!P23</f>
        <v>11.501275562911527</v>
      </c>
      <c r="J19" s="16">
        <f t="shared" si="5"/>
        <v>63.332666466107163</v>
      </c>
      <c r="K19" s="132">
        <f>C19+E19+G19+I19</f>
        <v>14120.836499999999</v>
      </c>
    </row>
    <row r="20" spans="1:81" s="133" customFormat="1" ht="15.75" customHeight="1" x14ac:dyDescent="0.25">
      <c r="A20" s="13" t="s">
        <v>25</v>
      </c>
      <c r="B20" s="14" t="s">
        <v>26</v>
      </c>
      <c r="C20" s="15">
        <f>C22+C23+C21</f>
        <v>8237.9116641425917</v>
      </c>
      <c r="D20" s="37">
        <f t="shared" ref="D20:J20" si="7">D22+D23+D21</f>
        <v>48.613598330814867</v>
      </c>
      <c r="E20" s="37">
        <f t="shared" si="7"/>
        <v>1331.3944723615509</v>
      </c>
      <c r="F20" s="39">
        <f t="shared" si="7"/>
        <v>48.613598330814867</v>
      </c>
      <c r="G20" s="16">
        <f t="shared" si="7"/>
        <v>1260.8956154253833</v>
      </c>
      <c r="H20" s="39">
        <f t="shared" si="7"/>
        <v>48.613598330814867</v>
      </c>
      <c r="I20" s="16">
        <f t="shared" si="7"/>
        <v>8.82827807047431</v>
      </c>
      <c r="J20" s="39">
        <f t="shared" si="7"/>
        <v>48.613598330814867</v>
      </c>
      <c r="K20" s="132">
        <f>C20+E20+G20+I20</f>
        <v>10839.03003</v>
      </c>
    </row>
    <row r="21" spans="1:81" s="133" customFormat="1" ht="15.75" customHeight="1" x14ac:dyDescent="0.25">
      <c r="A21" s="30" t="s">
        <v>27</v>
      </c>
      <c r="B21" s="27" t="s">
        <v>139</v>
      </c>
      <c r="C21" s="46">
        <f>'[1]Д3(вробн)'!L25</f>
        <v>2361.0751834383559</v>
      </c>
      <c r="D21" s="32">
        <f>C21/$C$53*1000</f>
        <v>13.933186622543577</v>
      </c>
      <c r="E21" s="28">
        <f>'[1]Д3(вробн)'!X25</f>
        <v>381.59215298978836</v>
      </c>
      <c r="F21" s="77">
        <f t="shared" ref="F21:F31" si="8">E21/$E$53*1000</f>
        <v>13.933186622543577</v>
      </c>
      <c r="G21" s="32">
        <f>'[1]Д3(вробн)'!AB25</f>
        <v>361.38641294801516</v>
      </c>
      <c r="H21" s="77">
        <f t="shared" ref="H21:H31" si="9">G21/$G$53*1000</f>
        <v>13.933186622543577</v>
      </c>
      <c r="I21" s="32">
        <f>'[1]Д3(вробн)'!P25</f>
        <v>2.530280623840536</v>
      </c>
      <c r="J21" s="77">
        <f t="shared" ref="J21:J31" si="10">I21/$I$53*1000</f>
        <v>13.933186622543577</v>
      </c>
      <c r="K21" s="132">
        <f>C21+E21+G21+I21</f>
        <v>3106.58403</v>
      </c>
    </row>
    <row r="22" spans="1:81" s="136" customFormat="1" ht="15.75" customHeight="1" x14ac:dyDescent="0.25">
      <c r="A22" s="30" t="s">
        <v>29</v>
      </c>
      <c r="B22" s="27" t="s">
        <v>30</v>
      </c>
      <c r="C22" s="28">
        <f>'[1]Д3(вробн)'!L26</f>
        <v>1336.6492143591795</v>
      </c>
      <c r="D22" s="32">
        <f>C22/$C$53*1000</f>
        <v>7.8878398634564029</v>
      </c>
      <c r="E22" s="77">
        <f>'[1]Д3(вробн)'!X26</f>
        <v>216.02651837484157</v>
      </c>
      <c r="F22" s="39">
        <f t="shared" si="8"/>
        <v>7.8878398634564029</v>
      </c>
      <c r="G22" s="78">
        <f>'[1]Д3(вробн)'!AB26</f>
        <v>204.58766765893549</v>
      </c>
      <c r="H22" s="77">
        <f t="shared" si="9"/>
        <v>7.8878398634564029</v>
      </c>
      <c r="I22" s="77">
        <f>'[1]Д3(вробн)'!P26</f>
        <v>1.4324396070435461</v>
      </c>
      <c r="J22" s="77">
        <f t="shared" si="10"/>
        <v>7.8878398634564029</v>
      </c>
      <c r="K22" s="132">
        <f t="shared" ref="K22:K23" si="11">C22+E22+G22+I22</f>
        <v>1758.6958400000001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</row>
    <row r="23" spans="1:81" s="136" customFormat="1" ht="15.75" customHeight="1" x14ac:dyDescent="0.25">
      <c r="A23" s="30" t="s">
        <v>31</v>
      </c>
      <c r="B23" s="27" t="s">
        <v>32</v>
      </c>
      <c r="C23" s="28">
        <f>'[1]Д3(вробн)'!L27</f>
        <v>4540.1872663450567</v>
      </c>
      <c r="D23" s="32">
        <f>C23/$C$53*1000</f>
        <v>26.792571844814884</v>
      </c>
      <c r="E23" s="77">
        <f>'[1]Д3(вробн)'!X27</f>
        <v>733.77580099692091</v>
      </c>
      <c r="F23" s="77">
        <f t="shared" si="8"/>
        <v>26.792571844814884</v>
      </c>
      <c r="G23" s="78">
        <f>'[1]Д3(вробн)'!AB27</f>
        <v>694.92153481843263</v>
      </c>
      <c r="H23" s="77">
        <f t="shared" si="9"/>
        <v>26.792571844814884</v>
      </c>
      <c r="I23" s="77">
        <f>'[1]Д3(вробн)'!P27</f>
        <v>4.8655578395902275</v>
      </c>
      <c r="J23" s="77">
        <f t="shared" si="10"/>
        <v>26.792571844814884</v>
      </c>
      <c r="K23" s="132">
        <f t="shared" si="11"/>
        <v>5973.7501600000005</v>
      </c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</row>
    <row r="24" spans="1:81" s="133" customFormat="1" ht="15.75" customHeight="1" x14ac:dyDescent="0.25">
      <c r="A24" s="13" t="s">
        <v>33</v>
      </c>
      <c r="B24" s="14" t="s">
        <v>34</v>
      </c>
      <c r="C24" s="118">
        <f>C26+C27+C25</f>
        <v>3223.9811571076389</v>
      </c>
      <c r="D24" s="16">
        <f>D26+D27+D25</f>
        <v>19.025370917722626</v>
      </c>
      <c r="E24" s="16">
        <f>E26+E27+E25</f>
        <v>521.05325555438117</v>
      </c>
      <c r="F24" s="39">
        <f t="shared" si="8"/>
        <v>19.025370917722626</v>
      </c>
      <c r="G24" s="16">
        <f>G26+G27+G25</f>
        <v>493.46289095395082</v>
      </c>
      <c r="H24" s="39">
        <f t="shared" si="9"/>
        <v>19.025370917722626</v>
      </c>
      <c r="I24" s="16">
        <f>I26+I27+I25</f>
        <v>3.4550263840293463</v>
      </c>
      <c r="J24" s="39">
        <f t="shared" si="10"/>
        <v>19.025370917722622</v>
      </c>
      <c r="K24" s="132">
        <f>K25+K26+K27</f>
        <v>4241.9523300000001</v>
      </c>
    </row>
    <row r="25" spans="1:81" s="133" customFormat="1" ht="15.75" customHeight="1" x14ac:dyDescent="0.25">
      <c r="A25" s="30" t="s">
        <v>35</v>
      </c>
      <c r="B25" s="27" t="s">
        <v>42</v>
      </c>
      <c r="C25" s="119">
        <f>'[1]Д3(вробн)'!L29</f>
        <v>2268.523928700235</v>
      </c>
      <c r="D25" s="32">
        <f>C25/$C$53*1000</f>
        <v>13.387022775893467</v>
      </c>
      <c r="E25" s="16">
        <f>'[1]Д3(вробн)'!X29</f>
        <v>366.63420806488546</v>
      </c>
      <c r="F25" s="77">
        <f t="shared" si="8"/>
        <v>13.387022775893467</v>
      </c>
      <c r="G25" s="16">
        <f>'[1]Д3(вробн)'!AB29</f>
        <v>347.22050827955809</v>
      </c>
      <c r="H25" s="77">
        <f t="shared" si="9"/>
        <v>13.387022775893467</v>
      </c>
      <c r="I25" s="32">
        <f>'[1]Д3(вробн)'!P29</f>
        <v>2.4310967231250289</v>
      </c>
      <c r="J25" s="77">
        <f t="shared" si="10"/>
        <v>13.387022775893465</v>
      </c>
      <c r="K25" s="132">
        <f t="shared" ref="K25:K27" si="12">C25+E25+G25+I25</f>
        <v>2984.8097417678036</v>
      </c>
    </row>
    <row r="26" spans="1:81" s="136" customFormat="1" ht="15.75" x14ac:dyDescent="0.25">
      <c r="A26" s="30" t="s">
        <v>37</v>
      </c>
      <c r="B26" s="27" t="s">
        <v>111</v>
      </c>
      <c r="C26" s="28">
        <f>'[1]Д3(вробн)'!L30</f>
        <v>499.07526431405171</v>
      </c>
      <c r="D26" s="32">
        <f>C26/$C$53*1000</f>
        <v>2.9451450106965624</v>
      </c>
      <c r="E26" s="77">
        <f>'[1]Д3(вробн)'!X30</f>
        <v>80.659525774274798</v>
      </c>
      <c r="F26" s="77">
        <f t="shared" si="8"/>
        <v>2.9451450106965624</v>
      </c>
      <c r="G26" s="78">
        <f>'[1]Д3(вробн)'!AB30</f>
        <v>76.388511821502775</v>
      </c>
      <c r="H26" s="77">
        <f t="shared" si="9"/>
        <v>2.9451450106965624</v>
      </c>
      <c r="I26" s="77">
        <f>'[1]Д3(вробн)'!P30</f>
        <v>0.53484127908750645</v>
      </c>
      <c r="J26" s="77">
        <f t="shared" si="10"/>
        <v>2.9451450106965629</v>
      </c>
      <c r="K26" s="132">
        <f t="shared" si="12"/>
        <v>656.65814318891671</v>
      </c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</row>
    <row r="27" spans="1:81" s="136" customFormat="1" ht="15.75" customHeight="1" x14ac:dyDescent="0.25">
      <c r="A27" s="30" t="s">
        <v>38</v>
      </c>
      <c r="B27" s="27" t="s">
        <v>39</v>
      </c>
      <c r="C27" s="28">
        <f>'[1]Д3(вробн)'!L31</f>
        <v>456.381964093352</v>
      </c>
      <c r="D27" s="32">
        <f>C27/$C$53*1000</f>
        <v>2.6932031311325986</v>
      </c>
      <c r="E27" s="77">
        <f>'[1]Д3(вробн)'!X31</f>
        <v>73.759521715220856</v>
      </c>
      <c r="F27" s="77">
        <f t="shared" si="8"/>
        <v>2.6932031311325986</v>
      </c>
      <c r="G27" s="78">
        <f>'[1]Д3(вробн)'!AB31</f>
        <v>69.853870852889941</v>
      </c>
      <c r="H27" s="77">
        <f t="shared" si="9"/>
        <v>2.693203131132599</v>
      </c>
      <c r="I27" s="77">
        <f>'[1]Д3(вробн)'!P31</f>
        <v>0.48908838181681102</v>
      </c>
      <c r="J27" s="77">
        <f t="shared" si="10"/>
        <v>2.6932031311325986</v>
      </c>
      <c r="K27" s="132">
        <f t="shared" si="12"/>
        <v>600.48444504327961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</row>
    <row r="28" spans="1:81" s="133" customFormat="1" ht="15.75" customHeight="1" x14ac:dyDescent="0.25">
      <c r="A28" s="13" t="s">
        <v>140</v>
      </c>
      <c r="B28" s="14" t="s">
        <v>40</v>
      </c>
      <c r="C28" s="16">
        <f>C29+C31+C30</f>
        <v>410.35764521087083</v>
      </c>
      <c r="D28" s="16">
        <f>D29+D31+D30</f>
        <v>2.4216042304863206</v>
      </c>
      <c r="E28" s="16">
        <f>E29+E31+E30</f>
        <v>66.321165217534556</v>
      </c>
      <c r="F28" s="39">
        <f t="shared" si="8"/>
        <v>2.421604230486321</v>
      </c>
      <c r="G28" s="16">
        <f>G29+G31+G30</f>
        <v>62.809383821734066</v>
      </c>
      <c r="H28" s="39">
        <f t="shared" si="9"/>
        <v>2.421604230486321</v>
      </c>
      <c r="I28" s="16">
        <f>I29+I31+I30</f>
        <v>0.4397657498605464</v>
      </c>
      <c r="J28" s="39">
        <f t="shared" si="10"/>
        <v>2.421604230486321</v>
      </c>
      <c r="K28" s="132">
        <f>K29+K30+K31</f>
        <v>539.92795999999998</v>
      </c>
    </row>
    <row r="29" spans="1:81" s="136" customFormat="1" ht="15.75" x14ac:dyDescent="0.25">
      <c r="A29" s="30" t="s">
        <v>41</v>
      </c>
      <c r="B29" s="27" t="s">
        <v>42</v>
      </c>
      <c r="C29" s="28">
        <f>'[1]Д3(вробн)'!L33</f>
        <v>247.76715208337106</v>
      </c>
      <c r="D29" s="32">
        <f>C29/$C$53*1000</f>
        <v>1.4621245410264492</v>
      </c>
      <c r="E29" s="77">
        <f>'[1]Д3(вробн)'!X33</f>
        <v>40.043621510585552</v>
      </c>
      <c r="F29" s="77">
        <f t="shared" si="8"/>
        <v>1.4621245410264492</v>
      </c>
      <c r="G29" s="78">
        <f>'[1]Д3(вробн)'!AB33</f>
        <v>37.923266046683494</v>
      </c>
      <c r="H29" s="77">
        <f t="shared" si="9"/>
        <v>1.4621245410264492</v>
      </c>
      <c r="I29" s="77">
        <f>'[1]Д3(вробн)'!P33</f>
        <v>0.26552327877494419</v>
      </c>
      <c r="J29" s="77">
        <f t="shared" si="10"/>
        <v>1.4621245410264492</v>
      </c>
      <c r="K29" s="132">
        <f>C29+E29+G29+I29</f>
        <v>325.99956291941498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</row>
    <row r="30" spans="1:81" s="136" customFormat="1" ht="15.75" x14ac:dyDescent="0.25">
      <c r="A30" s="30" t="s">
        <v>43</v>
      </c>
      <c r="B30" s="27" t="s">
        <v>111</v>
      </c>
      <c r="C30" s="28">
        <f>'[1]Д3(вробн)'!L34</f>
        <v>54.508773458341651</v>
      </c>
      <c r="D30" s="32">
        <f t="shared" ref="D30:D31" si="13">C30/$C$53*1000</f>
        <v>0.32166739902581892</v>
      </c>
      <c r="E30" s="77">
        <f>'[1]Д3(вробн)'!X34</f>
        <v>8.809596732328826</v>
      </c>
      <c r="F30" s="77">
        <f t="shared" si="8"/>
        <v>0.32166739902581892</v>
      </c>
      <c r="G30" s="78">
        <f>'[1]Д3(вробн)'!AB34</f>
        <v>8.3431185302703721</v>
      </c>
      <c r="H30" s="77">
        <f t="shared" si="9"/>
        <v>0.32166739902581892</v>
      </c>
      <c r="I30" s="77">
        <f>'[1]Д3(вробн)'!P34</f>
        <v>5.8415121330487742E-2</v>
      </c>
      <c r="J30" s="77">
        <f t="shared" si="10"/>
        <v>0.32166739902581892</v>
      </c>
      <c r="K30" s="132">
        <f t="shared" ref="K30:K31" si="14">C30+E30+G30+I30</f>
        <v>71.719903842271336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</row>
    <row r="31" spans="1:81" s="136" customFormat="1" ht="15.75" customHeight="1" x14ac:dyDescent="0.25">
      <c r="A31" s="30" t="s">
        <v>44</v>
      </c>
      <c r="B31" s="27" t="s">
        <v>39</v>
      </c>
      <c r="C31" s="28">
        <f>'[1]Д3(вробн)'!L35</f>
        <v>108.08171966915813</v>
      </c>
      <c r="D31" s="32">
        <f t="shared" si="13"/>
        <v>0.63781229043405274</v>
      </c>
      <c r="E31" s="77">
        <f>'[1]Д3(вробн)'!X35</f>
        <v>17.467946974620176</v>
      </c>
      <c r="F31" s="77">
        <f t="shared" si="8"/>
        <v>0.63781229043405274</v>
      </c>
      <c r="G31" s="78">
        <f>'[1]Д3(вробн)'!AB35</f>
        <v>16.542999244780198</v>
      </c>
      <c r="H31" s="77">
        <f t="shared" si="9"/>
        <v>0.63781229043405263</v>
      </c>
      <c r="I31" s="77">
        <f>'[1]Д3(вробн)'!P35</f>
        <v>0.11582734975511441</v>
      </c>
      <c r="J31" s="77">
        <f t="shared" si="10"/>
        <v>0.63781229043405274</v>
      </c>
      <c r="K31" s="132">
        <f t="shared" si="14"/>
        <v>142.20849323831362</v>
      </c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</row>
    <row r="32" spans="1:81" s="136" customFormat="1" ht="15.75" customHeight="1" x14ac:dyDescent="0.25">
      <c r="A32" s="17" t="s">
        <v>45</v>
      </c>
      <c r="B32" s="14" t="s">
        <v>46</v>
      </c>
      <c r="C32" s="28"/>
      <c r="D32" s="32"/>
      <c r="E32" s="77"/>
      <c r="F32" s="77"/>
      <c r="G32" s="78"/>
      <c r="H32" s="77"/>
      <c r="I32" s="77"/>
      <c r="J32" s="77"/>
      <c r="K32" s="132"/>
      <c r="L32" s="133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</row>
    <row r="33" spans="1:81" s="136" customFormat="1" ht="15.75" customHeight="1" x14ac:dyDescent="0.25">
      <c r="A33" s="30" t="s">
        <v>47</v>
      </c>
      <c r="B33" s="27" t="s">
        <v>42</v>
      </c>
      <c r="C33" s="28"/>
      <c r="D33" s="32"/>
      <c r="E33" s="77"/>
      <c r="F33" s="77"/>
      <c r="G33" s="78"/>
      <c r="H33" s="77"/>
      <c r="I33" s="77"/>
      <c r="J33" s="77"/>
      <c r="K33" s="132"/>
      <c r="L33" s="133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</row>
    <row r="34" spans="1:81" s="136" customFormat="1" ht="15.75" customHeight="1" x14ac:dyDescent="0.25">
      <c r="A34" s="30" t="s">
        <v>48</v>
      </c>
      <c r="B34" s="27" t="s">
        <v>112</v>
      </c>
      <c r="C34" s="28"/>
      <c r="D34" s="32"/>
      <c r="E34" s="77"/>
      <c r="F34" s="77"/>
      <c r="G34" s="78"/>
      <c r="H34" s="77"/>
      <c r="I34" s="77"/>
      <c r="J34" s="77"/>
      <c r="K34" s="132"/>
      <c r="L34" s="133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</row>
    <row r="35" spans="1:81" s="136" customFormat="1" ht="15.75" customHeight="1" x14ac:dyDescent="0.25">
      <c r="A35" s="30" t="s">
        <v>49</v>
      </c>
      <c r="B35" s="27" t="s">
        <v>113</v>
      </c>
      <c r="C35" s="28"/>
      <c r="D35" s="32"/>
      <c r="E35" s="77"/>
      <c r="F35" s="77"/>
      <c r="G35" s="78"/>
      <c r="H35" s="77"/>
      <c r="I35" s="77"/>
      <c r="J35" s="77"/>
      <c r="K35" s="132"/>
      <c r="L35" s="133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</row>
    <row r="36" spans="1:81" s="133" customFormat="1" ht="15.75" customHeight="1" x14ac:dyDescent="0.25">
      <c r="A36" s="13">
        <v>4</v>
      </c>
      <c r="B36" s="14" t="s">
        <v>51</v>
      </c>
      <c r="C36" s="31"/>
      <c r="D36" s="32"/>
      <c r="E36" s="78"/>
      <c r="F36" s="77"/>
      <c r="G36" s="78"/>
      <c r="H36" s="77"/>
      <c r="I36" s="78"/>
      <c r="J36" s="77"/>
      <c r="K36" s="132"/>
    </row>
    <row r="37" spans="1:81" s="133" customFormat="1" ht="15.75" customHeight="1" x14ac:dyDescent="0.25">
      <c r="A37" s="13">
        <v>5</v>
      </c>
      <c r="B37" s="14" t="s">
        <v>53</v>
      </c>
      <c r="C37" s="31"/>
      <c r="D37" s="32"/>
      <c r="E37" s="78"/>
      <c r="F37" s="77"/>
      <c r="G37" s="78"/>
      <c r="H37" s="77"/>
      <c r="I37" s="78"/>
      <c r="J37" s="77"/>
      <c r="K37" s="132"/>
    </row>
    <row r="38" spans="1:81" s="133" customFormat="1" ht="15.75" customHeight="1" x14ac:dyDescent="0.25">
      <c r="A38" s="13">
        <v>6</v>
      </c>
      <c r="B38" s="14" t="s">
        <v>141</v>
      </c>
      <c r="C38" s="37">
        <f>C9+C28+C36+C37</f>
        <v>155865.63397579864</v>
      </c>
      <c r="D38" s="15">
        <f t="shared" ref="D38:D46" si="15">C38/$C$53*1000</f>
        <v>919.79492286361199</v>
      </c>
      <c r="E38" s="108">
        <f>E9+E28+E36+E37</f>
        <v>25190.686782916822</v>
      </c>
      <c r="F38" s="39">
        <f t="shared" ref="F38:F47" si="16">E38/$E$53*1000</f>
        <v>919.79496262286762</v>
      </c>
      <c r="G38" s="56">
        <f>G9+G28+G36+G37</f>
        <v>23856.81024111122</v>
      </c>
      <c r="H38" s="120">
        <f t="shared" ref="H38:H47" si="17">G38/$G$53*1000</f>
        <v>919.7949269770329</v>
      </c>
      <c r="I38" s="56">
        <f>I9+I28+I36+I37</f>
        <v>167.0355737631653</v>
      </c>
      <c r="J38" s="39">
        <f t="shared" ref="J38:J47" si="18">I38/$I$53*1000</f>
        <v>919.79435004854213</v>
      </c>
      <c r="K38" s="132">
        <f>C38+E38+G38+I38</f>
        <v>205080.16657358987</v>
      </c>
    </row>
    <row r="39" spans="1:81" s="133" customFormat="1" ht="15.75" x14ac:dyDescent="0.25">
      <c r="A39" s="13">
        <v>7</v>
      </c>
      <c r="B39" s="14" t="s">
        <v>115</v>
      </c>
      <c r="C39" s="13"/>
      <c r="D39" s="46"/>
      <c r="E39" s="56"/>
      <c r="F39" s="39"/>
      <c r="G39" s="56"/>
      <c r="H39" s="120"/>
      <c r="I39" s="56"/>
      <c r="J39" s="39"/>
      <c r="K39" s="132">
        <f t="shared" ref="K39:K45" si="19">C39+E39+G39+I39</f>
        <v>0</v>
      </c>
    </row>
    <row r="40" spans="1:81" s="133" customFormat="1" ht="15" customHeight="1" x14ac:dyDescent="0.25">
      <c r="A40" s="13"/>
      <c r="B40" s="468" t="s">
        <v>319</v>
      </c>
      <c r="C40" s="469">
        <f>'[1]Д3(вробн)'!L44</f>
        <v>-1312.8978249696274</v>
      </c>
      <c r="D40" s="470">
        <f>C40/C53*1000</f>
        <v>-7.7476780663096445</v>
      </c>
      <c r="E40" s="471">
        <f>'[1]Д3(вробн)'!X44</f>
        <v>-221.55426241040604</v>
      </c>
      <c r="F40" s="472">
        <f>E40/$E$53*1000</f>
        <v>-8.0896760087904305</v>
      </c>
      <c r="G40" s="471">
        <f>'[1]Д3(вробн)'!AB44</f>
        <v>-237.79797909292094</v>
      </c>
      <c r="H40" s="473">
        <f t="shared" si="17"/>
        <v>-9.1682573070116877</v>
      </c>
      <c r="I40" s="471">
        <f>'[1]Д3(вробн)'!P44</f>
        <v>-1.4946696505988266</v>
      </c>
      <c r="J40" s="472">
        <f t="shared" si="18"/>
        <v>-8.2305144277775266</v>
      </c>
      <c r="K40" s="132">
        <f t="shared" si="19"/>
        <v>-1773.7447361235531</v>
      </c>
    </row>
    <row r="41" spans="1:81" s="133" customFormat="1" ht="15.75" customHeight="1" x14ac:dyDescent="0.25">
      <c r="A41" s="13">
        <v>8</v>
      </c>
      <c r="B41" s="121" t="s">
        <v>116</v>
      </c>
      <c r="C41" s="16">
        <f>SUM(C42:C46)</f>
        <v>14598.200034217494</v>
      </c>
      <c r="D41" s="46">
        <f t="shared" si="15"/>
        <v>86.146958325050235</v>
      </c>
      <c r="E41" s="108">
        <f>SUM(E42:E46)</f>
        <v>3050.7627561049831</v>
      </c>
      <c r="F41" s="77">
        <f t="shared" si="16"/>
        <v>111.39339865579896</v>
      </c>
      <c r="G41" s="56">
        <f>SUM(G42:G46)</f>
        <v>3119.2756142085664</v>
      </c>
      <c r="H41" s="77">
        <f t="shared" si="17"/>
        <v>120.26309706936618</v>
      </c>
      <c r="I41" s="56">
        <f>SUM(I42:I46)</f>
        <v>20.439480449442932</v>
      </c>
      <c r="J41" s="77">
        <f t="shared" si="18"/>
        <v>112.55158534062551</v>
      </c>
      <c r="K41" s="132">
        <f t="shared" si="19"/>
        <v>20788.677884980487</v>
      </c>
    </row>
    <row r="42" spans="1:81" ht="15.75" customHeight="1" x14ac:dyDescent="0.25">
      <c r="A42" s="30" t="s">
        <v>60</v>
      </c>
      <c r="B42" s="27" t="s">
        <v>61</v>
      </c>
      <c r="C42" s="28">
        <f>'[1]Д3(вробн)'!L48</f>
        <v>2627.676006159149</v>
      </c>
      <c r="D42" s="46">
        <f>C42/$C$53*1000</f>
        <v>15.50645249850904</v>
      </c>
      <c r="E42" s="77">
        <f>'[1]Д3(вробн)'!X48</f>
        <v>549.13729609889685</v>
      </c>
      <c r="F42" s="77">
        <f t="shared" si="16"/>
        <v>20.05081175804381</v>
      </c>
      <c r="G42" s="77">
        <f>'[1]Д3(вробн)'!AB48</f>
        <v>561.46961055754184</v>
      </c>
      <c r="H42" s="77">
        <f t="shared" si="17"/>
        <v>21.647357472485908</v>
      </c>
      <c r="I42" s="78">
        <f>'[1]Д3(вробн)'!P48</f>
        <v>3.679106480899728</v>
      </c>
      <c r="J42" s="77">
        <f t="shared" si="18"/>
        <v>20.259285361312592</v>
      </c>
      <c r="K42" s="132">
        <f t="shared" si="19"/>
        <v>3741.9620192964876</v>
      </c>
      <c r="L42" s="69"/>
      <c r="M42" s="69"/>
      <c r="N42" s="140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</row>
    <row r="43" spans="1:81" ht="15.75" customHeight="1" x14ac:dyDescent="0.25">
      <c r="A43" s="30" t="s">
        <v>62</v>
      </c>
      <c r="B43" s="27" t="s">
        <v>63</v>
      </c>
      <c r="C43" s="28">
        <f>'[1]Д3(вробн)'!L49</f>
        <v>0</v>
      </c>
      <c r="D43" s="46">
        <f>C43/$C$53*1000</f>
        <v>0</v>
      </c>
      <c r="E43" s="77">
        <f>'[1]Д3(вробн)'!X49</f>
        <v>503.81373531199989</v>
      </c>
      <c r="F43" s="77">
        <f t="shared" si="16"/>
        <v>18.395899239811463</v>
      </c>
      <c r="G43" s="77">
        <f>'[1]Д3(вробн)'!AB49</f>
        <v>477.13620488199996</v>
      </c>
      <c r="H43" s="77">
        <f t="shared" si="17"/>
        <v>18.395898541845291</v>
      </c>
      <c r="I43" s="78">
        <f>'[1]Д3(вробн)'!P49</f>
        <v>3.340713971</v>
      </c>
      <c r="J43" s="77">
        <f t="shared" si="18"/>
        <v>18.395900743938636</v>
      </c>
      <c r="K43" s="132">
        <f t="shared" si="19"/>
        <v>984.29065416499986</v>
      </c>
      <c r="L43" s="69"/>
      <c r="M43" s="69"/>
      <c r="N43" s="14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</row>
    <row r="44" spans="1:81" ht="15.75" customHeight="1" x14ac:dyDescent="0.25">
      <c r="A44" s="30" t="s">
        <v>64</v>
      </c>
      <c r="B44" s="27" t="s">
        <v>142</v>
      </c>
      <c r="C44" s="31"/>
      <c r="D44" s="46"/>
      <c r="E44" s="77"/>
      <c r="F44" s="77"/>
      <c r="G44" s="77"/>
      <c r="H44" s="77"/>
      <c r="I44" s="78"/>
      <c r="J44" s="77"/>
      <c r="K44" s="132">
        <f t="shared" si="19"/>
        <v>0</v>
      </c>
      <c r="L44" s="69"/>
      <c r="M44" s="69"/>
      <c r="N44" s="140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</row>
    <row r="45" spans="1:81" ht="15.75" customHeight="1" x14ac:dyDescent="0.25">
      <c r="A45" s="30" t="s">
        <v>66</v>
      </c>
      <c r="B45" s="27" t="s">
        <v>67</v>
      </c>
      <c r="C45" s="28">
        <f>'[1]Д3(вробн)'!L51</f>
        <v>8853.211350704345</v>
      </c>
      <c r="D45" s="46">
        <f>C45/$C$53*1000</f>
        <v>52.244607382027183</v>
      </c>
      <c r="E45" s="77">
        <f>'[1]Д3(вробн)'!X51</f>
        <v>1493.9979893820862</v>
      </c>
      <c r="F45" s="77">
        <f t="shared" si="16"/>
        <v>54.550788418132221</v>
      </c>
      <c r="G45" s="77">
        <f>'[1]Д3(вробн)'!AB51</f>
        <v>1603.5335938870244</v>
      </c>
      <c r="H45" s="77">
        <f t="shared" si="17"/>
        <v>61.823942513189671</v>
      </c>
      <c r="I45" s="78">
        <f>'[1]Д3(вробн)'!P51</f>
        <v>10.078946026543205</v>
      </c>
      <c r="J45" s="77">
        <f t="shared" si="18"/>
        <v>55.50049849143565</v>
      </c>
      <c r="K45" s="132">
        <f t="shared" si="19"/>
        <v>11960.821879999998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</row>
    <row r="46" spans="1:81" ht="15.75" x14ac:dyDescent="0.25">
      <c r="A46" s="30" t="s">
        <v>68</v>
      </c>
      <c r="B46" s="27" t="s">
        <v>143</v>
      </c>
      <c r="C46" s="28">
        <f>'[1]Д3(вробн)'!L52</f>
        <v>3117.3126773539998</v>
      </c>
      <c r="D46" s="46">
        <f t="shared" si="15"/>
        <v>18.395898444513996</v>
      </c>
      <c r="E46" s="77">
        <f>'[1]Д3(вробн)'!X52</f>
        <v>503.81373531199989</v>
      </c>
      <c r="F46" s="77">
        <f>E46/$E$53*1000</f>
        <v>18.395899239811463</v>
      </c>
      <c r="G46" s="77">
        <f>'[1]Д3(вробн)'!AB52</f>
        <v>477.13620488199996</v>
      </c>
      <c r="H46" s="77">
        <f t="shared" si="17"/>
        <v>18.395898541845291</v>
      </c>
      <c r="I46" s="78">
        <f>'[1]Д3(вробн)'!P52</f>
        <v>3.340713971</v>
      </c>
      <c r="J46" s="77">
        <f t="shared" si="18"/>
        <v>18.395900743938636</v>
      </c>
      <c r="K46" s="131">
        <f>C46+E46+G46+I46</f>
        <v>4101.6033315189998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</row>
    <row r="47" spans="1:81" s="133" customFormat="1" ht="15.75" customHeight="1" x14ac:dyDescent="0.25">
      <c r="A47" s="47">
        <v>9</v>
      </c>
      <c r="B47" s="14" t="s">
        <v>144</v>
      </c>
      <c r="C47" s="37">
        <f>C38+C41+C40</f>
        <v>169150.93618504651</v>
      </c>
      <c r="D47" s="122">
        <f>C47/$C$53*1000</f>
        <v>998.19420312235252</v>
      </c>
      <c r="E47" s="123">
        <f>E38+E41+E40</f>
        <v>28019.895276611402</v>
      </c>
      <c r="F47" s="39">
        <f t="shared" si="16"/>
        <v>1023.0986852698762</v>
      </c>
      <c r="G47" s="56">
        <f>G38+G41+G40</f>
        <v>26738.287876226867</v>
      </c>
      <c r="H47" s="124">
        <f t="shared" si="17"/>
        <v>1030.8897667393874</v>
      </c>
      <c r="I47" s="56">
        <f>I38+I41+I40</f>
        <v>185.98038456200939</v>
      </c>
      <c r="J47" s="39">
        <f t="shared" si="18"/>
        <v>1024.1154209613901</v>
      </c>
      <c r="K47" s="132">
        <f>C47+E47+G47+I47</f>
        <v>224095.09972244679</v>
      </c>
    </row>
    <row r="48" spans="1:81" s="133" customFormat="1" ht="15.75" customHeight="1" x14ac:dyDescent="0.25">
      <c r="A48" s="13">
        <v>10</v>
      </c>
      <c r="B48" s="14" t="s">
        <v>145</v>
      </c>
      <c r="C48" s="15">
        <f>C47/C53*1000</f>
        <v>998.19420312235252</v>
      </c>
      <c r="D48" s="46"/>
      <c r="E48" s="108">
        <f>E47/E53*1000</f>
        <v>1023.0986852698762</v>
      </c>
      <c r="F48" s="39"/>
      <c r="G48" s="108">
        <f>G47/G53*1000</f>
        <v>1030.8897667393874</v>
      </c>
      <c r="H48" s="77"/>
      <c r="I48" s="56">
        <f>I47/I53*1000</f>
        <v>1024.1154209613901</v>
      </c>
      <c r="J48" s="56"/>
      <c r="K48" s="132"/>
      <c r="L48" s="141"/>
    </row>
    <row r="49" spans="1:12" s="4" customFormat="1" ht="15.75" customHeight="1" x14ac:dyDescent="0.25">
      <c r="A49" s="30" t="s">
        <v>146</v>
      </c>
      <c r="B49" s="27" t="s">
        <v>147</v>
      </c>
      <c r="C49" s="31"/>
      <c r="D49" s="28">
        <f>D11</f>
        <v>675.8745412954197</v>
      </c>
      <c r="E49" s="28"/>
      <c r="F49" s="125">
        <f>F11</f>
        <v>675.87458105467545</v>
      </c>
      <c r="G49" s="28"/>
      <c r="H49" s="28">
        <f>H11</f>
        <v>675.87454540884039</v>
      </c>
      <c r="I49" s="28"/>
      <c r="J49" s="28">
        <f>J11</f>
        <v>675.87396848034973</v>
      </c>
      <c r="K49" s="142"/>
      <c r="L49" s="143"/>
    </row>
    <row r="50" spans="1:12" s="4" customFormat="1" ht="15.75" customHeight="1" x14ac:dyDescent="0.25">
      <c r="A50" s="30" t="s">
        <v>148</v>
      </c>
      <c r="B50" s="27" t="s">
        <v>149</v>
      </c>
      <c r="C50" s="31"/>
      <c r="D50" s="28">
        <f>D47-D49</f>
        <v>322.31966182693282</v>
      </c>
      <c r="E50" s="126"/>
      <c r="F50" s="126">
        <f>F47-F49</f>
        <v>347.22410421520078</v>
      </c>
      <c r="G50" s="126"/>
      <c r="H50" s="126">
        <f>H47-H49</f>
        <v>355.01522133054698</v>
      </c>
      <c r="I50" s="126"/>
      <c r="J50" s="126">
        <f>J47-J49</f>
        <v>348.24145248104037</v>
      </c>
      <c r="K50" s="142"/>
      <c r="L50" s="143"/>
    </row>
    <row r="51" spans="1:12" s="4" customFormat="1" ht="15.75" hidden="1" x14ac:dyDescent="0.25">
      <c r="A51" s="31" t="s">
        <v>72</v>
      </c>
      <c r="B51" s="27" t="s">
        <v>150</v>
      </c>
      <c r="C51" s="31"/>
      <c r="D51" s="28">
        <f>D49*100/D47</f>
        <v>67.709724137976707</v>
      </c>
      <c r="E51" s="126"/>
      <c r="F51" s="126">
        <f>F49*100/F47</f>
        <v>66.061523759693927</v>
      </c>
      <c r="G51" s="126"/>
      <c r="H51" s="126">
        <f>H49*100/H47</f>
        <v>65.562251873599578</v>
      </c>
      <c r="I51" s="126"/>
      <c r="J51" s="126">
        <f>J49*100/J47</f>
        <v>65.995878457319961</v>
      </c>
      <c r="K51" s="142"/>
      <c r="L51" s="143"/>
    </row>
    <row r="52" spans="1:12" s="4" customFormat="1" ht="15.75" hidden="1" x14ac:dyDescent="0.25">
      <c r="A52" s="31" t="s">
        <v>74</v>
      </c>
      <c r="B52" s="27" t="s">
        <v>151</v>
      </c>
      <c r="C52" s="31"/>
      <c r="D52" s="28">
        <f>100-D51</f>
        <v>32.290275862023293</v>
      </c>
      <c r="E52" s="126"/>
      <c r="F52" s="126">
        <f>100-F51</f>
        <v>33.938476240306073</v>
      </c>
      <c r="G52" s="126"/>
      <c r="H52" s="126">
        <f>100-H51</f>
        <v>34.437748126400422</v>
      </c>
      <c r="I52" s="126"/>
      <c r="J52" s="126">
        <f>100-J51</f>
        <v>34.004121542680039</v>
      </c>
      <c r="K52" s="142"/>
      <c r="L52" s="143"/>
    </row>
    <row r="53" spans="1:12" s="133" customFormat="1" ht="15.75" x14ac:dyDescent="0.25">
      <c r="A53" s="13">
        <v>11</v>
      </c>
      <c r="B53" s="127" t="s">
        <v>152</v>
      </c>
      <c r="C53" s="15">
        <f>'[1]5_Розрахунок тарифів'!J7</f>
        <v>169456.94099999999</v>
      </c>
      <c r="D53" s="13"/>
      <c r="E53" s="108">
        <f>'[1]5_Розрахунок тарифів'!L7</f>
        <v>27387.285</v>
      </c>
      <c r="F53" s="56"/>
      <c r="G53" s="56">
        <f>'[1]5_Розрахунок тарифів'!M7</f>
        <v>25937.097000000002</v>
      </c>
      <c r="H53" s="56"/>
      <c r="I53" s="56">
        <f>'[1]5_Розрахунок тарифів'!K7</f>
        <v>181.601</v>
      </c>
      <c r="J53" s="56"/>
      <c r="K53" s="132">
        <f>C53+E53+G53+I53</f>
        <v>222962.924</v>
      </c>
    </row>
    <row r="54" spans="1:12" s="136" customFormat="1" ht="15.75" customHeight="1" x14ac:dyDescent="0.25">
      <c r="A54" s="31">
        <v>12</v>
      </c>
      <c r="B54" s="128" t="s">
        <v>121</v>
      </c>
      <c r="C54" s="78">
        <f>'[1]5_Розрахунок тарифів'!J25</f>
        <v>9.3658875517279387</v>
      </c>
      <c r="D54" s="53"/>
      <c r="E54" s="78">
        <f>'[1]5_Розрахунок тарифів'!L25</f>
        <v>12.110677164135266</v>
      </c>
      <c r="F54" s="78"/>
      <c r="G54" s="78">
        <f>'[1]5_Розрахунок тарифів'!M25</f>
        <v>13.074990266689468</v>
      </c>
      <c r="H54" s="78"/>
      <c r="I54" s="78">
        <f>'[1]5_Розрахунок тарифів'!K25</f>
        <v>12.236628548571362</v>
      </c>
      <c r="J54" s="78"/>
      <c r="K54" s="144"/>
    </row>
    <row r="55" spans="1:12" s="146" customFormat="1" ht="60" customHeight="1" x14ac:dyDescent="0.3">
      <c r="A55" s="493" t="s">
        <v>103</v>
      </c>
      <c r="B55" s="493"/>
      <c r="C55" s="66"/>
      <c r="D55" s="66"/>
      <c r="E55" s="493" t="s">
        <v>104</v>
      </c>
      <c r="F55" s="493"/>
      <c r="G55" s="494"/>
      <c r="H55" s="494"/>
      <c r="I55" s="494"/>
      <c r="J55" s="129"/>
      <c r="K55" s="145"/>
    </row>
    <row r="57" spans="1:12" x14ac:dyDescent="0.2">
      <c r="C57" s="147"/>
      <c r="G57" s="148"/>
    </row>
    <row r="58" spans="1:12" x14ac:dyDescent="0.2">
      <c r="C58" s="148"/>
      <c r="D58" s="148"/>
      <c r="E58" s="148"/>
      <c r="F58" s="148"/>
      <c r="G58" s="148"/>
      <c r="H58" s="148"/>
      <c r="I58" s="148"/>
      <c r="J58" s="148"/>
    </row>
    <row r="59" spans="1:12" ht="20.25" x14ac:dyDescent="0.3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</sheetData>
  <mergeCells count="12">
    <mergeCell ref="I6:J6"/>
    <mergeCell ref="A55:B55"/>
    <mergeCell ref="E55:F55"/>
    <mergeCell ref="G55:I55"/>
    <mergeCell ref="B3:H3"/>
    <mergeCell ref="B4:H4"/>
    <mergeCell ref="B5:F5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topLeftCell="A7" workbookViewId="0">
      <selection activeCell="C35" sqref="C35"/>
    </sheetView>
  </sheetViews>
  <sheetFormatPr defaultColWidth="0" defaultRowHeight="12.75" x14ac:dyDescent="0.2"/>
  <cols>
    <col min="1" max="1" width="7" style="4" customWidth="1"/>
    <col min="2" max="2" width="50.42578125" style="4" customWidth="1"/>
    <col min="3" max="3" width="13.85546875" style="4" bestFit="1" customWidth="1"/>
    <col min="4" max="4" width="10.7109375" style="4" customWidth="1"/>
    <col min="5" max="5" width="12.7109375" style="267" customWidth="1"/>
    <col min="6" max="6" width="10.28515625" style="267" customWidth="1"/>
    <col min="7" max="7" width="12.42578125" style="4" customWidth="1"/>
    <col min="8" max="8" width="10.28515625" style="4" customWidth="1"/>
    <col min="9" max="9" width="13.140625" style="4" bestFit="1" customWidth="1"/>
    <col min="10" max="10" width="13.5703125" style="4" hidden="1" customWidth="1"/>
    <col min="11" max="11" width="11.5703125" style="4" customWidth="1"/>
    <col min="12" max="12" width="12.42578125" style="4" bestFit="1" customWidth="1"/>
    <col min="13" max="244" width="11.5703125" style="4" customWidth="1"/>
    <col min="245" max="245" width="7" style="4" customWidth="1"/>
    <col min="246" max="246" width="65.7109375" style="4" customWidth="1"/>
    <col min="247" max="250" width="11.5703125" style="4" hidden="1" customWidth="1"/>
    <col min="251" max="251" width="14.42578125" style="4" customWidth="1"/>
    <col min="252" max="252" width="13.140625" style="4" customWidth="1"/>
    <col min="253" max="253" width="14.140625" style="4" customWidth="1"/>
    <col min="254" max="254" width="14" style="4" customWidth="1"/>
    <col min="255" max="255" width="11.5703125" style="4" hidden="1" customWidth="1"/>
    <col min="256" max="256" width="13.5703125" style="4" customWidth="1"/>
    <col min="257" max="16384" width="11.5703125" style="4" hidden="1"/>
  </cols>
  <sheetData>
    <row r="1" spans="1:15" ht="18" customHeight="1" x14ac:dyDescent="0.3">
      <c r="A1" s="1"/>
      <c r="B1" s="2"/>
      <c r="C1" s="2"/>
      <c r="D1" s="2"/>
      <c r="E1" s="3"/>
      <c r="F1" s="4"/>
      <c r="H1" s="5"/>
      <c r="I1" s="497" t="s">
        <v>0</v>
      </c>
      <c r="J1" s="497"/>
      <c r="K1" s="497"/>
    </row>
    <row r="2" spans="1:15" ht="18" customHeight="1" x14ac:dyDescent="0.3">
      <c r="A2" s="1"/>
      <c r="B2" s="2"/>
      <c r="C2" s="2"/>
      <c r="D2" s="2"/>
      <c r="E2" s="3"/>
      <c r="F2" s="4"/>
      <c r="H2" s="5"/>
      <c r="I2" s="6"/>
      <c r="J2" s="6"/>
      <c r="K2" s="6"/>
    </row>
    <row r="3" spans="1:15" ht="20.25" x14ac:dyDescent="0.2">
      <c r="A3" s="498" t="s">
        <v>1</v>
      </c>
      <c r="B3" s="498"/>
      <c r="C3" s="498"/>
      <c r="D3" s="498"/>
      <c r="E3" s="498"/>
      <c r="F3" s="498"/>
      <c r="G3" s="498"/>
      <c r="H3" s="498"/>
      <c r="I3" s="498"/>
      <c r="J3" s="7"/>
    </row>
    <row r="4" spans="1:15" ht="24.95" customHeight="1" x14ac:dyDescent="0.2">
      <c r="A4" s="498" t="s">
        <v>2</v>
      </c>
      <c r="B4" s="498"/>
      <c r="C4" s="498"/>
      <c r="D4" s="498"/>
      <c r="E4" s="498"/>
      <c r="F4" s="498"/>
      <c r="G4" s="498"/>
      <c r="H4" s="498"/>
      <c r="I4" s="498"/>
      <c r="J4" s="7"/>
    </row>
    <row r="5" spans="1:15" ht="20.25" customHeight="1" x14ac:dyDescent="0.3">
      <c r="B5" s="499"/>
      <c r="C5" s="499"/>
      <c r="D5" s="499"/>
      <c r="E5" s="499"/>
      <c r="F5" s="499"/>
      <c r="I5" s="500" t="s">
        <v>3</v>
      </c>
      <c r="J5" s="500"/>
      <c r="K5" s="500"/>
    </row>
    <row r="6" spans="1:15" ht="12.75" customHeight="1" x14ac:dyDescent="0.2">
      <c r="A6" s="492" t="s">
        <v>4</v>
      </c>
      <c r="B6" s="492" t="s">
        <v>5</v>
      </c>
      <c r="C6" s="492" t="s">
        <v>6</v>
      </c>
      <c r="D6" s="492"/>
      <c r="E6" s="492" t="s">
        <v>7</v>
      </c>
      <c r="F6" s="492"/>
      <c r="G6" s="492" t="s">
        <v>8</v>
      </c>
      <c r="H6" s="492"/>
      <c r="I6" s="492" t="s">
        <v>9</v>
      </c>
      <c r="J6" s="492"/>
      <c r="K6" s="492"/>
    </row>
    <row r="7" spans="1:15" ht="36.75" customHeight="1" x14ac:dyDescent="0.2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</row>
    <row r="8" spans="1:15" ht="15.6" customHeight="1" x14ac:dyDescent="0.2">
      <c r="A8" s="492"/>
      <c r="B8" s="492"/>
      <c r="C8" s="8" t="s">
        <v>10</v>
      </c>
      <c r="D8" s="8" t="s">
        <v>11</v>
      </c>
      <c r="E8" s="8" t="s">
        <v>10</v>
      </c>
      <c r="F8" s="8" t="s">
        <v>11</v>
      </c>
      <c r="G8" s="8" t="s">
        <v>10</v>
      </c>
      <c r="H8" s="8" t="s">
        <v>11</v>
      </c>
      <c r="I8" s="8" t="s">
        <v>10</v>
      </c>
      <c r="J8" s="8" t="s">
        <v>11</v>
      </c>
      <c r="K8" s="8" t="s">
        <v>11</v>
      </c>
    </row>
    <row r="9" spans="1:15" ht="15.7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1">
        <v>6</v>
      </c>
      <c r="G9" s="12">
        <v>7</v>
      </c>
      <c r="H9" s="11">
        <v>8</v>
      </c>
      <c r="I9" s="11">
        <v>9</v>
      </c>
      <c r="J9" s="12"/>
      <c r="K9" s="11">
        <v>10</v>
      </c>
    </row>
    <row r="10" spans="1:15" s="133" customFormat="1" ht="15.75" customHeight="1" x14ac:dyDescent="0.25">
      <c r="A10" s="13">
        <v>1</v>
      </c>
      <c r="B10" s="14" t="s">
        <v>12</v>
      </c>
      <c r="C10" s="15">
        <f t="shared" ref="C10:K10" si="0">C11+C16+C17+C21</f>
        <v>17200.156567170001</v>
      </c>
      <c r="D10" s="16">
        <f t="shared" si="0"/>
        <v>132.83000000000001</v>
      </c>
      <c r="E10" s="15">
        <f t="shared" si="0"/>
        <v>2914.1439122400002</v>
      </c>
      <c r="F10" s="16">
        <f t="shared" si="0"/>
        <v>133.36000000000001</v>
      </c>
      <c r="G10" s="16">
        <f t="shared" si="0"/>
        <v>3140.7000988299997</v>
      </c>
      <c r="H10" s="16">
        <f t="shared" si="0"/>
        <v>133.90999999999997</v>
      </c>
      <c r="I10" s="16">
        <f t="shared" si="0"/>
        <v>19.152546559999998</v>
      </c>
      <c r="J10" s="14">
        <f t="shared" si="0"/>
        <v>0</v>
      </c>
      <c r="K10" s="15">
        <f t="shared" si="0"/>
        <v>129.91999999999999</v>
      </c>
    </row>
    <row r="11" spans="1:15" s="133" customFormat="1" ht="15.75" customHeight="1" x14ac:dyDescent="0.25">
      <c r="A11" s="17" t="s">
        <v>13</v>
      </c>
      <c r="B11" s="14" t="s">
        <v>14</v>
      </c>
      <c r="C11" s="15">
        <f>C12+C13+C14+C15</f>
        <v>17200.156567170001</v>
      </c>
      <c r="D11" s="16">
        <f t="shared" ref="D11:K11" si="1">D12+D13+D14+D15</f>
        <v>132.83000000000001</v>
      </c>
      <c r="E11" s="15">
        <f t="shared" si="1"/>
        <v>2914.1439122400002</v>
      </c>
      <c r="F11" s="16">
        <f t="shared" si="1"/>
        <v>133.36000000000001</v>
      </c>
      <c r="G11" s="16">
        <f t="shared" si="1"/>
        <v>3140.7000988299997</v>
      </c>
      <c r="H11" s="16">
        <f t="shared" si="1"/>
        <v>133.90999999999997</v>
      </c>
      <c r="I11" s="16">
        <f t="shared" si="1"/>
        <v>19.152546559999998</v>
      </c>
      <c r="J11" s="14">
        <f t="shared" si="1"/>
        <v>0</v>
      </c>
      <c r="K11" s="15">
        <f t="shared" si="1"/>
        <v>129.91999999999999</v>
      </c>
      <c r="O11" s="257"/>
    </row>
    <row r="12" spans="1:15" s="258" customFormat="1" ht="15.75" customHeight="1" x14ac:dyDescent="0.25">
      <c r="A12" s="18" t="s">
        <v>15</v>
      </c>
      <c r="B12" s="19" t="s">
        <v>16</v>
      </c>
      <c r="C12" s="20">
        <f>[2]Д4!K12</f>
        <v>0</v>
      </c>
      <c r="D12" s="21"/>
      <c r="E12" s="22"/>
      <c r="F12" s="22"/>
      <c r="G12" s="22"/>
      <c r="H12" s="22"/>
      <c r="I12" s="22"/>
      <c r="J12" s="22"/>
      <c r="K12" s="23"/>
    </row>
    <row r="13" spans="1:15" s="258" customFormat="1" ht="31.5" customHeight="1" x14ac:dyDescent="0.25">
      <c r="A13" s="18" t="s">
        <v>17</v>
      </c>
      <c r="B13" s="19" t="s">
        <v>18</v>
      </c>
      <c r="C13" s="20">
        <f>'[1]Д4(транспорт)'!K15</f>
        <v>17200.156567170001</v>
      </c>
      <c r="D13" s="24">
        <f>C13/$C$51*1000</f>
        <v>132.83000000000001</v>
      </c>
      <c r="E13" s="20">
        <f>'[1]Д4(транспорт)'!S15</f>
        <v>2914.1439122400002</v>
      </c>
      <c r="F13" s="24">
        <f>E13/$E$51*1000</f>
        <v>133.36000000000001</v>
      </c>
      <c r="G13" s="24">
        <f>'[1]Д4(транспорт)'!W15</f>
        <v>3140.7000988299997</v>
      </c>
      <c r="H13" s="24">
        <f>G13/$G$51*1000</f>
        <v>133.90999999999997</v>
      </c>
      <c r="I13" s="24">
        <f>'[1]Д4(транспорт)'!O15</f>
        <v>19.152546559999998</v>
      </c>
      <c r="J13" s="24"/>
      <c r="K13" s="20">
        <f>I13/$I$51*1000</f>
        <v>129.91999999999999</v>
      </c>
    </row>
    <row r="14" spans="1:15" s="258" customFormat="1" ht="15.75" customHeight="1" x14ac:dyDescent="0.25">
      <c r="A14" s="18" t="s">
        <v>19</v>
      </c>
      <c r="B14" s="19" t="s">
        <v>20</v>
      </c>
      <c r="C14" s="25"/>
      <c r="D14" s="24"/>
      <c r="E14" s="22"/>
      <c r="F14" s="22"/>
      <c r="G14" s="22"/>
      <c r="H14" s="22"/>
      <c r="I14" s="22"/>
      <c r="J14" s="22"/>
      <c r="K14" s="26"/>
    </row>
    <row r="15" spans="1:15" s="258" customFormat="1" ht="15.75" customHeight="1" x14ac:dyDescent="0.25">
      <c r="A15" s="18" t="s">
        <v>21</v>
      </c>
      <c r="B15" s="19" t="s">
        <v>22</v>
      </c>
      <c r="C15" s="25"/>
      <c r="D15" s="24"/>
      <c r="E15" s="22"/>
      <c r="F15" s="22"/>
      <c r="G15" s="22"/>
      <c r="H15" s="22"/>
      <c r="I15" s="22"/>
      <c r="J15" s="22"/>
      <c r="K15" s="26"/>
    </row>
    <row r="16" spans="1:15" ht="15.75" x14ac:dyDescent="0.25">
      <c r="A16" s="18" t="s">
        <v>23</v>
      </c>
      <c r="B16" s="27" t="s">
        <v>24</v>
      </c>
      <c r="C16" s="28"/>
      <c r="D16" s="24"/>
      <c r="E16" s="29"/>
      <c r="F16" s="22"/>
      <c r="G16" s="29"/>
      <c r="H16" s="22"/>
      <c r="I16" s="29"/>
      <c r="J16" s="29"/>
      <c r="K16" s="26"/>
    </row>
    <row r="17" spans="1:13" ht="15.75" customHeight="1" x14ac:dyDescent="0.25">
      <c r="A17" s="30" t="s">
        <v>25</v>
      </c>
      <c r="B17" s="27" t="s">
        <v>26</v>
      </c>
      <c r="C17" s="31"/>
      <c r="D17" s="24"/>
      <c r="E17" s="31"/>
      <c r="F17" s="22"/>
      <c r="G17" s="31"/>
      <c r="H17" s="22"/>
      <c r="I17" s="32"/>
      <c r="J17" s="27">
        <f t="shared" ref="J17" si="2">J19+J20</f>
        <v>0</v>
      </c>
      <c r="K17" s="26"/>
    </row>
    <row r="18" spans="1:13" ht="15.75" x14ac:dyDescent="0.25">
      <c r="A18" s="18" t="s">
        <v>27</v>
      </c>
      <c r="B18" s="27" t="s">
        <v>28</v>
      </c>
      <c r="C18" s="28"/>
      <c r="D18" s="24"/>
      <c r="E18" s="29"/>
      <c r="F18" s="22"/>
      <c r="G18" s="29"/>
      <c r="H18" s="22"/>
      <c r="I18" s="29"/>
      <c r="J18" s="29"/>
      <c r="K18" s="26"/>
    </row>
    <row r="19" spans="1:13" s="258" customFormat="1" ht="15.75" customHeight="1" x14ac:dyDescent="0.25">
      <c r="A19" s="18" t="s">
        <v>29</v>
      </c>
      <c r="B19" s="33" t="s">
        <v>30</v>
      </c>
      <c r="C19" s="21"/>
      <c r="D19" s="24"/>
      <c r="E19" s="22"/>
      <c r="F19" s="22"/>
      <c r="G19" s="22"/>
      <c r="H19" s="22"/>
      <c r="I19" s="22"/>
      <c r="J19" s="22"/>
      <c r="K19" s="26"/>
      <c r="M19" s="259"/>
    </row>
    <row r="20" spans="1:13" s="258" customFormat="1" ht="15.75" customHeight="1" x14ac:dyDescent="0.25">
      <c r="A20" s="18" t="s">
        <v>31</v>
      </c>
      <c r="B20" s="19" t="s">
        <v>32</v>
      </c>
      <c r="C20" s="21"/>
      <c r="D20" s="24"/>
      <c r="E20" s="22"/>
      <c r="F20" s="22"/>
      <c r="G20" s="22"/>
      <c r="H20" s="22"/>
      <c r="I20" s="22"/>
      <c r="J20" s="22"/>
      <c r="K20" s="26"/>
    </row>
    <row r="21" spans="1:13" s="133" customFormat="1" ht="15.75" customHeight="1" x14ac:dyDescent="0.25">
      <c r="A21" s="17" t="s">
        <v>33</v>
      </c>
      <c r="B21" s="14" t="s">
        <v>34</v>
      </c>
      <c r="C21" s="32">
        <f>C22+C24</f>
        <v>0</v>
      </c>
      <c r="D21" s="24">
        <f>C21/$C$51*1000</f>
        <v>0</v>
      </c>
      <c r="E21" s="32">
        <f>E22+E24</f>
        <v>0</v>
      </c>
      <c r="F21" s="22">
        <f>E21/$E$51*1000</f>
        <v>0</v>
      </c>
      <c r="G21" s="32">
        <f>G22+G24</f>
        <v>0</v>
      </c>
      <c r="H21" s="22">
        <f>G21/$G$51*1000</f>
        <v>0</v>
      </c>
      <c r="I21" s="32">
        <f t="shared" ref="I21:K21" si="3">I22+I24</f>
        <v>0</v>
      </c>
      <c r="J21" s="32">
        <f t="shared" si="3"/>
        <v>0</v>
      </c>
      <c r="K21" s="32">
        <f t="shared" si="3"/>
        <v>0</v>
      </c>
      <c r="L21" s="141">
        <f>C21+E21+G21+I21</f>
        <v>0</v>
      </c>
    </row>
    <row r="22" spans="1:13" s="258" customFormat="1" ht="15.75" customHeight="1" x14ac:dyDescent="0.2">
      <c r="A22" s="18" t="s">
        <v>35</v>
      </c>
      <c r="B22" s="19" t="s">
        <v>36</v>
      </c>
      <c r="C22" s="25"/>
      <c r="D22" s="24"/>
      <c r="E22" s="22"/>
      <c r="F22" s="22"/>
      <c r="G22" s="22"/>
      <c r="H22" s="22"/>
      <c r="I22" s="22"/>
      <c r="J22" s="22"/>
      <c r="K22" s="26"/>
      <c r="L22" s="141"/>
    </row>
    <row r="23" spans="1:13" s="258" customFormat="1" ht="15.75" customHeight="1" x14ac:dyDescent="0.2">
      <c r="A23" s="18" t="s">
        <v>37</v>
      </c>
      <c r="B23" s="19" t="s">
        <v>28</v>
      </c>
      <c r="C23" s="25"/>
      <c r="D23" s="24"/>
      <c r="E23" s="22"/>
      <c r="F23" s="22"/>
      <c r="G23" s="22"/>
      <c r="H23" s="22"/>
      <c r="I23" s="22"/>
      <c r="J23" s="22"/>
      <c r="K23" s="26"/>
      <c r="L23" s="141"/>
    </row>
    <row r="24" spans="1:13" s="258" customFormat="1" ht="15.75" customHeight="1" x14ac:dyDescent="0.2">
      <c r="A24" s="18" t="s">
        <v>38</v>
      </c>
      <c r="B24" s="19" t="s">
        <v>39</v>
      </c>
      <c r="C24" s="25"/>
      <c r="D24" s="24"/>
      <c r="E24" s="22"/>
      <c r="F24" s="22"/>
      <c r="G24" s="22"/>
      <c r="H24" s="22"/>
      <c r="I24" s="22"/>
      <c r="J24" s="22"/>
      <c r="K24" s="26"/>
      <c r="L24" s="141"/>
    </row>
    <row r="25" spans="1:13" s="133" customFormat="1" ht="15.75" customHeight="1" x14ac:dyDescent="0.25">
      <c r="A25" s="17">
        <v>2</v>
      </c>
      <c r="B25" s="14" t="s">
        <v>40</v>
      </c>
      <c r="C25" s="32">
        <f>C26+C28</f>
        <v>0</v>
      </c>
      <c r="D25" s="24">
        <f>C25/$C$51*1000</f>
        <v>0</v>
      </c>
      <c r="E25" s="32">
        <f t="shared" ref="E25:K25" si="4">E26+E28</f>
        <v>0</v>
      </c>
      <c r="F25" s="22">
        <f>E25/$E$51*1000</f>
        <v>0</v>
      </c>
      <c r="G25" s="32">
        <f t="shared" si="4"/>
        <v>0</v>
      </c>
      <c r="H25" s="22">
        <f>G25/$G$51*1000</f>
        <v>0</v>
      </c>
      <c r="I25" s="32">
        <f t="shared" si="4"/>
        <v>0</v>
      </c>
      <c r="J25" s="32">
        <f t="shared" si="4"/>
        <v>0</v>
      </c>
      <c r="K25" s="32">
        <f t="shared" si="4"/>
        <v>0</v>
      </c>
      <c r="L25" s="141">
        <f>C25+E25+G25+I25</f>
        <v>0</v>
      </c>
    </row>
    <row r="26" spans="1:13" s="258" customFormat="1" ht="15.75" customHeight="1" x14ac:dyDescent="0.2">
      <c r="A26" s="18" t="s">
        <v>41</v>
      </c>
      <c r="B26" s="19" t="s">
        <v>42</v>
      </c>
      <c r="C26" s="25"/>
      <c r="D26" s="24"/>
      <c r="E26" s="22"/>
      <c r="F26" s="22"/>
      <c r="G26" s="22"/>
      <c r="H26" s="22"/>
      <c r="I26" s="22"/>
      <c r="J26" s="22"/>
      <c r="K26" s="26"/>
      <c r="L26" s="141"/>
    </row>
    <row r="27" spans="1:13" s="258" customFormat="1" ht="15.75" customHeight="1" x14ac:dyDescent="0.2">
      <c r="A27" s="18" t="s">
        <v>43</v>
      </c>
      <c r="B27" s="19" t="s">
        <v>28</v>
      </c>
      <c r="C27" s="25"/>
      <c r="D27" s="24"/>
      <c r="E27" s="22"/>
      <c r="F27" s="22"/>
      <c r="G27" s="22"/>
      <c r="H27" s="22"/>
      <c r="I27" s="22"/>
      <c r="J27" s="22"/>
      <c r="K27" s="26"/>
      <c r="L27" s="141"/>
    </row>
    <row r="28" spans="1:13" s="258" customFormat="1" ht="15.75" customHeight="1" x14ac:dyDescent="0.25">
      <c r="A28" s="18" t="s">
        <v>44</v>
      </c>
      <c r="B28" s="19" t="s">
        <v>39</v>
      </c>
      <c r="C28" s="25"/>
      <c r="D28" s="24"/>
      <c r="E28" s="22"/>
      <c r="F28" s="22"/>
      <c r="G28" s="22"/>
      <c r="H28" s="22"/>
      <c r="I28" s="22"/>
      <c r="J28" s="22"/>
      <c r="K28" s="26"/>
    </row>
    <row r="29" spans="1:13" s="258" customFormat="1" ht="15.75" customHeight="1" x14ac:dyDescent="0.25">
      <c r="A29" s="34" t="s">
        <v>45</v>
      </c>
      <c r="B29" s="35" t="s">
        <v>46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</row>
    <row r="30" spans="1:13" s="258" customFormat="1" ht="15.75" customHeight="1" x14ac:dyDescent="0.25">
      <c r="A30" s="18" t="s">
        <v>47</v>
      </c>
      <c r="B30" s="19" t="s">
        <v>36</v>
      </c>
      <c r="C30" s="25"/>
      <c r="D30" s="24"/>
      <c r="E30" s="22"/>
      <c r="F30" s="22"/>
      <c r="G30" s="22"/>
      <c r="H30" s="22"/>
      <c r="I30" s="22"/>
      <c r="J30" s="22"/>
      <c r="K30" s="26"/>
    </row>
    <row r="31" spans="1:13" s="258" customFormat="1" ht="15.75" customHeight="1" x14ac:dyDescent="0.25">
      <c r="A31" s="18" t="s">
        <v>48</v>
      </c>
      <c r="B31" s="19" t="s">
        <v>28</v>
      </c>
      <c r="C31" s="25"/>
      <c r="D31" s="24"/>
      <c r="E31" s="22"/>
      <c r="F31" s="22"/>
      <c r="G31" s="22"/>
      <c r="H31" s="22"/>
      <c r="I31" s="22"/>
      <c r="J31" s="22"/>
      <c r="K31" s="26"/>
    </row>
    <row r="32" spans="1:13" s="258" customFormat="1" ht="15.75" customHeight="1" x14ac:dyDescent="0.25">
      <c r="A32" s="18" t="s">
        <v>49</v>
      </c>
      <c r="B32" s="19" t="s">
        <v>39</v>
      </c>
      <c r="C32" s="25"/>
      <c r="D32" s="24"/>
      <c r="E32" s="22"/>
      <c r="F32" s="22"/>
      <c r="G32" s="22"/>
      <c r="H32" s="22"/>
      <c r="I32" s="22"/>
      <c r="J32" s="22"/>
      <c r="K32" s="26"/>
    </row>
    <row r="33" spans="1:12" s="133" customFormat="1" ht="15.75" customHeight="1" x14ac:dyDescent="0.25">
      <c r="A33" s="17" t="s">
        <v>50</v>
      </c>
      <c r="B33" s="14" t="s">
        <v>51</v>
      </c>
      <c r="C33" s="13"/>
      <c r="D33" s="24"/>
      <c r="E33" s="36"/>
      <c r="F33" s="22"/>
      <c r="G33" s="36"/>
      <c r="H33" s="22"/>
      <c r="I33" s="36"/>
      <c r="J33" s="36"/>
      <c r="K33" s="26"/>
    </row>
    <row r="34" spans="1:12" s="133" customFormat="1" ht="15.75" customHeight="1" x14ac:dyDescent="0.25">
      <c r="A34" s="17" t="s">
        <v>52</v>
      </c>
      <c r="B34" s="14" t="s">
        <v>53</v>
      </c>
      <c r="C34" s="13"/>
      <c r="D34" s="24"/>
      <c r="E34" s="36"/>
      <c r="F34" s="22"/>
      <c r="G34" s="36"/>
      <c r="H34" s="36"/>
      <c r="I34" s="36"/>
      <c r="J34" s="36"/>
      <c r="K34" s="26"/>
    </row>
    <row r="35" spans="1:12" s="133" customFormat="1" ht="15.75" customHeight="1" x14ac:dyDescent="0.25">
      <c r="A35" s="17" t="s">
        <v>54</v>
      </c>
      <c r="B35" s="14" t="s">
        <v>55</v>
      </c>
      <c r="C35" s="15">
        <f t="shared" ref="C35:K35" si="5">C10+C25+C33+C34</f>
        <v>17200.156567170001</v>
      </c>
      <c r="D35" s="16">
        <f t="shared" si="5"/>
        <v>132.83000000000001</v>
      </c>
      <c r="E35" s="16">
        <f t="shared" si="5"/>
        <v>2914.1439122400002</v>
      </c>
      <c r="F35" s="16">
        <f t="shared" si="5"/>
        <v>133.36000000000001</v>
      </c>
      <c r="G35" s="16">
        <f t="shared" si="5"/>
        <v>3140.7000988299997</v>
      </c>
      <c r="H35" s="16">
        <f t="shared" si="5"/>
        <v>133.90999999999997</v>
      </c>
      <c r="I35" s="16">
        <f t="shared" si="5"/>
        <v>19.152546559999998</v>
      </c>
      <c r="J35" s="14">
        <f t="shared" si="5"/>
        <v>0</v>
      </c>
      <c r="K35" s="15">
        <f t="shared" si="5"/>
        <v>129.91999999999999</v>
      </c>
      <c r="L35" s="260">
        <f>C35+E35+G35+I35</f>
        <v>23274.153124799999</v>
      </c>
    </row>
    <row r="36" spans="1:12" s="133" customFormat="1" ht="15.75" customHeight="1" x14ac:dyDescent="0.25">
      <c r="A36" s="17" t="s">
        <v>56</v>
      </c>
      <c r="B36" s="14" t="s">
        <v>57</v>
      </c>
      <c r="C36" s="37">
        <f>'[1]Д4(транспорт)'!K38</f>
        <v>33879.763338359997</v>
      </c>
      <c r="D36" s="38">
        <f>C36/C51*1000</f>
        <v>261.64</v>
      </c>
      <c r="E36" s="39">
        <f>'[1]Д4(транспорт)'!S38</f>
        <v>5002.599148205999</v>
      </c>
      <c r="F36" s="39">
        <f>E36/E51*1000</f>
        <v>228.93399999999997</v>
      </c>
      <c r="G36" s="39">
        <f>'[1]Д4(транспорт)'!W38</f>
        <v>4622.9810804300005</v>
      </c>
      <c r="H36" s="39">
        <f>G36/G51*1000</f>
        <v>197.11</v>
      </c>
      <c r="I36" s="39">
        <f>'[1]Д4(транспорт)'!O38</f>
        <v>28.566660040000002</v>
      </c>
      <c r="J36" s="39"/>
      <c r="K36" s="40">
        <f>I36/I51*1000</f>
        <v>193.78</v>
      </c>
      <c r="L36" s="260">
        <f>C36+E36+G36+I36</f>
        <v>43533.910227035994</v>
      </c>
    </row>
    <row r="37" spans="1:12" s="133" customFormat="1" ht="15.75" customHeight="1" x14ac:dyDescent="0.25">
      <c r="A37" s="17" t="s">
        <v>58</v>
      </c>
      <c r="B37" s="14" t="s">
        <v>59</v>
      </c>
      <c r="C37" s="13">
        <f>C38+C40+C41+C42</f>
        <v>0</v>
      </c>
      <c r="D37" s="13">
        <f t="shared" ref="D37:K37" si="6">D38+D40+D41+D42</f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41">
        <f t="shared" si="6"/>
        <v>0</v>
      </c>
      <c r="I37" s="41">
        <f t="shared" si="6"/>
        <v>0</v>
      </c>
      <c r="J37" s="41">
        <f t="shared" si="6"/>
        <v>0</v>
      </c>
      <c r="K37" s="41">
        <f t="shared" si="6"/>
        <v>0</v>
      </c>
    </row>
    <row r="38" spans="1:12" s="258" customFormat="1" ht="15.75" customHeight="1" x14ac:dyDescent="0.25">
      <c r="A38" s="18" t="s">
        <v>60</v>
      </c>
      <c r="B38" s="19" t="s">
        <v>61</v>
      </c>
      <c r="C38" s="21"/>
      <c r="D38" s="21"/>
      <c r="E38" s="22"/>
      <c r="F38" s="22"/>
      <c r="G38" s="22"/>
      <c r="H38" s="22"/>
      <c r="I38" s="22"/>
      <c r="J38" s="22"/>
      <c r="K38" s="23"/>
    </row>
    <row r="39" spans="1:12" s="258" customFormat="1" ht="15.75" customHeight="1" x14ac:dyDescent="0.25">
      <c r="A39" s="18" t="s">
        <v>62</v>
      </c>
      <c r="B39" s="19" t="s">
        <v>63</v>
      </c>
      <c r="C39" s="21"/>
      <c r="D39" s="21"/>
      <c r="E39" s="22"/>
      <c r="F39" s="22"/>
      <c r="G39" s="22"/>
      <c r="H39" s="22"/>
      <c r="I39" s="22"/>
      <c r="J39" s="22"/>
      <c r="K39" s="23"/>
    </row>
    <row r="40" spans="1:12" s="258" customFormat="1" ht="15.75" customHeight="1" x14ac:dyDescent="0.25">
      <c r="A40" s="18" t="s">
        <v>64</v>
      </c>
      <c r="B40" s="19" t="s">
        <v>65</v>
      </c>
      <c r="C40" s="21"/>
      <c r="D40" s="21"/>
      <c r="E40" s="22"/>
      <c r="F40" s="22"/>
      <c r="G40" s="22"/>
      <c r="H40" s="22"/>
      <c r="I40" s="22"/>
      <c r="J40" s="22"/>
      <c r="K40" s="23"/>
    </row>
    <row r="41" spans="1:12" s="261" customFormat="1" ht="15.75" customHeight="1" x14ac:dyDescent="0.25">
      <c r="A41" s="18" t="s">
        <v>66</v>
      </c>
      <c r="B41" s="19" t="s">
        <v>67</v>
      </c>
      <c r="C41" s="21"/>
      <c r="D41" s="21"/>
      <c r="E41" s="22"/>
      <c r="F41" s="22"/>
      <c r="G41" s="22"/>
      <c r="H41" s="22"/>
      <c r="I41" s="22"/>
      <c r="J41" s="22"/>
      <c r="K41" s="42"/>
    </row>
    <row r="42" spans="1:12" s="258" customFormat="1" ht="15.75" customHeight="1" x14ac:dyDescent="0.25">
      <c r="A42" s="18" t="s">
        <v>68</v>
      </c>
      <c r="B42" s="19" t="s">
        <v>69</v>
      </c>
      <c r="C42" s="21"/>
      <c r="D42" s="21"/>
      <c r="E42" s="22"/>
      <c r="F42" s="22"/>
      <c r="G42" s="22"/>
      <c r="H42" s="22"/>
      <c r="I42" s="22"/>
      <c r="J42" s="22"/>
      <c r="K42" s="23"/>
    </row>
    <row r="43" spans="1:12" s="133" customFormat="1" ht="31.5" customHeight="1" x14ac:dyDescent="0.25">
      <c r="A43" s="34" t="s">
        <v>70</v>
      </c>
      <c r="B43" s="14" t="s">
        <v>71</v>
      </c>
      <c r="C43" s="15">
        <f>C35+C37+C36</f>
        <v>51079.919905529998</v>
      </c>
      <c r="D43" s="16">
        <f>D35+D36+D37</f>
        <v>394.47</v>
      </c>
      <c r="E43" s="16">
        <f>E35+E37+E36</f>
        <v>7916.7430604459987</v>
      </c>
      <c r="F43" s="16">
        <f>F35+F37+F36</f>
        <v>362.29399999999998</v>
      </c>
      <c r="G43" s="16">
        <f>G35+G37+G36</f>
        <v>7763.6811792600001</v>
      </c>
      <c r="H43" s="16">
        <f>H35+H37+H36</f>
        <v>331.02</v>
      </c>
      <c r="I43" s="16">
        <f>I35+I37+I36</f>
        <v>47.7192066</v>
      </c>
      <c r="J43" s="14">
        <f t="shared" ref="J43" si="7">J35+J37</f>
        <v>0</v>
      </c>
      <c r="K43" s="15">
        <f>K35+K37+K36</f>
        <v>323.7</v>
      </c>
      <c r="L43" s="262">
        <f>C43+E43+G43+I43</f>
        <v>66808.063351835997</v>
      </c>
    </row>
    <row r="44" spans="1:12" s="133" customFormat="1" ht="33.75" customHeight="1" x14ac:dyDescent="0.25">
      <c r="A44" s="17" t="s">
        <v>72</v>
      </c>
      <c r="B44" s="14" t="s">
        <v>73</v>
      </c>
      <c r="C44" s="15">
        <f>C43/C51*1000</f>
        <v>394.46999999999997</v>
      </c>
      <c r="D44" s="13"/>
      <c r="E44" s="16">
        <f>E43/E51*1000</f>
        <v>362.29399999999993</v>
      </c>
      <c r="F44" s="13"/>
      <c r="G44" s="16">
        <f>G43/G51*1000</f>
        <v>331.02</v>
      </c>
      <c r="H44" s="16"/>
      <c r="I44" s="16">
        <f>I43/I51*1000</f>
        <v>323.7</v>
      </c>
      <c r="J44" s="14" t="e">
        <f t="shared" ref="J44" si="8">J43/J51*1000</f>
        <v>#DIV/0!</v>
      </c>
      <c r="K44" s="15"/>
    </row>
    <row r="45" spans="1:12" s="133" customFormat="1" ht="31.5" x14ac:dyDescent="0.25">
      <c r="A45" s="30" t="s">
        <v>74</v>
      </c>
      <c r="B45" s="43" t="s">
        <v>75</v>
      </c>
      <c r="C45" s="15">
        <f>[1]виробн!C53</f>
        <v>169456.94099999999</v>
      </c>
      <c r="D45" s="13"/>
      <c r="E45" s="16">
        <f>[1]виробн!E53</f>
        <v>27387.285</v>
      </c>
      <c r="F45" s="13"/>
      <c r="G45" s="16">
        <f>[1]виробн!G53</f>
        <v>25937.097000000002</v>
      </c>
      <c r="H45" s="16"/>
      <c r="I45" s="16">
        <f>[1]виробн!I53</f>
        <v>181.601</v>
      </c>
      <c r="J45" s="14"/>
      <c r="K45" s="15"/>
      <c r="L45" s="260">
        <f>SUM(C45:K45)</f>
        <v>222962.924</v>
      </c>
    </row>
    <row r="46" spans="1:12" s="133" customFormat="1" ht="15.75" x14ac:dyDescent="0.25">
      <c r="A46" s="44" t="s">
        <v>76</v>
      </c>
      <c r="B46" s="45" t="s">
        <v>77</v>
      </c>
      <c r="C46" s="15">
        <v>169456.94099999999</v>
      </c>
      <c r="D46" s="13"/>
      <c r="E46" s="16">
        <v>27387.285</v>
      </c>
      <c r="F46" s="13"/>
      <c r="G46" s="16">
        <v>25937.097000000002</v>
      </c>
      <c r="H46" s="16"/>
      <c r="I46" s="16">
        <v>181.601</v>
      </c>
      <c r="J46" s="14"/>
      <c r="K46" s="15"/>
    </row>
    <row r="47" spans="1:12" s="133" customFormat="1" ht="31.5" x14ac:dyDescent="0.25">
      <c r="A47" s="44" t="s">
        <v>78</v>
      </c>
      <c r="B47" s="45" t="s">
        <v>79</v>
      </c>
      <c r="C47" s="15"/>
      <c r="D47" s="13"/>
      <c r="E47" s="16"/>
      <c r="F47" s="13"/>
      <c r="G47" s="16"/>
      <c r="H47" s="16"/>
      <c r="I47" s="16"/>
      <c r="J47" s="14"/>
      <c r="K47" s="15"/>
    </row>
    <row r="48" spans="1:12" s="133" customFormat="1" ht="31.5" x14ac:dyDescent="0.25">
      <c r="A48" s="44" t="s">
        <v>80</v>
      </c>
      <c r="B48" s="45" t="s">
        <v>81</v>
      </c>
      <c r="C48" s="15">
        <f>C45-C51</f>
        <v>39966.941999999995</v>
      </c>
      <c r="D48" s="15"/>
      <c r="E48" s="15">
        <f t="shared" ref="E48:I48" si="9">E45-E51</f>
        <v>5535.5760000000009</v>
      </c>
      <c r="F48" s="15"/>
      <c r="G48" s="15">
        <f t="shared" si="9"/>
        <v>2483.2839999999997</v>
      </c>
      <c r="H48" s="15"/>
      <c r="I48" s="15">
        <f t="shared" si="9"/>
        <v>34.182999999999993</v>
      </c>
      <c r="J48" s="14"/>
      <c r="K48" s="15"/>
      <c r="L48" s="133">
        <v>47781.771999999997</v>
      </c>
    </row>
    <row r="49" spans="1:12" s="133" customFormat="1" ht="15.75" x14ac:dyDescent="0.25">
      <c r="A49" s="44" t="s">
        <v>82</v>
      </c>
      <c r="B49" s="45" t="s">
        <v>77</v>
      </c>
      <c r="C49" s="15">
        <v>39966.941999999995</v>
      </c>
      <c r="D49" s="13"/>
      <c r="E49" s="16">
        <v>5535.5760000000009</v>
      </c>
      <c r="F49" s="13"/>
      <c r="G49" s="16">
        <v>2483.2839999999997</v>
      </c>
      <c r="H49" s="16"/>
      <c r="I49" s="16">
        <v>34.182999999999993</v>
      </c>
      <c r="J49" s="14"/>
      <c r="K49" s="15"/>
    </row>
    <row r="50" spans="1:12" s="133" customFormat="1" ht="15.75" x14ac:dyDescent="0.25">
      <c r="A50" s="44" t="s">
        <v>83</v>
      </c>
      <c r="B50" s="45" t="s">
        <v>84</v>
      </c>
      <c r="C50" s="15"/>
      <c r="D50" s="13"/>
      <c r="E50" s="16"/>
      <c r="F50" s="13"/>
      <c r="G50" s="16"/>
      <c r="H50" s="16"/>
      <c r="I50" s="16"/>
      <c r="J50" s="14"/>
      <c r="K50" s="15"/>
    </row>
    <row r="51" spans="1:12" s="264" customFormat="1" ht="31.5" customHeight="1" x14ac:dyDescent="0.25">
      <c r="A51" s="47">
        <v>13</v>
      </c>
      <c r="B51" s="48" t="s">
        <v>85</v>
      </c>
      <c r="C51" s="49">
        <f>'[1]Д3(вробн)'!L57</f>
        <v>129489.999</v>
      </c>
      <c r="D51" s="47"/>
      <c r="E51" s="49">
        <f>'[1]Д3(вробн)'!X57</f>
        <v>21851.708999999999</v>
      </c>
      <c r="F51" s="36"/>
      <c r="G51" s="49">
        <f>'[1]Д4(транспорт)'!W61</f>
        <v>23453.813000000002</v>
      </c>
      <c r="H51" s="36"/>
      <c r="I51" s="49">
        <f>[1]Д2!F34</f>
        <v>147.41800000000001</v>
      </c>
      <c r="J51" s="36"/>
      <c r="K51" s="50"/>
      <c r="L51" s="263">
        <f>SUM(C51:K51)</f>
        <v>174942.93899999998</v>
      </c>
    </row>
    <row r="52" spans="1:12" s="133" customFormat="1" ht="15.75" x14ac:dyDescent="0.25">
      <c r="A52" s="44" t="s">
        <v>86</v>
      </c>
      <c r="B52" s="45" t="s">
        <v>87</v>
      </c>
      <c r="C52" s="51"/>
      <c r="D52" s="13"/>
      <c r="E52" s="51"/>
      <c r="F52" s="36"/>
      <c r="G52" s="51"/>
      <c r="H52" s="36"/>
      <c r="I52" s="51"/>
      <c r="J52" s="36"/>
      <c r="K52" s="52"/>
    </row>
    <row r="53" spans="1:12" s="133" customFormat="1" ht="31.5" x14ac:dyDescent="0.25">
      <c r="A53" s="44" t="s">
        <v>88</v>
      </c>
      <c r="B53" s="45" t="s">
        <v>89</v>
      </c>
      <c r="C53" s="51"/>
      <c r="D53" s="13"/>
      <c r="E53" s="51"/>
      <c r="F53" s="36"/>
      <c r="G53" s="51"/>
      <c r="H53" s="36"/>
      <c r="I53" s="51"/>
      <c r="J53" s="36"/>
      <c r="K53" s="52"/>
    </row>
    <row r="54" spans="1:12" s="133" customFormat="1" ht="31.5" hidden="1" x14ac:dyDescent="0.25">
      <c r="A54" s="44" t="s">
        <v>90</v>
      </c>
      <c r="B54" s="45" t="s">
        <v>91</v>
      </c>
      <c r="C54" s="51"/>
      <c r="D54" s="13"/>
      <c r="E54" s="51"/>
      <c r="F54" s="36"/>
      <c r="G54" s="51"/>
      <c r="H54" s="36"/>
      <c r="I54" s="51"/>
      <c r="J54" s="36"/>
      <c r="K54" s="52"/>
    </row>
    <row r="55" spans="1:12" s="133" customFormat="1" ht="15.75" hidden="1" x14ac:dyDescent="0.25">
      <c r="A55" s="44" t="s">
        <v>92</v>
      </c>
      <c r="B55" s="45" t="s">
        <v>93</v>
      </c>
      <c r="C55" s="51">
        <f>C51</f>
        <v>129489.999</v>
      </c>
      <c r="D55" s="13"/>
      <c r="E55" s="51"/>
      <c r="F55" s="36"/>
      <c r="G55" s="51"/>
      <c r="H55" s="36"/>
      <c r="I55" s="51"/>
      <c r="J55" s="36"/>
      <c r="K55" s="52"/>
    </row>
    <row r="56" spans="1:12" s="133" customFormat="1" ht="15.75" hidden="1" x14ac:dyDescent="0.25">
      <c r="A56" s="44" t="s">
        <v>94</v>
      </c>
      <c r="B56" s="45" t="s">
        <v>95</v>
      </c>
      <c r="C56" s="51"/>
      <c r="D56" s="13"/>
      <c r="E56" s="51"/>
      <c r="F56" s="36"/>
      <c r="G56" s="51"/>
      <c r="H56" s="36"/>
      <c r="I56" s="51">
        <f>I51</f>
        <v>147.41800000000001</v>
      </c>
      <c r="J56" s="36"/>
      <c r="K56" s="52"/>
    </row>
    <row r="57" spans="1:12" s="133" customFormat="1" ht="15.75" hidden="1" x14ac:dyDescent="0.25">
      <c r="A57" s="44" t="s">
        <v>96</v>
      </c>
      <c r="B57" s="45" t="s">
        <v>97</v>
      </c>
      <c r="C57" s="51"/>
      <c r="D57" s="13"/>
      <c r="E57" s="51">
        <f>E51</f>
        <v>21851.708999999999</v>
      </c>
      <c r="F57" s="36"/>
      <c r="G57" s="51"/>
      <c r="H57" s="36"/>
      <c r="I57" s="51"/>
      <c r="J57" s="36"/>
      <c r="K57" s="52"/>
    </row>
    <row r="58" spans="1:12" s="133" customFormat="1" ht="15.75" hidden="1" x14ac:dyDescent="0.25">
      <c r="A58" s="44" t="s">
        <v>98</v>
      </c>
      <c r="B58" s="45" t="s">
        <v>99</v>
      </c>
      <c r="C58" s="51"/>
      <c r="D58" s="13"/>
      <c r="E58" s="51"/>
      <c r="F58" s="36"/>
      <c r="G58" s="51">
        <f>G51</f>
        <v>23453.813000000002</v>
      </c>
      <c r="H58" s="36"/>
      <c r="I58" s="51"/>
      <c r="J58" s="36"/>
      <c r="K58" s="52"/>
    </row>
    <row r="59" spans="1:12" s="133" customFormat="1" ht="47.25" x14ac:dyDescent="0.25">
      <c r="A59" s="44" t="s">
        <v>100</v>
      </c>
      <c r="B59" s="45" t="s">
        <v>101</v>
      </c>
      <c r="C59" s="51">
        <v>129489.999</v>
      </c>
      <c r="D59" s="13"/>
      <c r="E59" s="51">
        <v>21851.708999999999</v>
      </c>
      <c r="F59" s="36"/>
      <c r="G59" s="51">
        <f>'[1]Д4(транспорт)'!W61</f>
        <v>23453.813000000002</v>
      </c>
      <c r="H59" s="36"/>
      <c r="I59" s="51">
        <v>147.41800000000001</v>
      </c>
      <c r="J59" s="36"/>
      <c r="K59" s="52"/>
    </row>
    <row r="60" spans="1:12" ht="31.5" x14ac:dyDescent="0.25">
      <c r="A60" s="53">
        <v>14</v>
      </c>
      <c r="B60" s="45" t="s">
        <v>102</v>
      </c>
      <c r="C60" s="54"/>
      <c r="D60" s="55">
        <f>C44</f>
        <v>394.46999999999997</v>
      </c>
      <c r="E60" s="56"/>
      <c r="F60" s="56">
        <f>E44</f>
        <v>362.29399999999993</v>
      </c>
      <c r="G60" s="56"/>
      <c r="H60" s="56">
        <f>G44</f>
        <v>331.02</v>
      </c>
      <c r="I60" s="29"/>
      <c r="J60" s="29"/>
      <c r="K60" s="57">
        <f>I44</f>
        <v>323.7</v>
      </c>
    </row>
    <row r="61" spans="1:12" ht="15.75" x14ac:dyDescent="0.25">
      <c r="A61" s="58"/>
      <c r="B61" s="59"/>
      <c r="C61" s="60"/>
      <c r="D61" s="61"/>
      <c r="E61" s="62"/>
      <c r="F61" s="62"/>
      <c r="G61" s="62"/>
      <c r="H61" s="62"/>
      <c r="I61" s="63"/>
      <c r="J61" s="63"/>
      <c r="K61" s="64"/>
    </row>
    <row r="62" spans="1:12" ht="15.75" x14ac:dyDescent="0.25">
      <c r="A62" s="58"/>
      <c r="B62" s="59"/>
      <c r="C62" s="65"/>
      <c r="D62" s="61"/>
      <c r="E62" s="62"/>
      <c r="F62" s="62"/>
      <c r="G62" s="62"/>
      <c r="H62" s="62"/>
      <c r="I62" s="63"/>
      <c r="J62" s="63"/>
      <c r="K62" s="64"/>
    </row>
    <row r="63" spans="1:12" ht="15.75" x14ac:dyDescent="0.25">
      <c r="A63" s="58"/>
      <c r="B63" s="59"/>
      <c r="C63" s="65"/>
      <c r="D63" s="61"/>
      <c r="E63" s="62"/>
      <c r="F63" s="62"/>
      <c r="G63" s="62"/>
      <c r="H63" s="62"/>
      <c r="I63" s="63"/>
      <c r="J63" s="63"/>
      <c r="K63" s="64"/>
    </row>
    <row r="64" spans="1:12" ht="53.45" customHeight="1" x14ac:dyDescent="0.2">
      <c r="B64" s="477" t="s">
        <v>103</v>
      </c>
      <c r="C64" s="477"/>
      <c r="D64" s="66"/>
      <c r="E64" s="66"/>
      <c r="F64" s="477" t="s">
        <v>104</v>
      </c>
      <c r="G64" s="477"/>
      <c r="K64" s="67"/>
    </row>
    <row r="65" spans="1:10" s="146" customFormat="1" ht="72" customHeight="1" x14ac:dyDescent="0.3">
      <c r="A65" s="501"/>
      <c r="B65" s="501"/>
      <c r="C65" s="265"/>
      <c r="D65" s="265"/>
      <c r="G65" s="502"/>
      <c r="H65" s="502"/>
      <c r="I65" s="502"/>
      <c r="J65" s="266"/>
    </row>
  </sheetData>
  <mergeCells count="15">
    <mergeCell ref="I6:K7"/>
    <mergeCell ref="B64:C64"/>
    <mergeCell ref="F64:G64"/>
    <mergeCell ref="A65:B65"/>
    <mergeCell ref="G65:I65"/>
    <mergeCell ref="A6:A8"/>
    <mergeCell ref="B6:B8"/>
    <mergeCell ref="C6:D7"/>
    <mergeCell ref="E6:F7"/>
    <mergeCell ref="G6:H7"/>
    <mergeCell ref="I1:K1"/>
    <mergeCell ref="A3:I3"/>
    <mergeCell ref="A4:I4"/>
    <mergeCell ref="B5:F5"/>
    <mergeCell ref="I5:K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4" workbookViewId="0">
      <selection activeCell="O37" sqref="O37"/>
    </sheetView>
  </sheetViews>
  <sheetFormatPr defaultRowHeight="15.75" x14ac:dyDescent="0.25"/>
  <cols>
    <col min="1" max="1" width="9.140625" style="100"/>
    <col min="2" max="2" width="38.5703125" style="100" customWidth="1"/>
    <col min="3" max="3" width="11" style="100" customWidth="1"/>
    <col min="4" max="4" width="9.140625" style="100"/>
    <col min="5" max="5" width="11.5703125" style="100" customWidth="1"/>
    <col min="6" max="6" width="9.140625" style="100"/>
    <col min="7" max="7" width="12.28515625" style="100" customWidth="1"/>
    <col min="8" max="8" width="9.140625" style="100"/>
    <col min="9" max="9" width="11.42578125" style="100" customWidth="1"/>
    <col min="10" max="16384" width="9.140625" style="100"/>
  </cols>
  <sheetData>
    <row r="1" spans="1:11" x14ac:dyDescent="0.25">
      <c r="A1" s="93"/>
      <c r="B1" s="94"/>
      <c r="C1" s="95"/>
      <c r="D1" s="94"/>
      <c r="E1" s="96"/>
      <c r="F1" s="96"/>
      <c r="G1" s="97"/>
      <c r="H1" s="98"/>
      <c r="I1" s="97"/>
      <c r="J1" s="6" t="s">
        <v>105</v>
      </c>
    </row>
    <row r="2" spans="1:11" x14ac:dyDescent="0.25">
      <c r="A2" s="93"/>
      <c r="B2" s="94"/>
      <c r="C2" s="95"/>
      <c r="D2" s="94"/>
      <c r="E2" s="96"/>
      <c r="F2" s="96"/>
      <c r="G2" s="97"/>
      <c r="H2" s="98"/>
      <c r="I2" s="97"/>
      <c r="J2" s="99"/>
    </row>
    <row r="3" spans="1:11" x14ac:dyDescent="0.25">
      <c r="A3" s="503" t="s">
        <v>123</v>
      </c>
      <c r="B3" s="503"/>
      <c r="C3" s="503"/>
      <c r="D3" s="503"/>
      <c r="E3" s="503"/>
      <c r="F3" s="503"/>
      <c r="G3" s="503"/>
      <c r="H3" s="503"/>
      <c r="I3" s="503"/>
      <c r="J3" s="96"/>
    </row>
    <row r="4" spans="1:11" x14ac:dyDescent="0.25">
      <c r="A4" s="503" t="s">
        <v>106</v>
      </c>
      <c r="B4" s="503"/>
      <c r="C4" s="503"/>
      <c r="D4" s="503"/>
      <c r="E4" s="503"/>
      <c r="F4" s="503"/>
      <c r="G4" s="503"/>
      <c r="H4" s="503"/>
      <c r="I4" s="503"/>
      <c r="J4" s="96"/>
    </row>
    <row r="5" spans="1:11" x14ac:dyDescent="0.25">
      <c r="A5" s="101"/>
      <c r="B5" s="496"/>
      <c r="C5" s="496"/>
      <c r="D5" s="496"/>
      <c r="E5" s="496"/>
      <c r="F5" s="496"/>
      <c r="G5" s="96"/>
      <c r="H5" s="96"/>
      <c r="I5" s="96"/>
      <c r="J5" s="72" t="s">
        <v>107</v>
      </c>
    </row>
    <row r="6" spans="1:11" ht="60" customHeight="1" x14ac:dyDescent="0.25">
      <c r="A6" s="492" t="s">
        <v>4</v>
      </c>
      <c r="B6" s="492" t="s">
        <v>5</v>
      </c>
      <c r="C6" s="492" t="s">
        <v>6</v>
      </c>
      <c r="D6" s="492"/>
      <c r="E6" s="492" t="s">
        <v>108</v>
      </c>
      <c r="F6" s="492"/>
      <c r="G6" s="492" t="s">
        <v>8</v>
      </c>
      <c r="H6" s="492"/>
      <c r="I6" s="492" t="s">
        <v>9</v>
      </c>
      <c r="J6" s="492"/>
    </row>
    <row r="7" spans="1:11" ht="31.5" x14ac:dyDescent="0.25">
      <c r="A7" s="492"/>
      <c r="B7" s="492"/>
      <c r="C7" s="77" t="s">
        <v>10</v>
      </c>
      <c r="D7" s="74" t="s">
        <v>11</v>
      </c>
      <c r="E7" s="74" t="s">
        <v>10</v>
      </c>
      <c r="F7" s="74" t="s">
        <v>11</v>
      </c>
      <c r="G7" s="74" t="s">
        <v>10</v>
      </c>
      <c r="H7" s="74" t="s">
        <v>11</v>
      </c>
      <c r="I7" s="74" t="s">
        <v>10</v>
      </c>
      <c r="J7" s="74" t="s">
        <v>11</v>
      </c>
    </row>
    <row r="8" spans="1:11" x14ac:dyDescent="0.25">
      <c r="A8" s="31">
        <v>1</v>
      </c>
      <c r="B8" s="31">
        <v>2</v>
      </c>
      <c r="C8" s="32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</row>
    <row r="9" spans="1:11" x14ac:dyDescent="0.25">
      <c r="A9" s="13">
        <v>1</v>
      </c>
      <c r="B9" s="14" t="s">
        <v>12</v>
      </c>
      <c r="C9" s="73">
        <f>C10+C11+C12+C16</f>
        <v>1747.8073907434807</v>
      </c>
      <c r="D9" s="16">
        <f t="shared" ref="D9:H9" si="0">D10+D11+D12+D16</f>
        <v>13.497624559742878</v>
      </c>
      <c r="E9" s="16">
        <f t="shared" si="0"/>
        <v>294.94616407075449</v>
      </c>
      <c r="F9" s="16">
        <f t="shared" si="0"/>
        <v>13.497624559742878</v>
      </c>
      <c r="G9" s="16">
        <f t="shared" si="0"/>
        <v>316.57076236841681</v>
      </c>
      <c r="H9" s="16">
        <f t="shared" si="0"/>
        <v>13.497624559742878</v>
      </c>
      <c r="I9" s="16">
        <f>I10+I11+I12+I16</f>
        <v>1.9897928173481756</v>
      </c>
      <c r="J9" s="16">
        <f>J10+J11+J12+J16</f>
        <v>13.497624559742878</v>
      </c>
      <c r="K9" s="388">
        <f>C9+E9+G9+I9</f>
        <v>2361.3141100000003</v>
      </c>
    </row>
    <row r="10" spans="1:11" x14ac:dyDescent="0.25">
      <c r="A10" s="74" t="s">
        <v>13</v>
      </c>
      <c r="B10" s="75" t="s">
        <v>109</v>
      </c>
      <c r="C10" s="76">
        <f>'[1]Д5(постачанняя)'!K12</f>
        <v>0</v>
      </c>
      <c r="D10" s="77">
        <f>C10/$C$40*1000</f>
        <v>0</v>
      </c>
      <c r="E10" s="78">
        <f>'[1]Д5(постачанняя)'!S12</f>
        <v>0</v>
      </c>
      <c r="F10" s="78">
        <f>E10/$E$40*1000</f>
        <v>0</v>
      </c>
      <c r="G10" s="78">
        <f>'[1]Д5(постачанняя)'!W12</f>
        <v>0</v>
      </c>
      <c r="H10" s="78">
        <f>G10/$G$40*1000</f>
        <v>0</v>
      </c>
      <c r="I10" s="78">
        <f>'[1]Д5(постачанняя)'!O12</f>
        <v>0</v>
      </c>
      <c r="J10" s="78">
        <f>I10/$I$40*1000</f>
        <v>0</v>
      </c>
      <c r="K10" s="387">
        <f t="shared" ref="K10:K23" si="1">C10+E10+G10+I10</f>
        <v>0</v>
      </c>
    </row>
    <row r="11" spans="1:11" x14ac:dyDescent="0.25">
      <c r="A11" s="79" t="s">
        <v>23</v>
      </c>
      <c r="B11" s="14" t="s">
        <v>110</v>
      </c>
      <c r="C11" s="80">
        <f>'[1]Д5(постачанняя)'!K13</f>
        <v>1353.8265055153784</v>
      </c>
      <c r="D11" s="32">
        <f>C11/$C$40*1000</f>
        <v>10.455066151598151</v>
      </c>
      <c r="E11" s="78">
        <f>'[1]Д5(постачанняя)'!S13</f>
        <v>228.46106312047269</v>
      </c>
      <c r="F11" s="78">
        <f>E11/$E$40*1000</f>
        <v>10.455066151598151</v>
      </c>
      <c r="G11" s="78">
        <f>'[1]Д5(постачанняя)'!W13</f>
        <v>245.21116642221267</v>
      </c>
      <c r="H11" s="56">
        <f>G11/$G$40*1000</f>
        <v>10.455066151598151</v>
      </c>
      <c r="I11" s="78">
        <f>'[1]Д5(постачанняя)'!O13</f>
        <v>1.5412649419362963</v>
      </c>
      <c r="J11" s="78">
        <f>I11/$I$40*1000</f>
        <v>10.455066151598151</v>
      </c>
      <c r="K11" s="388">
        <f t="shared" si="1"/>
        <v>1829.0400000000002</v>
      </c>
    </row>
    <row r="12" spans="1:11" x14ac:dyDescent="0.25">
      <c r="A12" s="13" t="s">
        <v>25</v>
      </c>
      <c r="B12" s="14" t="s">
        <v>26</v>
      </c>
      <c r="C12" s="73">
        <f>C14+C15+C13</f>
        <v>357.7331768308585</v>
      </c>
      <c r="D12" s="73">
        <f>D14+D15+D13</f>
        <v>2.7626317058729652</v>
      </c>
      <c r="E12" s="73">
        <f t="shared" ref="E12:J12" si="2">E14+E15+E13</f>
        <v>60.368224110909622</v>
      </c>
      <c r="F12" s="73">
        <f t="shared" si="2"/>
        <v>2.7626317058729652</v>
      </c>
      <c r="G12" s="73">
        <f t="shared" si="2"/>
        <v>64.794247417415519</v>
      </c>
      <c r="H12" s="73">
        <f t="shared" si="2"/>
        <v>2.7626317058729652</v>
      </c>
      <c r="I12" s="73">
        <f t="shared" si="2"/>
        <v>0.40726164081638072</v>
      </c>
      <c r="J12" s="73">
        <f t="shared" si="2"/>
        <v>2.7626317058729652</v>
      </c>
      <c r="K12" s="387">
        <f t="shared" si="1"/>
        <v>483.30291000000005</v>
      </c>
    </row>
    <row r="13" spans="1:11" x14ac:dyDescent="0.25">
      <c r="A13" s="31" t="s">
        <v>27</v>
      </c>
      <c r="B13" s="27" t="s">
        <v>28</v>
      </c>
      <c r="C13" s="80">
        <f>'[1]Д5(постачанняя)'!K15</f>
        <v>297.84183121338327</v>
      </c>
      <c r="D13" s="24">
        <f>C13/$C$40*1000</f>
        <v>2.3001145533515936</v>
      </c>
      <c r="E13" s="32">
        <f>'[1]Д5(постачанняя)'!S15</f>
        <v>50.261433886503994</v>
      </c>
      <c r="F13" s="81">
        <f>E13/$E$40*1000</f>
        <v>2.3001145533515936</v>
      </c>
      <c r="G13" s="32">
        <f>'[1]Д5(постачанняя)'!W15</f>
        <v>53.946456612886792</v>
      </c>
      <c r="H13" s="81">
        <f>G13/$G$40*1000</f>
        <v>2.3001145533515936</v>
      </c>
      <c r="I13" s="32">
        <f>'[1]Д5(постачанняя)'!O15</f>
        <v>0.33907828722598521</v>
      </c>
      <c r="J13" s="81">
        <f>I13/$I$40*1000</f>
        <v>2.3001145533515936</v>
      </c>
      <c r="K13" s="387">
        <f t="shared" si="1"/>
        <v>402.3888</v>
      </c>
    </row>
    <row r="14" spans="1:11" x14ac:dyDescent="0.25">
      <c r="A14" s="18" t="s">
        <v>29</v>
      </c>
      <c r="B14" s="19" t="s">
        <v>30</v>
      </c>
      <c r="C14" s="82">
        <f>'[1]Д5(постачанняя)'!K16</f>
        <v>1.3660839558343079</v>
      </c>
      <c r="D14" s="24">
        <f>C14/$C$40*1000</f>
        <v>1.0549725587952996E-2</v>
      </c>
      <c r="E14" s="81">
        <f>'[1]Д5(постачанняя)'!S16</f>
        <v>0.23052953357780276</v>
      </c>
      <c r="F14" s="81">
        <f>E14/$E$40*1000</f>
        <v>1.0549725587952996E-2</v>
      </c>
      <c r="G14" s="81">
        <f>'[1]Д5(постачанняя)'!W16</f>
        <v>0.24743129114116461</v>
      </c>
      <c r="H14" s="81">
        <f>G14/$G$40*1000</f>
        <v>1.0549725587952996E-2</v>
      </c>
      <c r="I14" s="81">
        <f>'[1]Д5(постачанняя)'!O16</f>
        <v>1.5552194467248549E-3</v>
      </c>
      <c r="J14" s="81">
        <f>I14/$I$40*1000</f>
        <v>1.0549725587952996E-2</v>
      </c>
      <c r="K14" s="387">
        <f t="shared" si="1"/>
        <v>1.8456000000000001</v>
      </c>
    </row>
    <row r="15" spans="1:11" x14ac:dyDescent="0.25">
      <c r="A15" s="18" t="s">
        <v>31</v>
      </c>
      <c r="B15" s="19" t="s">
        <v>32</v>
      </c>
      <c r="C15" s="82">
        <f>'[1]Д5(постачанняя)'!K17</f>
        <v>58.52526166164094</v>
      </c>
      <c r="D15" s="24">
        <f>C15/$C$40*1000</f>
        <v>0.45196742693341851</v>
      </c>
      <c r="E15" s="81">
        <f>'[1]Д5(постачанняя)'!S17</f>
        <v>9.8762606908278237</v>
      </c>
      <c r="F15" s="81">
        <f>E15/$E$40*1000</f>
        <v>0.45196742693341851</v>
      </c>
      <c r="G15" s="81">
        <f>'[1]Д5(постачанняя)'!W17</f>
        <v>10.600359513387561</v>
      </c>
      <c r="H15" s="81">
        <f>G15/$G$40*1000</f>
        <v>0.45196742693341851</v>
      </c>
      <c r="I15" s="81">
        <f>'[1]Д5(постачанняя)'!O17</f>
        <v>6.6628134143670692E-2</v>
      </c>
      <c r="J15" s="81">
        <f>I15/$I$40*1000</f>
        <v>0.45196742693341851</v>
      </c>
      <c r="K15" s="387">
        <f t="shared" si="1"/>
        <v>79.068509999999989</v>
      </c>
    </row>
    <row r="16" spans="1:11" x14ac:dyDescent="0.25">
      <c r="A16" s="13" t="s">
        <v>33</v>
      </c>
      <c r="B16" s="14" t="s">
        <v>34</v>
      </c>
      <c r="C16" s="73">
        <f>C17+C19+C18</f>
        <v>36.247708397243741</v>
      </c>
      <c r="D16" s="73">
        <f t="shared" ref="D16:J16" si="3">D17+D19+D18</f>
        <v>0.27992670227176186</v>
      </c>
      <c r="E16" s="73">
        <f t="shared" si="3"/>
        <v>6.1168768393721802</v>
      </c>
      <c r="F16" s="73">
        <f t="shared" si="3"/>
        <v>0.27992670227176186</v>
      </c>
      <c r="G16" s="73">
        <f t="shared" si="3"/>
        <v>6.5653485287885776</v>
      </c>
      <c r="H16" s="73">
        <f t="shared" si="3"/>
        <v>0.27992670227176186</v>
      </c>
      <c r="I16" s="73">
        <f t="shared" si="3"/>
        <v>4.1266234595498594E-2</v>
      </c>
      <c r="J16" s="73">
        <f t="shared" si="3"/>
        <v>0.27992670227176186</v>
      </c>
      <c r="K16" s="388">
        <f t="shared" si="1"/>
        <v>48.971199999999996</v>
      </c>
    </row>
    <row r="17" spans="1:11" x14ac:dyDescent="0.25">
      <c r="A17" s="18" t="s">
        <v>35</v>
      </c>
      <c r="B17" s="19" t="s">
        <v>36</v>
      </c>
      <c r="C17" s="82">
        <f>'[1]Д5(постачанняя)'!K19</f>
        <v>25.505360571338063</v>
      </c>
      <c r="D17" s="24">
        <f>C17/$C$40*1000</f>
        <v>0.19696780267438307</v>
      </c>
      <c r="E17" s="81">
        <f>'[1]Д5(постачанняя)'!S19</f>
        <v>4.3040831064100411</v>
      </c>
      <c r="F17" s="81">
        <f>E17/$E$40*1000</f>
        <v>0.1969678026743831</v>
      </c>
      <c r="G17" s="81">
        <f>'[1]Д5(постачанняя)'!W19</f>
        <v>4.6196460109458801</v>
      </c>
      <c r="H17" s="81">
        <f>G17/$G$40*1000</f>
        <v>0.19696780267438307</v>
      </c>
      <c r="I17" s="81">
        <f>'[1]Д5(постачанняя)'!O19</f>
        <v>2.9036599534652208E-2</v>
      </c>
      <c r="J17" s="81">
        <f>I17/$I$40*1000</f>
        <v>0.19696780267438307</v>
      </c>
      <c r="K17" s="387">
        <f t="shared" si="1"/>
        <v>34.458126288228634</v>
      </c>
    </row>
    <row r="18" spans="1:11" x14ac:dyDescent="0.25">
      <c r="A18" s="18" t="s">
        <v>37</v>
      </c>
      <c r="B18" s="19" t="s">
        <v>111</v>
      </c>
      <c r="C18" s="82">
        <f>'[1]Д5(постачанняя)'!K20</f>
        <v>5.6111793256943727</v>
      </c>
      <c r="D18" s="24">
        <f>C18/$C$40*1000</f>
        <v>4.3332916588364273E-2</v>
      </c>
      <c r="E18" s="81">
        <f>'[1]Д5(постачанняя)'!S20</f>
        <v>0.94689828341020887</v>
      </c>
      <c r="F18" s="81">
        <f>E18/$E$40*1000</f>
        <v>4.3332916588364273E-2</v>
      </c>
      <c r="G18" s="81">
        <f>'[1]Д5(постачанняя)'!W20</f>
        <v>1.0163221224080936</v>
      </c>
      <c r="H18" s="81">
        <f>G18/$G$40*1000</f>
        <v>4.3332916588364273E-2</v>
      </c>
      <c r="I18" s="81">
        <f>'[1]Д5(постачанняя)'!O20</f>
        <v>6.3880518976234847E-3</v>
      </c>
      <c r="J18" s="81">
        <f>I18/$I$40*1000</f>
        <v>4.3332916588364273E-2</v>
      </c>
      <c r="K18" s="387">
        <f t="shared" si="1"/>
        <v>7.5807877834102992</v>
      </c>
    </row>
    <row r="19" spans="1:11" x14ac:dyDescent="0.25">
      <c r="A19" s="18" t="s">
        <v>38</v>
      </c>
      <c r="B19" s="19" t="s">
        <v>39</v>
      </c>
      <c r="C19" s="82">
        <f>'[1]Д5(постачанняя)'!K21</f>
        <v>5.1311685002113077</v>
      </c>
      <c r="D19" s="24">
        <f>C19/$C$40*1000</f>
        <v>3.9625983009014529E-2</v>
      </c>
      <c r="E19" s="81">
        <f>'[1]Д5(постачанняя)'!S21</f>
        <v>0.86589544955192976</v>
      </c>
      <c r="F19" s="81">
        <f>E19/$E$40*1000</f>
        <v>3.9625983009014529E-2</v>
      </c>
      <c r="G19" s="81">
        <f>'[1]Д5(постачанняя)'!W21</f>
        <v>0.92938039543460393</v>
      </c>
      <c r="H19" s="81">
        <f>G19/$G$40*1000</f>
        <v>3.9625983009014529E-2</v>
      </c>
      <c r="I19" s="81">
        <f>'[1]Д5(постачанняя)'!O21</f>
        <v>5.841583163222904E-3</v>
      </c>
      <c r="J19" s="81">
        <f>I19/$I$40*1000</f>
        <v>3.9625983009014529E-2</v>
      </c>
      <c r="K19" s="387">
        <f t="shared" si="1"/>
        <v>6.9322859283610647</v>
      </c>
    </row>
    <row r="20" spans="1:11" x14ac:dyDescent="0.25">
      <c r="A20" s="13">
        <v>2</v>
      </c>
      <c r="B20" s="14" t="s">
        <v>40</v>
      </c>
      <c r="C20" s="73">
        <f>C21+C23+C22</f>
        <v>4.6137161429922022</v>
      </c>
      <c r="D20" s="83">
        <f>D21+D23+D22</f>
        <v>3.5629903302356207E-2</v>
      </c>
      <c r="E20" s="83">
        <f t="shared" ref="E20:J20" si="4">E21+E23+E22</f>
        <v>0.77857427866122686</v>
      </c>
      <c r="F20" s="83">
        <f t="shared" si="4"/>
        <v>3.5629903302356207E-2</v>
      </c>
      <c r="G20" s="83">
        <f t="shared" si="4"/>
        <v>0.83565708926154503</v>
      </c>
      <c r="H20" s="83">
        <f t="shared" si="4"/>
        <v>3.5629903302356214E-2</v>
      </c>
      <c r="I20" s="83">
        <f t="shared" si="4"/>
        <v>5.2524890850267486E-3</v>
      </c>
      <c r="J20" s="83">
        <f t="shared" si="4"/>
        <v>3.5629903302356207E-2</v>
      </c>
      <c r="K20" s="388">
        <f t="shared" si="1"/>
        <v>6.2332000000000019</v>
      </c>
    </row>
    <row r="21" spans="1:11" x14ac:dyDescent="0.25">
      <c r="A21" s="18" t="s">
        <v>41</v>
      </c>
      <c r="B21" s="19" t="s">
        <v>36</v>
      </c>
      <c r="C21" s="82">
        <f>'[1]Д5(постачанняя)'!K23</f>
        <v>2.7856838796698313</v>
      </c>
      <c r="D21" s="24">
        <f>C21/$C$40*1000</f>
        <v>2.1512733810970464E-2</v>
      </c>
      <c r="E21" s="81">
        <f>'[1]Д5(постачанняя)'!S23</f>
        <v>0.47008999903178755</v>
      </c>
      <c r="F21" s="81">
        <f>E21/$E$40*1000</f>
        <v>2.1512733810970464E-2</v>
      </c>
      <c r="G21" s="81">
        <f>'[1]Д5(постачанняя)'!W23</f>
        <v>0.50455563592127861</v>
      </c>
      <c r="H21" s="81">
        <f>G21/$G$40*1000</f>
        <v>2.1512733810970467E-2</v>
      </c>
      <c r="I21" s="81">
        <f>'[1]Д5(постачанняя)'!O23</f>
        <v>3.1713641929456441E-3</v>
      </c>
      <c r="J21" s="81">
        <f>I21/$I$40*1000</f>
        <v>2.1512733810970464E-2</v>
      </c>
      <c r="K21" s="387">
        <f t="shared" si="1"/>
        <v>3.7635008788158433</v>
      </c>
    </row>
    <row r="22" spans="1:11" x14ac:dyDescent="0.25">
      <c r="A22" s="18" t="s">
        <v>43</v>
      </c>
      <c r="B22" s="19" t="s">
        <v>111</v>
      </c>
      <c r="C22" s="82">
        <f>'[1]Д5(постачанняя)'!K24</f>
        <v>0.61285045352736289</v>
      </c>
      <c r="D22" s="24">
        <f>C22/$C$40*1000</f>
        <v>4.7328014384135026E-3</v>
      </c>
      <c r="E22" s="81">
        <f>+'[1]Д5(постачанняя)'!S24</f>
        <v>0.10341979978699327</v>
      </c>
      <c r="F22" s="81">
        <f>E22/$E$40*1000</f>
        <v>4.7328014384135026E-3</v>
      </c>
      <c r="G22" s="81">
        <f>'[1]Д5(постачанняя)'!W24</f>
        <v>0.11100223990268129</v>
      </c>
      <c r="H22" s="81">
        <f>G22/$G$40*1000</f>
        <v>4.7328014384135026E-3</v>
      </c>
      <c r="I22" s="81">
        <f>'[1]Д5(постачанняя)'!O24</f>
        <v>6.9770012244804171E-4</v>
      </c>
      <c r="J22" s="81">
        <f>I22/$I$40*1000</f>
        <v>4.7328014384135026E-3</v>
      </c>
      <c r="K22" s="387">
        <f t="shared" si="1"/>
        <v>0.82797019333948552</v>
      </c>
    </row>
    <row r="23" spans="1:11" x14ac:dyDescent="0.25">
      <c r="A23" s="18" t="s">
        <v>44</v>
      </c>
      <c r="B23" s="19" t="s">
        <v>39</v>
      </c>
      <c r="C23" s="82">
        <f>'[1]Д5(постачанняя)'!K25</f>
        <v>1.2151818097950076</v>
      </c>
      <c r="D23" s="24">
        <f>C23/$C$40*1000</f>
        <v>9.3843680529722435E-3</v>
      </c>
      <c r="E23" s="81">
        <f>'[1]Д5(постачанняя)'!S25</f>
        <v>0.20506447984244602</v>
      </c>
      <c r="F23" s="81">
        <f>E23/$E$40*1000</f>
        <v>9.3843680529722435E-3</v>
      </c>
      <c r="G23" s="81">
        <f>'[1]Д5(постачанняя)'!W25</f>
        <v>0.22009921343758507</v>
      </c>
      <c r="H23" s="81">
        <f>G23/$G$40*1000</f>
        <v>9.3843680529722435E-3</v>
      </c>
      <c r="I23" s="81">
        <f>'[1]Д5(постачанняя)'!O25</f>
        <v>1.3834247696330622E-3</v>
      </c>
      <c r="J23" s="81">
        <f>I23/$I$40*1000</f>
        <v>9.3843680529722435E-3</v>
      </c>
      <c r="K23" s="387">
        <f t="shared" si="1"/>
        <v>1.6417289278446718</v>
      </c>
    </row>
    <row r="24" spans="1:11" x14ac:dyDescent="0.25">
      <c r="A24" s="102" t="s">
        <v>45</v>
      </c>
      <c r="B24" s="103" t="s">
        <v>46</v>
      </c>
      <c r="C24" s="82"/>
      <c r="D24" s="24"/>
      <c r="E24" s="81"/>
      <c r="F24" s="81"/>
      <c r="G24" s="81"/>
      <c r="H24" s="81"/>
      <c r="I24" s="81"/>
      <c r="J24" s="81"/>
      <c r="K24" s="387"/>
    </row>
    <row r="25" spans="1:11" x14ac:dyDescent="0.25">
      <c r="A25" s="104" t="s">
        <v>47</v>
      </c>
      <c r="B25" s="105" t="s">
        <v>42</v>
      </c>
      <c r="C25" s="82"/>
      <c r="D25" s="24"/>
      <c r="E25" s="81"/>
      <c r="F25" s="81"/>
      <c r="G25" s="81"/>
      <c r="H25" s="81"/>
      <c r="I25" s="81"/>
      <c r="J25" s="81"/>
      <c r="K25" s="387"/>
    </row>
    <row r="26" spans="1:11" x14ac:dyDescent="0.25">
      <c r="A26" s="104" t="s">
        <v>48</v>
      </c>
      <c r="B26" s="105" t="s">
        <v>112</v>
      </c>
      <c r="C26" s="82"/>
      <c r="D26" s="24"/>
      <c r="E26" s="81"/>
      <c r="F26" s="81"/>
      <c r="G26" s="81"/>
      <c r="H26" s="81"/>
      <c r="I26" s="81"/>
      <c r="J26" s="81"/>
      <c r="K26" s="387"/>
    </row>
    <row r="27" spans="1:11" x14ac:dyDescent="0.25">
      <c r="A27" s="104" t="s">
        <v>49</v>
      </c>
      <c r="B27" s="105" t="s">
        <v>113</v>
      </c>
      <c r="C27" s="82"/>
      <c r="D27" s="24"/>
      <c r="E27" s="81"/>
      <c r="F27" s="81"/>
      <c r="G27" s="81"/>
      <c r="H27" s="81"/>
      <c r="I27" s="81"/>
      <c r="J27" s="81"/>
      <c r="K27" s="387"/>
    </row>
    <row r="28" spans="1:11" x14ac:dyDescent="0.25">
      <c r="A28" s="13">
        <v>4</v>
      </c>
      <c r="B28" s="14" t="s">
        <v>114</v>
      </c>
      <c r="C28" s="73"/>
      <c r="D28" s="16"/>
      <c r="E28" s="56"/>
      <c r="F28" s="56"/>
      <c r="G28" s="56"/>
      <c r="H28" s="56"/>
      <c r="I28" s="56"/>
      <c r="J28" s="54"/>
      <c r="K28" s="387"/>
    </row>
    <row r="29" spans="1:11" x14ac:dyDescent="0.25">
      <c r="A29" s="13">
        <v>5</v>
      </c>
      <c r="B29" s="14" t="s">
        <v>53</v>
      </c>
      <c r="C29" s="73"/>
      <c r="D29" s="16"/>
      <c r="E29" s="56"/>
      <c r="F29" s="56"/>
      <c r="G29" s="56"/>
      <c r="H29" s="56"/>
      <c r="I29" s="56"/>
      <c r="J29" s="54"/>
      <c r="K29" s="387"/>
    </row>
    <row r="30" spans="1:11" x14ac:dyDescent="0.25">
      <c r="A30" s="13">
        <v>6</v>
      </c>
      <c r="B30" s="14" t="s">
        <v>55</v>
      </c>
      <c r="C30" s="73">
        <f t="shared" ref="C30:J30" si="5">C9+C20+C28+C29</f>
        <v>1752.4211068864729</v>
      </c>
      <c r="D30" s="16">
        <f t="shared" si="5"/>
        <v>13.533254463045234</v>
      </c>
      <c r="E30" s="16">
        <f t="shared" si="5"/>
        <v>295.7247383494157</v>
      </c>
      <c r="F30" s="16">
        <f t="shared" si="5"/>
        <v>13.533254463045234</v>
      </c>
      <c r="G30" s="16">
        <f t="shared" si="5"/>
        <v>317.40641945767834</v>
      </c>
      <c r="H30" s="16">
        <f t="shared" si="5"/>
        <v>13.533254463045234</v>
      </c>
      <c r="I30" s="16">
        <f t="shared" si="5"/>
        <v>1.9950453064332023</v>
      </c>
      <c r="J30" s="16">
        <f t="shared" si="5"/>
        <v>13.533254463045234</v>
      </c>
      <c r="K30" s="387">
        <f>K9+K20</f>
        <v>2367.5473100000004</v>
      </c>
    </row>
    <row r="31" spans="1:11" x14ac:dyDescent="0.25">
      <c r="A31" s="13">
        <v>7</v>
      </c>
      <c r="B31" s="14" t="s">
        <v>115</v>
      </c>
      <c r="C31" s="73"/>
      <c r="D31" s="16"/>
      <c r="E31" s="56"/>
      <c r="F31" s="56"/>
      <c r="G31" s="56"/>
      <c r="H31" s="56"/>
      <c r="I31" s="56"/>
      <c r="J31" s="54"/>
      <c r="K31" s="387"/>
    </row>
    <row r="32" spans="1:11" x14ac:dyDescent="0.25">
      <c r="A32" s="13">
        <v>8</v>
      </c>
      <c r="B32" s="14" t="s">
        <v>116</v>
      </c>
      <c r="C32" s="73">
        <f>C33+C35+C36+C37</f>
        <v>0</v>
      </c>
      <c r="D32" s="16">
        <f t="shared" ref="D32:J32" si="6">D33+D35+D36+D37</f>
        <v>0</v>
      </c>
      <c r="E32" s="13">
        <f t="shared" si="6"/>
        <v>0</v>
      </c>
      <c r="F32" s="16">
        <f t="shared" si="6"/>
        <v>0</v>
      </c>
      <c r="G32" s="13">
        <f t="shared" si="6"/>
        <v>0</v>
      </c>
      <c r="H32" s="13">
        <f t="shared" si="6"/>
        <v>0</v>
      </c>
      <c r="I32" s="13">
        <f t="shared" si="6"/>
        <v>0</v>
      </c>
      <c r="J32" s="13">
        <f t="shared" si="6"/>
        <v>0</v>
      </c>
      <c r="K32" s="387"/>
    </row>
    <row r="33" spans="1:11" x14ac:dyDescent="0.25">
      <c r="A33" s="104" t="s">
        <v>60</v>
      </c>
      <c r="B33" s="19" t="s">
        <v>61</v>
      </c>
      <c r="C33" s="82"/>
      <c r="D33" s="24"/>
      <c r="E33" s="81"/>
      <c r="F33" s="81"/>
      <c r="G33" s="81"/>
      <c r="H33" s="81"/>
      <c r="I33" s="81"/>
      <c r="J33" s="84"/>
      <c r="K33" s="387"/>
    </row>
    <row r="34" spans="1:11" x14ac:dyDescent="0.25">
      <c r="A34" s="104" t="s">
        <v>62</v>
      </c>
      <c r="B34" s="19" t="s">
        <v>63</v>
      </c>
      <c r="C34" s="82"/>
      <c r="D34" s="24"/>
      <c r="E34" s="81"/>
      <c r="F34" s="81"/>
      <c r="G34" s="81"/>
      <c r="H34" s="81"/>
      <c r="I34" s="81"/>
      <c r="J34" s="84"/>
      <c r="K34" s="387"/>
    </row>
    <row r="35" spans="1:11" ht="31.5" x14ac:dyDescent="0.25">
      <c r="A35" s="104" t="s">
        <v>64</v>
      </c>
      <c r="B35" s="19" t="s">
        <v>117</v>
      </c>
      <c r="C35" s="82"/>
      <c r="D35" s="24"/>
      <c r="E35" s="81"/>
      <c r="F35" s="81"/>
      <c r="G35" s="81"/>
      <c r="H35" s="81"/>
      <c r="I35" s="81"/>
      <c r="J35" s="84"/>
      <c r="K35" s="387"/>
    </row>
    <row r="36" spans="1:11" ht="31.5" x14ac:dyDescent="0.25">
      <c r="A36" s="104" t="s">
        <v>66</v>
      </c>
      <c r="B36" s="19" t="s">
        <v>67</v>
      </c>
      <c r="C36" s="82"/>
      <c r="D36" s="24"/>
      <c r="E36" s="81"/>
      <c r="F36" s="81"/>
      <c r="G36" s="81"/>
      <c r="H36" s="81"/>
      <c r="I36" s="81"/>
      <c r="J36" s="85"/>
      <c r="K36" s="387"/>
    </row>
    <row r="37" spans="1:11" x14ac:dyDescent="0.25">
      <c r="A37" s="104" t="s">
        <v>68</v>
      </c>
      <c r="B37" s="19" t="s">
        <v>69</v>
      </c>
      <c r="C37" s="82"/>
      <c r="D37" s="24"/>
      <c r="E37" s="81"/>
      <c r="F37" s="81"/>
      <c r="G37" s="81"/>
      <c r="H37" s="81"/>
      <c r="I37" s="81"/>
      <c r="J37" s="85"/>
      <c r="K37" s="387"/>
    </row>
    <row r="38" spans="1:11" ht="31.5" x14ac:dyDescent="0.25">
      <c r="A38" s="104" t="s">
        <v>68</v>
      </c>
      <c r="B38" s="14" t="s">
        <v>118</v>
      </c>
      <c r="C38" s="73">
        <f>C30+C32</f>
        <v>1752.4211068864729</v>
      </c>
      <c r="D38" s="16">
        <f>D30+D32</f>
        <v>13.533254463045234</v>
      </c>
      <c r="E38" s="16">
        <f t="shared" ref="E38:J38" si="7">E30+E32</f>
        <v>295.7247383494157</v>
      </c>
      <c r="F38" s="16">
        <f t="shared" si="7"/>
        <v>13.533254463045234</v>
      </c>
      <c r="G38" s="16">
        <f t="shared" si="7"/>
        <v>317.40641945767834</v>
      </c>
      <c r="H38" s="16">
        <f t="shared" si="7"/>
        <v>13.533254463045234</v>
      </c>
      <c r="I38" s="16">
        <f t="shared" si="7"/>
        <v>1.9950453064332023</v>
      </c>
      <c r="J38" s="16">
        <f t="shared" si="7"/>
        <v>13.533254463045234</v>
      </c>
      <c r="K38" s="387">
        <f>C38+E38+G38+I38</f>
        <v>2367.5473099999999</v>
      </c>
    </row>
    <row r="39" spans="1:11" ht="31.5" x14ac:dyDescent="0.25">
      <c r="A39" s="13">
        <v>9</v>
      </c>
      <c r="B39" s="14" t="s">
        <v>119</v>
      </c>
      <c r="C39" s="73"/>
      <c r="D39" s="16"/>
      <c r="E39" s="39"/>
      <c r="F39" s="39"/>
      <c r="G39" s="39"/>
      <c r="H39" s="39"/>
      <c r="I39" s="39"/>
      <c r="J39" s="54"/>
    </row>
    <row r="40" spans="1:11" ht="31.5" x14ac:dyDescent="0.25">
      <c r="A40" s="13">
        <v>10</v>
      </c>
      <c r="B40" s="14" t="s">
        <v>120</v>
      </c>
      <c r="C40" s="86">
        <f>'[1]Д3(вробн)'!L57</f>
        <v>129489.999</v>
      </c>
      <c r="D40" s="37"/>
      <c r="E40" s="87">
        <f>'[1]Д3(вробн)'!X57</f>
        <v>21851.708999999999</v>
      </c>
      <c r="F40" s="88"/>
      <c r="G40" s="87">
        <f>'[1]Д3(вробн)'!AB57</f>
        <v>23453.812999999998</v>
      </c>
      <c r="H40" s="88"/>
      <c r="I40" s="88">
        <f>[1]Д2!F34</f>
        <v>147.41800000000001</v>
      </c>
      <c r="J40" s="54"/>
    </row>
    <row r="41" spans="1:11" x14ac:dyDescent="0.25">
      <c r="A41" s="89">
        <v>11</v>
      </c>
      <c r="B41" s="54" t="s">
        <v>121</v>
      </c>
      <c r="C41" s="90"/>
      <c r="D41" s="91"/>
      <c r="E41" s="56"/>
      <c r="F41" s="56"/>
      <c r="G41" s="56"/>
      <c r="H41" s="56"/>
      <c r="I41" s="56"/>
      <c r="J41" s="92"/>
    </row>
    <row r="42" spans="1:11" x14ac:dyDescent="0.25">
      <c r="A42" s="101"/>
      <c r="B42" s="101"/>
      <c r="C42" s="106"/>
      <c r="D42" s="101"/>
      <c r="E42" s="101"/>
      <c r="F42" s="101"/>
      <c r="G42" s="101"/>
      <c r="H42" s="96"/>
      <c r="I42" s="96"/>
      <c r="J42" s="96"/>
    </row>
    <row r="43" spans="1:11" x14ac:dyDescent="0.25">
      <c r="A43" s="101"/>
      <c r="B43" s="477" t="s">
        <v>122</v>
      </c>
      <c r="C43" s="477"/>
      <c r="D43" s="66"/>
      <c r="E43" s="66"/>
      <c r="F43" s="477" t="s">
        <v>104</v>
      </c>
      <c r="G43" s="477"/>
      <c r="H43" s="96"/>
      <c r="I43" s="96"/>
      <c r="J43" s="96"/>
    </row>
  </sheetData>
  <mergeCells count="11">
    <mergeCell ref="B43:C43"/>
    <mergeCell ref="F43:G43"/>
    <mergeCell ref="A3:I3"/>
    <mergeCell ref="A4:I4"/>
    <mergeCell ref="B5:F5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topLeftCell="A22" workbookViewId="0">
      <selection activeCell="M23" sqref="M23"/>
    </sheetView>
  </sheetViews>
  <sheetFormatPr defaultRowHeight="15" x14ac:dyDescent="0.25"/>
  <cols>
    <col min="1" max="1" width="7.140625" style="268" customWidth="1"/>
    <col min="2" max="2" width="62.42578125" style="269" customWidth="1"/>
    <col min="3" max="3" width="15.140625" style="269" hidden="1" customWidth="1"/>
    <col min="4" max="4" width="10.85546875" style="269" hidden="1" customWidth="1"/>
    <col min="5" max="5" width="9.85546875" style="269" hidden="1" customWidth="1"/>
    <col min="6" max="6" width="13.140625" style="269" hidden="1" customWidth="1"/>
    <col min="7" max="7" width="9.5703125" style="269" hidden="1" customWidth="1"/>
    <col min="8" max="8" width="12.85546875" style="269" hidden="1" customWidth="1"/>
    <col min="9" max="9" width="9.7109375" style="269" hidden="1" customWidth="1"/>
    <col min="10" max="10" width="10" style="269" hidden="1" customWidth="1"/>
    <col min="11" max="11" width="10.42578125" style="269" hidden="1" customWidth="1"/>
    <col min="12" max="12" width="10" style="269" bestFit="1" customWidth="1"/>
    <col min="13" max="13" width="10.140625" style="269" bestFit="1" customWidth="1"/>
    <col min="14" max="14" width="8.5703125" style="269" bestFit="1" customWidth="1"/>
    <col min="15" max="15" width="10.42578125" style="269" customWidth="1"/>
    <col min="16" max="16" width="9.5703125" style="269" customWidth="1"/>
    <col min="17" max="17" width="10.140625" style="269" bestFit="1" customWidth="1"/>
    <col min="18" max="18" width="11.5703125" style="269" hidden="1" customWidth="1"/>
    <col min="19" max="19" width="11" style="269" hidden="1" customWidth="1"/>
    <col min="20" max="20" width="10.42578125" style="269" hidden="1" customWidth="1"/>
    <col min="21" max="21" width="10" style="269" hidden="1" customWidth="1"/>
    <col min="22" max="22" width="9.140625" style="269" hidden="1" customWidth="1"/>
    <col min="23" max="23" width="10" style="269" hidden="1" customWidth="1"/>
    <col min="24" max="25" width="9.140625" style="269" hidden="1" customWidth="1"/>
    <col min="26" max="47" width="9.140625" style="269" customWidth="1"/>
    <col min="48" max="257" width="9.140625" style="269"/>
    <col min="258" max="258" width="7.140625" style="269" customWidth="1"/>
    <col min="259" max="259" width="79" style="269" customWidth="1"/>
    <col min="260" max="260" width="15.140625" style="269" customWidth="1"/>
    <col min="261" max="261" width="15.42578125" style="269" customWidth="1"/>
    <col min="262" max="262" width="9.85546875" style="269" customWidth="1"/>
    <col min="263" max="263" width="13.140625" style="269" customWidth="1"/>
    <col min="264" max="265" width="9.5703125" style="269" customWidth="1"/>
    <col min="266" max="266" width="12.85546875" style="269" customWidth="1"/>
    <col min="267" max="267" width="9.7109375" style="269" customWidth="1"/>
    <col min="268" max="268" width="12.7109375" style="269" customWidth="1"/>
    <col min="269" max="269" width="10.42578125" style="269" customWidth="1"/>
    <col min="270" max="270" width="13.5703125" style="269" customWidth="1"/>
    <col min="271" max="271" width="10.42578125" style="269" customWidth="1"/>
    <col min="272" max="272" width="12.85546875" style="269" customWidth="1"/>
    <col min="273" max="273" width="10.42578125" style="269" customWidth="1"/>
    <col min="274" max="274" width="9.140625" style="269" customWidth="1"/>
    <col min="275" max="275" width="12" style="269" customWidth="1"/>
    <col min="276" max="303" width="9.140625" style="269" customWidth="1"/>
    <col min="304" max="513" width="9.140625" style="269"/>
    <col min="514" max="514" width="7.140625" style="269" customWidth="1"/>
    <col min="515" max="515" width="79" style="269" customWidth="1"/>
    <col min="516" max="516" width="15.140625" style="269" customWidth="1"/>
    <col min="517" max="517" width="15.42578125" style="269" customWidth="1"/>
    <col min="518" max="518" width="9.85546875" style="269" customWidth="1"/>
    <col min="519" max="519" width="13.140625" style="269" customWidth="1"/>
    <col min="520" max="521" width="9.5703125" style="269" customWidth="1"/>
    <col min="522" max="522" width="12.85546875" style="269" customWidth="1"/>
    <col min="523" max="523" width="9.7109375" style="269" customWidth="1"/>
    <col min="524" max="524" width="12.7109375" style="269" customWidth="1"/>
    <col min="525" max="525" width="10.42578125" style="269" customWidth="1"/>
    <col min="526" max="526" width="13.5703125" style="269" customWidth="1"/>
    <col min="527" max="527" width="10.42578125" style="269" customWidth="1"/>
    <col min="528" max="528" width="12.85546875" style="269" customWidth="1"/>
    <col min="529" max="529" width="10.42578125" style="269" customWidth="1"/>
    <col min="530" max="530" width="9.140625" style="269" customWidth="1"/>
    <col min="531" max="531" width="12" style="269" customWidth="1"/>
    <col min="532" max="559" width="9.140625" style="269" customWidth="1"/>
    <col min="560" max="769" width="9.140625" style="269"/>
    <col min="770" max="770" width="7.140625" style="269" customWidth="1"/>
    <col min="771" max="771" width="79" style="269" customWidth="1"/>
    <col min="772" max="772" width="15.140625" style="269" customWidth="1"/>
    <col min="773" max="773" width="15.42578125" style="269" customWidth="1"/>
    <col min="774" max="774" width="9.85546875" style="269" customWidth="1"/>
    <col min="775" max="775" width="13.140625" style="269" customWidth="1"/>
    <col min="776" max="777" width="9.5703125" style="269" customWidth="1"/>
    <col min="778" max="778" width="12.85546875" style="269" customWidth="1"/>
    <col min="779" max="779" width="9.7109375" style="269" customWidth="1"/>
    <col min="780" max="780" width="12.7109375" style="269" customWidth="1"/>
    <col min="781" max="781" width="10.42578125" style="269" customWidth="1"/>
    <col min="782" max="782" width="13.5703125" style="269" customWidth="1"/>
    <col min="783" max="783" width="10.42578125" style="269" customWidth="1"/>
    <col min="784" max="784" width="12.85546875" style="269" customWidth="1"/>
    <col min="785" max="785" width="10.42578125" style="269" customWidth="1"/>
    <col min="786" max="786" width="9.140625" style="269" customWidth="1"/>
    <col min="787" max="787" width="12" style="269" customWidth="1"/>
    <col min="788" max="815" width="9.140625" style="269" customWidth="1"/>
    <col min="816" max="1025" width="9.140625" style="269"/>
    <col min="1026" max="1026" width="7.140625" style="269" customWidth="1"/>
    <col min="1027" max="1027" width="79" style="269" customWidth="1"/>
    <col min="1028" max="1028" width="15.140625" style="269" customWidth="1"/>
    <col min="1029" max="1029" width="15.42578125" style="269" customWidth="1"/>
    <col min="1030" max="1030" width="9.85546875" style="269" customWidth="1"/>
    <col min="1031" max="1031" width="13.140625" style="269" customWidth="1"/>
    <col min="1032" max="1033" width="9.5703125" style="269" customWidth="1"/>
    <col min="1034" max="1034" width="12.85546875" style="269" customWidth="1"/>
    <col min="1035" max="1035" width="9.7109375" style="269" customWidth="1"/>
    <col min="1036" max="1036" width="12.7109375" style="269" customWidth="1"/>
    <col min="1037" max="1037" width="10.42578125" style="269" customWidth="1"/>
    <col min="1038" max="1038" width="13.5703125" style="269" customWidth="1"/>
    <col min="1039" max="1039" width="10.42578125" style="269" customWidth="1"/>
    <col min="1040" max="1040" width="12.85546875" style="269" customWidth="1"/>
    <col min="1041" max="1041" width="10.42578125" style="269" customWidth="1"/>
    <col min="1042" max="1042" width="9.140625" style="269" customWidth="1"/>
    <col min="1043" max="1043" width="12" style="269" customWidth="1"/>
    <col min="1044" max="1071" width="9.140625" style="269" customWidth="1"/>
    <col min="1072" max="1281" width="9.140625" style="269"/>
    <col min="1282" max="1282" width="7.140625" style="269" customWidth="1"/>
    <col min="1283" max="1283" width="79" style="269" customWidth="1"/>
    <col min="1284" max="1284" width="15.140625" style="269" customWidth="1"/>
    <col min="1285" max="1285" width="15.42578125" style="269" customWidth="1"/>
    <col min="1286" max="1286" width="9.85546875" style="269" customWidth="1"/>
    <col min="1287" max="1287" width="13.140625" style="269" customWidth="1"/>
    <col min="1288" max="1289" width="9.5703125" style="269" customWidth="1"/>
    <col min="1290" max="1290" width="12.85546875" style="269" customWidth="1"/>
    <col min="1291" max="1291" width="9.7109375" style="269" customWidth="1"/>
    <col min="1292" max="1292" width="12.7109375" style="269" customWidth="1"/>
    <col min="1293" max="1293" width="10.42578125" style="269" customWidth="1"/>
    <col min="1294" max="1294" width="13.5703125" style="269" customWidth="1"/>
    <col min="1295" max="1295" width="10.42578125" style="269" customWidth="1"/>
    <col min="1296" max="1296" width="12.85546875" style="269" customWidth="1"/>
    <col min="1297" max="1297" width="10.42578125" style="269" customWidth="1"/>
    <col min="1298" max="1298" width="9.140625" style="269" customWidth="1"/>
    <col min="1299" max="1299" width="12" style="269" customWidth="1"/>
    <col min="1300" max="1327" width="9.140625" style="269" customWidth="1"/>
    <col min="1328" max="1537" width="9.140625" style="269"/>
    <col min="1538" max="1538" width="7.140625" style="269" customWidth="1"/>
    <col min="1539" max="1539" width="79" style="269" customWidth="1"/>
    <col min="1540" max="1540" width="15.140625" style="269" customWidth="1"/>
    <col min="1541" max="1541" width="15.42578125" style="269" customWidth="1"/>
    <col min="1542" max="1542" width="9.85546875" style="269" customWidth="1"/>
    <col min="1543" max="1543" width="13.140625" style="269" customWidth="1"/>
    <col min="1544" max="1545" width="9.5703125" style="269" customWidth="1"/>
    <col min="1546" max="1546" width="12.85546875" style="269" customWidth="1"/>
    <col min="1547" max="1547" width="9.7109375" style="269" customWidth="1"/>
    <col min="1548" max="1548" width="12.7109375" style="269" customWidth="1"/>
    <col min="1549" max="1549" width="10.42578125" style="269" customWidth="1"/>
    <col min="1550" max="1550" width="13.5703125" style="269" customWidth="1"/>
    <col min="1551" max="1551" width="10.42578125" style="269" customWidth="1"/>
    <col min="1552" max="1552" width="12.85546875" style="269" customWidth="1"/>
    <col min="1553" max="1553" width="10.42578125" style="269" customWidth="1"/>
    <col min="1554" max="1554" width="9.140625" style="269" customWidth="1"/>
    <col min="1555" max="1555" width="12" style="269" customWidth="1"/>
    <col min="1556" max="1583" width="9.140625" style="269" customWidth="1"/>
    <col min="1584" max="1793" width="9.140625" style="269"/>
    <col min="1794" max="1794" width="7.140625" style="269" customWidth="1"/>
    <col min="1795" max="1795" width="79" style="269" customWidth="1"/>
    <col min="1796" max="1796" width="15.140625" style="269" customWidth="1"/>
    <col min="1797" max="1797" width="15.42578125" style="269" customWidth="1"/>
    <col min="1798" max="1798" width="9.85546875" style="269" customWidth="1"/>
    <col min="1799" max="1799" width="13.140625" style="269" customWidth="1"/>
    <col min="1800" max="1801" width="9.5703125" style="269" customWidth="1"/>
    <col min="1802" max="1802" width="12.85546875" style="269" customWidth="1"/>
    <col min="1803" max="1803" width="9.7109375" style="269" customWidth="1"/>
    <col min="1804" max="1804" width="12.7109375" style="269" customWidth="1"/>
    <col min="1805" max="1805" width="10.42578125" style="269" customWidth="1"/>
    <col min="1806" max="1806" width="13.5703125" style="269" customWidth="1"/>
    <col min="1807" max="1807" width="10.42578125" style="269" customWidth="1"/>
    <col min="1808" max="1808" width="12.85546875" style="269" customWidth="1"/>
    <col min="1809" max="1809" width="10.42578125" style="269" customWidth="1"/>
    <col min="1810" max="1810" width="9.140625" style="269" customWidth="1"/>
    <col min="1811" max="1811" width="12" style="269" customWidth="1"/>
    <col min="1812" max="1839" width="9.140625" style="269" customWidth="1"/>
    <col min="1840" max="2049" width="9.140625" style="269"/>
    <col min="2050" max="2050" width="7.140625" style="269" customWidth="1"/>
    <col min="2051" max="2051" width="79" style="269" customWidth="1"/>
    <col min="2052" max="2052" width="15.140625" style="269" customWidth="1"/>
    <col min="2053" max="2053" width="15.42578125" style="269" customWidth="1"/>
    <col min="2054" max="2054" width="9.85546875" style="269" customWidth="1"/>
    <col min="2055" max="2055" width="13.140625" style="269" customWidth="1"/>
    <col min="2056" max="2057" width="9.5703125" style="269" customWidth="1"/>
    <col min="2058" max="2058" width="12.85546875" style="269" customWidth="1"/>
    <col min="2059" max="2059" width="9.7109375" style="269" customWidth="1"/>
    <col min="2060" max="2060" width="12.7109375" style="269" customWidth="1"/>
    <col min="2061" max="2061" width="10.42578125" style="269" customWidth="1"/>
    <col min="2062" max="2062" width="13.5703125" style="269" customWidth="1"/>
    <col min="2063" max="2063" width="10.42578125" style="269" customWidth="1"/>
    <col min="2064" max="2064" width="12.85546875" style="269" customWidth="1"/>
    <col min="2065" max="2065" width="10.42578125" style="269" customWidth="1"/>
    <col min="2066" max="2066" width="9.140625" style="269" customWidth="1"/>
    <col min="2067" max="2067" width="12" style="269" customWidth="1"/>
    <col min="2068" max="2095" width="9.140625" style="269" customWidth="1"/>
    <col min="2096" max="2305" width="9.140625" style="269"/>
    <col min="2306" max="2306" width="7.140625" style="269" customWidth="1"/>
    <col min="2307" max="2307" width="79" style="269" customWidth="1"/>
    <col min="2308" max="2308" width="15.140625" style="269" customWidth="1"/>
    <col min="2309" max="2309" width="15.42578125" style="269" customWidth="1"/>
    <col min="2310" max="2310" width="9.85546875" style="269" customWidth="1"/>
    <col min="2311" max="2311" width="13.140625" style="269" customWidth="1"/>
    <col min="2312" max="2313" width="9.5703125" style="269" customWidth="1"/>
    <col min="2314" max="2314" width="12.85546875" style="269" customWidth="1"/>
    <col min="2315" max="2315" width="9.7109375" style="269" customWidth="1"/>
    <col min="2316" max="2316" width="12.7109375" style="269" customWidth="1"/>
    <col min="2317" max="2317" width="10.42578125" style="269" customWidth="1"/>
    <col min="2318" max="2318" width="13.5703125" style="269" customWidth="1"/>
    <col min="2319" max="2319" width="10.42578125" style="269" customWidth="1"/>
    <col min="2320" max="2320" width="12.85546875" style="269" customWidth="1"/>
    <col min="2321" max="2321" width="10.42578125" style="269" customWidth="1"/>
    <col min="2322" max="2322" width="9.140625" style="269" customWidth="1"/>
    <col min="2323" max="2323" width="12" style="269" customWidth="1"/>
    <col min="2324" max="2351" width="9.140625" style="269" customWidth="1"/>
    <col min="2352" max="2561" width="9.140625" style="269"/>
    <col min="2562" max="2562" width="7.140625" style="269" customWidth="1"/>
    <col min="2563" max="2563" width="79" style="269" customWidth="1"/>
    <col min="2564" max="2564" width="15.140625" style="269" customWidth="1"/>
    <col min="2565" max="2565" width="15.42578125" style="269" customWidth="1"/>
    <col min="2566" max="2566" width="9.85546875" style="269" customWidth="1"/>
    <col min="2567" max="2567" width="13.140625" style="269" customWidth="1"/>
    <col min="2568" max="2569" width="9.5703125" style="269" customWidth="1"/>
    <col min="2570" max="2570" width="12.85546875" style="269" customWidth="1"/>
    <col min="2571" max="2571" width="9.7109375" style="269" customWidth="1"/>
    <col min="2572" max="2572" width="12.7109375" style="269" customWidth="1"/>
    <col min="2573" max="2573" width="10.42578125" style="269" customWidth="1"/>
    <col min="2574" max="2574" width="13.5703125" style="269" customWidth="1"/>
    <col min="2575" max="2575" width="10.42578125" style="269" customWidth="1"/>
    <col min="2576" max="2576" width="12.85546875" style="269" customWidth="1"/>
    <col min="2577" max="2577" width="10.42578125" style="269" customWidth="1"/>
    <col min="2578" max="2578" width="9.140625" style="269" customWidth="1"/>
    <col min="2579" max="2579" width="12" style="269" customWidth="1"/>
    <col min="2580" max="2607" width="9.140625" style="269" customWidth="1"/>
    <col min="2608" max="2817" width="9.140625" style="269"/>
    <col min="2818" max="2818" width="7.140625" style="269" customWidth="1"/>
    <col min="2819" max="2819" width="79" style="269" customWidth="1"/>
    <col min="2820" max="2820" width="15.140625" style="269" customWidth="1"/>
    <col min="2821" max="2821" width="15.42578125" style="269" customWidth="1"/>
    <col min="2822" max="2822" width="9.85546875" style="269" customWidth="1"/>
    <col min="2823" max="2823" width="13.140625" style="269" customWidth="1"/>
    <col min="2824" max="2825" width="9.5703125" style="269" customWidth="1"/>
    <col min="2826" max="2826" width="12.85546875" style="269" customWidth="1"/>
    <col min="2827" max="2827" width="9.7109375" style="269" customWidth="1"/>
    <col min="2828" max="2828" width="12.7109375" style="269" customWidth="1"/>
    <col min="2829" max="2829" width="10.42578125" style="269" customWidth="1"/>
    <col min="2830" max="2830" width="13.5703125" style="269" customWidth="1"/>
    <col min="2831" max="2831" width="10.42578125" style="269" customWidth="1"/>
    <col min="2832" max="2832" width="12.85546875" style="269" customWidth="1"/>
    <col min="2833" max="2833" width="10.42578125" style="269" customWidth="1"/>
    <col min="2834" max="2834" width="9.140625" style="269" customWidth="1"/>
    <col min="2835" max="2835" width="12" style="269" customWidth="1"/>
    <col min="2836" max="2863" width="9.140625" style="269" customWidth="1"/>
    <col min="2864" max="3073" width="9.140625" style="269"/>
    <col min="3074" max="3074" width="7.140625" style="269" customWidth="1"/>
    <col min="3075" max="3075" width="79" style="269" customWidth="1"/>
    <col min="3076" max="3076" width="15.140625" style="269" customWidth="1"/>
    <col min="3077" max="3077" width="15.42578125" style="269" customWidth="1"/>
    <col min="3078" max="3078" width="9.85546875" style="269" customWidth="1"/>
    <col min="3079" max="3079" width="13.140625" style="269" customWidth="1"/>
    <col min="3080" max="3081" width="9.5703125" style="269" customWidth="1"/>
    <col min="3082" max="3082" width="12.85546875" style="269" customWidth="1"/>
    <col min="3083" max="3083" width="9.7109375" style="269" customWidth="1"/>
    <col min="3084" max="3084" width="12.7109375" style="269" customWidth="1"/>
    <col min="3085" max="3085" width="10.42578125" style="269" customWidth="1"/>
    <col min="3086" max="3086" width="13.5703125" style="269" customWidth="1"/>
    <col min="3087" max="3087" width="10.42578125" style="269" customWidth="1"/>
    <col min="3088" max="3088" width="12.85546875" style="269" customWidth="1"/>
    <col min="3089" max="3089" width="10.42578125" style="269" customWidth="1"/>
    <col min="3090" max="3090" width="9.140625" style="269" customWidth="1"/>
    <col min="3091" max="3091" width="12" style="269" customWidth="1"/>
    <col min="3092" max="3119" width="9.140625" style="269" customWidth="1"/>
    <col min="3120" max="3329" width="9.140625" style="269"/>
    <col min="3330" max="3330" width="7.140625" style="269" customWidth="1"/>
    <col min="3331" max="3331" width="79" style="269" customWidth="1"/>
    <col min="3332" max="3332" width="15.140625" style="269" customWidth="1"/>
    <col min="3333" max="3333" width="15.42578125" style="269" customWidth="1"/>
    <col min="3334" max="3334" width="9.85546875" style="269" customWidth="1"/>
    <col min="3335" max="3335" width="13.140625" style="269" customWidth="1"/>
    <col min="3336" max="3337" width="9.5703125" style="269" customWidth="1"/>
    <col min="3338" max="3338" width="12.85546875" style="269" customWidth="1"/>
    <col min="3339" max="3339" width="9.7109375" style="269" customWidth="1"/>
    <col min="3340" max="3340" width="12.7109375" style="269" customWidth="1"/>
    <col min="3341" max="3341" width="10.42578125" style="269" customWidth="1"/>
    <col min="3342" max="3342" width="13.5703125" style="269" customWidth="1"/>
    <col min="3343" max="3343" width="10.42578125" style="269" customWidth="1"/>
    <col min="3344" max="3344" width="12.85546875" style="269" customWidth="1"/>
    <col min="3345" max="3345" width="10.42578125" style="269" customWidth="1"/>
    <col min="3346" max="3346" width="9.140625" style="269" customWidth="1"/>
    <col min="3347" max="3347" width="12" style="269" customWidth="1"/>
    <col min="3348" max="3375" width="9.140625" style="269" customWidth="1"/>
    <col min="3376" max="3585" width="9.140625" style="269"/>
    <col min="3586" max="3586" width="7.140625" style="269" customWidth="1"/>
    <col min="3587" max="3587" width="79" style="269" customWidth="1"/>
    <col min="3588" max="3588" width="15.140625" style="269" customWidth="1"/>
    <col min="3589" max="3589" width="15.42578125" style="269" customWidth="1"/>
    <col min="3590" max="3590" width="9.85546875" style="269" customWidth="1"/>
    <col min="3591" max="3591" width="13.140625" style="269" customWidth="1"/>
    <col min="3592" max="3593" width="9.5703125" style="269" customWidth="1"/>
    <col min="3594" max="3594" width="12.85546875" style="269" customWidth="1"/>
    <col min="3595" max="3595" width="9.7109375" style="269" customWidth="1"/>
    <col min="3596" max="3596" width="12.7109375" style="269" customWidth="1"/>
    <col min="3597" max="3597" width="10.42578125" style="269" customWidth="1"/>
    <col min="3598" max="3598" width="13.5703125" style="269" customWidth="1"/>
    <col min="3599" max="3599" width="10.42578125" style="269" customWidth="1"/>
    <col min="3600" max="3600" width="12.85546875" style="269" customWidth="1"/>
    <col min="3601" max="3601" width="10.42578125" style="269" customWidth="1"/>
    <col min="3602" max="3602" width="9.140625" style="269" customWidth="1"/>
    <col min="3603" max="3603" width="12" style="269" customWidth="1"/>
    <col min="3604" max="3631" width="9.140625" style="269" customWidth="1"/>
    <col min="3632" max="3841" width="9.140625" style="269"/>
    <col min="3842" max="3842" width="7.140625" style="269" customWidth="1"/>
    <col min="3843" max="3843" width="79" style="269" customWidth="1"/>
    <col min="3844" max="3844" width="15.140625" style="269" customWidth="1"/>
    <col min="3845" max="3845" width="15.42578125" style="269" customWidth="1"/>
    <col min="3846" max="3846" width="9.85546875" style="269" customWidth="1"/>
    <col min="3847" max="3847" width="13.140625" style="269" customWidth="1"/>
    <col min="3848" max="3849" width="9.5703125" style="269" customWidth="1"/>
    <col min="3850" max="3850" width="12.85546875" style="269" customWidth="1"/>
    <col min="3851" max="3851" width="9.7109375" style="269" customWidth="1"/>
    <col min="3852" max="3852" width="12.7109375" style="269" customWidth="1"/>
    <col min="3853" max="3853" width="10.42578125" style="269" customWidth="1"/>
    <col min="3854" max="3854" width="13.5703125" style="269" customWidth="1"/>
    <col min="3855" max="3855" width="10.42578125" style="269" customWidth="1"/>
    <col min="3856" max="3856" width="12.85546875" style="269" customWidth="1"/>
    <col min="3857" max="3857" width="10.42578125" style="269" customWidth="1"/>
    <col min="3858" max="3858" width="9.140625" style="269" customWidth="1"/>
    <col min="3859" max="3859" width="12" style="269" customWidth="1"/>
    <col min="3860" max="3887" width="9.140625" style="269" customWidth="1"/>
    <col min="3888" max="4097" width="9.140625" style="269"/>
    <col min="4098" max="4098" width="7.140625" style="269" customWidth="1"/>
    <col min="4099" max="4099" width="79" style="269" customWidth="1"/>
    <col min="4100" max="4100" width="15.140625" style="269" customWidth="1"/>
    <col min="4101" max="4101" width="15.42578125" style="269" customWidth="1"/>
    <col min="4102" max="4102" width="9.85546875" style="269" customWidth="1"/>
    <col min="4103" max="4103" width="13.140625" style="269" customWidth="1"/>
    <col min="4104" max="4105" width="9.5703125" style="269" customWidth="1"/>
    <col min="4106" max="4106" width="12.85546875" style="269" customWidth="1"/>
    <col min="4107" max="4107" width="9.7109375" style="269" customWidth="1"/>
    <col min="4108" max="4108" width="12.7109375" style="269" customWidth="1"/>
    <col min="4109" max="4109" width="10.42578125" style="269" customWidth="1"/>
    <col min="4110" max="4110" width="13.5703125" style="269" customWidth="1"/>
    <col min="4111" max="4111" width="10.42578125" style="269" customWidth="1"/>
    <col min="4112" max="4112" width="12.85546875" style="269" customWidth="1"/>
    <col min="4113" max="4113" width="10.42578125" style="269" customWidth="1"/>
    <col min="4114" max="4114" width="9.140625" style="269" customWidth="1"/>
    <col min="4115" max="4115" width="12" style="269" customWidth="1"/>
    <col min="4116" max="4143" width="9.140625" style="269" customWidth="1"/>
    <col min="4144" max="4353" width="9.140625" style="269"/>
    <col min="4354" max="4354" width="7.140625" style="269" customWidth="1"/>
    <col min="4355" max="4355" width="79" style="269" customWidth="1"/>
    <col min="4356" max="4356" width="15.140625" style="269" customWidth="1"/>
    <col min="4357" max="4357" width="15.42578125" style="269" customWidth="1"/>
    <col min="4358" max="4358" width="9.85546875" style="269" customWidth="1"/>
    <col min="4359" max="4359" width="13.140625" style="269" customWidth="1"/>
    <col min="4360" max="4361" width="9.5703125" style="269" customWidth="1"/>
    <col min="4362" max="4362" width="12.85546875" style="269" customWidth="1"/>
    <col min="4363" max="4363" width="9.7109375" style="269" customWidth="1"/>
    <col min="4364" max="4364" width="12.7109375" style="269" customWidth="1"/>
    <col min="4365" max="4365" width="10.42578125" style="269" customWidth="1"/>
    <col min="4366" max="4366" width="13.5703125" style="269" customWidth="1"/>
    <col min="4367" max="4367" width="10.42578125" style="269" customWidth="1"/>
    <col min="4368" max="4368" width="12.85546875" style="269" customWidth="1"/>
    <col min="4369" max="4369" width="10.42578125" style="269" customWidth="1"/>
    <col min="4370" max="4370" width="9.140625" style="269" customWidth="1"/>
    <col min="4371" max="4371" width="12" style="269" customWidth="1"/>
    <col min="4372" max="4399" width="9.140625" style="269" customWidth="1"/>
    <col min="4400" max="4609" width="9.140625" style="269"/>
    <col min="4610" max="4610" width="7.140625" style="269" customWidth="1"/>
    <col min="4611" max="4611" width="79" style="269" customWidth="1"/>
    <col min="4612" max="4612" width="15.140625" style="269" customWidth="1"/>
    <col min="4613" max="4613" width="15.42578125" style="269" customWidth="1"/>
    <col min="4614" max="4614" width="9.85546875" style="269" customWidth="1"/>
    <col min="4615" max="4615" width="13.140625" style="269" customWidth="1"/>
    <col min="4616" max="4617" width="9.5703125" style="269" customWidth="1"/>
    <col min="4618" max="4618" width="12.85546875" style="269" customWidth="1"/>
    <col min="4619" max="4619" width="9.7109375" style="269" customWidth="1"/>
    <col min="4620" max="4620" width="12.7109375" style="269" customWidth="1"/>
    <col min="4621" max="4621" width="10.42578125" style="269" customWidth="1"/>
    <col min="4622" max="4622" width="13.5703125" style="269" customWidth="1"/>
    <col min="4623" max="4623" width="10.42578125" style="269" customWidth="1"/>
    <col min="4624" max="4624" width="12.85546875" style="269" customWidth="1"/>
    <col min="4625" max="4625" width="10.42578125" style="269" customWidth="1"/>
    <col min="4626" max="4626" width="9.140625" style="269" customWidth="1"/>
    <col min="4627" max="4627" width="12" style="269" customWidth="1"/>
    <col min="4628" max="4655" width="9.140625" style="269" customWidth="1"/>
    <col min="4656" max="4865" width="9.140625" style="269"/>
    <col min="4866" max="4866" width="7.140625" style="269" customWidth="1"/>
    <col min="4867" max="4867" width="79" style="269" customWidth="1"/>
    <col min="4868" max="4868" width="15.140625" style="269" customWidth="1"/>
    <col min="4869" max="4869" width="15.42578125" style="269" customWidth="1"/>
    <col min="4870" max="4870" width="9.85546875" style="269" customWidth="1"/>
    <col min="4871" max="4871" width="13.140625" style="269" customWidth="1"/>
    <col min="4872" max="4873" width="9.5703125" style="269" customWidth="1"/>
    <col min="4874" max="4874" width="12.85546875" style="269" customWidth="1"/>
    <col min="4875" max="4875" width="9.7109375" style="269" customWidth="1"/>
    <col min="4876" max="4876" width="12.7109375" style="269" customWidth="1"/>
    <col min="4877" max="4877" width="10.42578125" style="269" customWidth="1"/>
    <col min="4878" max="4878" width="13.5703125" style="269" customWidth="1"/>
    <col min="4879" max="4879" width="10.42578125" style="269" customWidth="1"/>
    <col min="4880" max="4880" width="12.85546875" style="269" customWidth="1"/>
    <col min="4881" max="4881" width="10.42578125" style="269" customWidth="1"/>
    <col min="4882" max="4882" width="9.140625" style="269" customWidth="1"/>
    <col min="4883" max="4883" width="12" style="269" customWidth="1"/>
    <col min="4884" max="4911" width="9.140625" style="269" customWidth="1"/>
    <col min="4912" max="5121" width="9.140625" style="269"/>
    <col min="5122" max="5122" width="7.140625" style="269" customWidth="1"/>
    <col min="5123" max="5123" width="79" style="269" customWidth="1"/>
    <col min="5124" max="5124" width="15.140625" style="269" customWidth="1"/>
    <col min="5125" max="5125" width="15.42578125" style="269" customWidth="1"/>
    <col min="5126" max="5126" width="9.85546875" style="269" customWidth="1"/>
    <col min="5127" max="5127" width="13.140625" style="269" customWidth="1"/>
    <col min="5128" max="5129" width="9.5703125" style="269" customWidth="1"/>
    <col min="5130" max="5130" width="12.85546875" style="269" customWidth="1"/>
    <col min="5131" max="5131" width="9.7109375" style="269" customWidth="1"/>
    <col min="5132" max="5132" width="12.7109375" style="269" customWidth="1"/>
    <col min="5133" max="5133" width="10.42578125" style="269" customWidth="1"/>
    <col min="5134" max="5134" width="13.5703125" style="269" customWidth="1"/>
    <col min="5135" max="5135" width="10.42578125" style="269" customWidth="1"/>
    <col min="5136" max="5136" width="12.85546875" style="269" customWidth="1"/>
    <col min="5137" max="5137" width="10.42578125" style="269" customWidth="1"/>
    <col min="5138" max="5138" width="9.140625" style="269" customWidth="1"/>
    <col min="5139" max="5139" width="12" style="269" customWidth="1"/>
    <col min="5140" max="5167" width="9.140625" style="269" customWidth="1"/>
    <col min="5168" max="5377" width="9.140625" style="269"/>
    <col min="5378" max="5378" width="7.140625" style="269" customWidth="1"/>
    <col min="5379" max="5379" width="79" style="269" customWidth="1"/>
    <col min="5380" max="5380" width="15.140625" style="269" customWidth="1"/>
    <col min="5381" max="5381" width="15.42578125" style="269" customWidth="1"/>
    <col min="5382" max="5382" width="9.85546875" style="269" customWidth="1"/>
    <col min="5383" max="5383" width="13.140625" style="269" customWidth="1"/>
    <col min="5384" max="5385" width="9.5703125" style="269" customWidth="1"/>
    <col min="5386" max="5386" width="12.85546875" style="269" customWidth="1"/>
    <col min="5387" max="5387" width="9.7109375" style="269" customWidth="1"/>
    <col min="5388" max="5388" width="12.7109375" style="269" customWidth="1"/>
    <col min="5389" max="5389" width="10.42578125" style="269" customWidth="1"/>
    <col min="5390" max="5390" width="13.5703125" style="269" customWidth="1"/>
    <col min="5391" max="5391" width="10.42578125" style="269" customWidth="1"/>
    <col min="5392" max="5392" width="12.85546875" style="269" customWidth="1"/>
    <col min="5393" max="5393" width="10.42578125" style="269" customWidth="1"/>
    <col min="5394" max="5394" width="9.140625" style="269" customWidth="1"/>
    <col min="5395" max="5395" width="12" style="269" customWidth="1"/>
    <col min="5396" max="5423" width="9.140625" style="269" customWidth="1"/>
    <col min="5424" max="5633" width="9.140625" style="269"/>
    <col min="5634" max="5634" width="7.140625" style="269" customWidth="1"/>
    <col min="5635" max="5635" width="79" style="269" customWidth="1"/>
    <col min="5636" max="5636" width="15.140625" style="269" customWidth="1"/>
    <col min="5637" max="5637" width="15.42578125" style="269" customWidth="1"/>
    <col min="5638" max="5638" width="9.85546875" style="269" customWidth="1"/>
    <col min="5639" max="5639" width="13.140625" style="269" customWidth="1"/>
    <col min="5640" max="5641" width="9.5703125" style="269" customWidth="1"/>
    <col min="5642" max="5642" width="12.85546875" style="269" customWidth="1"/>
    <col min="5643" max="5643" width="9.7109375" style="269" customWidth="1"/>
    <col min="5644" max="5644" width="12.7109375" style="269" customWidth="1"/>
    <col min="5645" max="5645" width="10.42578125" style="269" customWidth="1"/>
    <col min="5646" max="5646" width="13.5703125" style="269" customWidth="1"/>
    <col min="5647" max="5647" width="10.42578125" style="269" customWidth="1"/>
    <col min="5648" max="5648" width="12.85546875" style="269" customWidth="1"/>
    <col min="5649" max="5649" width="10.42578125" style="269" customWidth="1"/>
    <col min="5650" max="5650" width="9.140625" style="269" customWidth="1"/>
    <col min="5651" max="5651" width="12" style="269" customWidth="1"/>
    <col min="5652" max="5679" width="9.140625" style="269" customWidth="1"/>
    <col min="5680" max="5889" width="9.140625" style="269"/>
    <col min="5890" max="5890" width="7.140625" style="269" customWidth="1"/>
    <col min="5891" max="5891" width="79" style="269" customWidth="1"/>
    <col min="5892" max="5892" width="15.140625" style="269" customWidth="1"/>
    <col min="5893" max="5893" width="15.42578125" style="269" customWidth="1"/>
    <col min="5894" max="5894" width="9.85546875" style="269" customWidth="1"/>
    <col min="5895" max="5895" width="13.140625" style="269" customWidth="1"/>
    <col min="5896" max="5897" width="9.5703125" style="269" customWidth="1"/>
    <col min="5898" max="5898" width="12.85546875" style="269" customWidth="1"/>
    <col min="5899" max="5899" width="9.7109375" style="269" customWidth="1"/>
    <col min="5900" max="5900" width="12.7109375" style="269" customWidth="1"/>
    <col min="5901" max="5901" width="10.42578125" style="269" customWidth="1"/>
    <col min="5902" max="5902" width="13.5703125" style="269" customWidth="1"/>
    <col min="5903" max="5903" width="10.42578125" style="269" customWidth="1"/>
    <col min="5904" max="5904" width="12.85546875" style="269" customWidth="1"/>
    <col min="5905" max="5905" width="10.42578125" style="269" customWidth="1"/>
    <col min="5906" max="5906" width="9.140625" style="269" customWidth="1"/>
    <col min="5907" max="5907" width="12" style="269" customWidth="1"/>
    <col min="5908" max="5935" width="9.140625" style="269" customWidth="1"/>
    <col min="5936" max="6145" width="9.140625" style="269"/>
    <col min="6146" max="6146" width="7.140625" style="269" customWidth="1"/>
    <col min="6147" max="6147" width="79" style="269" customWidth="1"/>
    <col min="6148" max="6148" width="15.140625" style="269" customWidth="1"/>
    <col min="6149" max="6149" width="15.42578125" style="269" customWidth="1"/>
    <col min="6150" max="6150" width="9.85546875" style="269" customWidth="1"/>
    <col min="6151" max="6151" width="13.140625" style="269" customWidth="1"/>
    <col min="6152" max="6153" width="9.5703125" style="269" customWidth="1"/>
    <col min="6154" max="6154" width="12.85546875" style="269" customWidth="1"/>
    <col min="6155" max="6155" width="9.7109375" style="269" customWidth="1"/>
    <col min="6156" max="6156" width="12.7109375" style="269" customWidth="1"/>
    <col min="6157" max="6157" width="10.42578125" style="269" customWidth="1"/>
    <col min="6158" max="6158" width="13.5703125" style="269" customWidth="1"/>
    <col min="6159" max="6159" width="10.42578125" style="269" customWidth="1"/>
    <col min="6160" max="6160" width="12.85546875" style="269" customWidth="1"/>
    <col min="6161" max="6161" width="10.42578125" style="269" customWidth="1"/>
    <col min="6162" max="6162" width="9.140625" style="269" customWidth="1"/>
    <col min="6163" max="6163" width="12" style="269" customWidth="1"/>
    <col min="6164" max="6191" width="9.140625" style="269" customWidth="1"/>
    <col min="6192" max="6401" width="9.140625" style="269"/>
    <col min="6402" max="6402" width="7.140625" style="269" customWidth="1"/>
    <col min="6403" max="6403" width="79" style="269" customWidth="1"/>
    <col min="6404" max="6404" width="15.140625" style="269" customWidth="1"/>
    <col min="6405" max="6405" width="15.42578125" style="269" customWidth="1"/>
    <col min="6406" max="6406" width="9.85546875" style="269" customWidth="1"/>
    <col min="6407" max="6407" width="13.140625" style="269" customWidth="1"/>
    <col min="6408" max="6409" width="9.5703125" style="269" customWidth="1"/>
    <col min="6410" max="6410" width="12.85546875" style="269" customWidth="1"/>
    <col min="6411" max="6411" width="9.7109375" style="269" customWidth="1"/>
    <col min="6412" max="6412" width="12.7109375" style="269" customWidth="1"/>
    <col min="6413" max="6413" width="10.42578125" style="269" customWidth="1"/>
    <col min="6414" max="6414" width="13.5703125" style="269" customWidth="1"/>
    <col min="6415" max="6415" width="10.42578125" style="269" customWidth="1"/>
    <col min="6416" max="6416" width="12.85546875" style="269" customWidth="1"/>
    <col min="6417" max="6417" width="10.42578125" style="269" customWidth="1"/>
    <col min="6418" max="6418" width="9.140625" style="269" customWidth="1"/>
    <col min="6419" max="6419" width="12" style="269" customWidth="1"/>
    <col min="6420" max="6447" width="9.140625" style="269" customWidth="1"/>
    <col min="6448" max="6657" width="9.140625" style="269"/>
    <col min="6658" max="6658" width="7.140625" style="269" customWidth="1"/>
    <col min="6659" max="6659" width="79" style="269" customWidth="1"/>
    <col min="6660" max="6660" width="15.140625" style="269" customWidth="1"/>
    <col min="6661" max="6661" width="15.42578125" style="269" customWidth="1"/>
    <col min="6662" max="6662" width="9.85546875" style="269" customWidth="1"/>
    <col min="6663" max="6663" width="13.140625" style="269" customWidth="1"/>
    <col min="6664" max="6665" width="9.5703125" style="269" customWidth="1"/>
    <col min="6666" max="6666" width="12.85546875" style="269" customWidth="1"/>
    <col min="6667" max="6667" width="9.7109375" style="269" customWidth="1"/>
    <col min="6668" max="6668" width="12.7109375" style="269" customWidth="1"/>
    <col min="6669" max="6669" width="10.42578125" style="269" customWidth="1"/>
    <col min="6670" max="6670" width="13.5703125" style="269" customWidth="1"/>
    <col min="6671" max="6671" width="10.42578125" style="269" customWidth="1"/>
    <col min="6672" max="6672" width="12.85546875" style="269" customWidth="1"/>
    <col min="6673" max="6673" width="10.42578125" style="269" customWidth="1"/>
    <col min="6674" max="6674" width="9.140625" style="269" customWidth="1"/>
    <col min="6675" max="6675" width="12" style="269" customWidth="1"/>
    <col min="6676" max="6703" width="9.140625" style="269" customWidth="1"/>
    <col min="6704" max="6913" width="9.140625" style="269"/>
    <col min="6914" max="6914" width="7.140625" style="269" customWidth="1"/>
    <col min="6915" max="6915" width="79" style="269" customWidth="1"/>
    <col min="6916" max="6916" width="15.140625" style="269" customWidth="1"/>
    <col min="6917" max="6917" width="15.42578125" style="269" customWidth="1"/>
    <col min="6918" max="6918" width="9.85546875" style="269" customWidth="1"/>
    <col min="6919" max="6919" width="13.140625" style="269" customWidth="1"/>
    <col min="6920" max="6921" width="9.5703125" style="269" customWidth="1"/>
    <col min="6922" max="6922" width="12.85546875" style="269" customWidth="1"/>
    <col min="6923" max="6923" width="9.7109375" style="269" customWidth="1"/>
    <col min="6924" max="6924" width="12.7109375" style="269" customWidth="1"/>
    <col min="6925" max="6925" width="10.42578125" style="269" customWidth="1"/>
    <col min="6926" max="6926" width="13.5703125" style="269" customWidth="1"/>
    <col min="6927" max="6927" width="10.42578125" style="269" customWidth="1"/>
    <col min="6928" max="6928" width="12.85546875" style="269" customWidth="1"/>
    <col min="6929" max="6929" width="10.42578125" style="269" customWidth="1"/>
    <col min="6930" max="6930" width="9.140625" style="269" customWidth="1"/>
    <col min="6931" max="6931" width="12" style="269" customWidth="1"/>
    <col min="6932" max="6959" width="9.140625" style="269" customWidth="1"/>
    <col min="6960" max="7169" width="9.140625" style="269"/>
    <col min="7170" max="7170" width="7.140625" style="269" customWidth="1"/>
    <col min="7171" max="7171" width="79" style="269" customWidth="1"/>
    <col min="7172" max="7172" width="15.140625" style="269" customWidth="1"/>
    <col min="7173" max="7173" width="15.42578125" style="269" customWidth="1"/>
    <col min="7174" max="7174" width="9.85546875" style="269" customWidth="1"/>
    <col min="7175" max="7175" width="13.140625" style="269" customWidth="1"/>
    <col min="7176" max="7177" width="9.5703125" style="269" customWidth="1"/>
    <col min="7178" max="7178" width="12.85546875" style="269" customWidth="1"/>
    <col min="7179" max="7179" width="9.7109375" style="269" customWidth="1"/>
    <col min="7180" max="7180" width="12.7109375" style="269" customWidth="1"/>
    <col min="7181" max="7181" width="10.42578125" style="269" customWidth="1"/>
    <col min="7182" max="7182" width="13.5703125" style="269" customWidth="1"/>
    <col min="7183" max="7183" width="10.42578125" style="269" customWidth="1"/>
    <col min="7184" max="7184" width="12.85546875" style="269" customWidth="1"/>
    <col min="7185" max="7185" width="10.42578125" style="269" customWidth="1"/>
    <col min="7186" max="7186" width="9.140625" style="269" customWidth="1"/>
    <col min="7187" max="7187" width="12" style="269" customWidth="1"/>
    <col min="7188" max="7215" width="9.140625" style="269" customWidth="1"/>
    <col min="7216" max="7425" width="9.140625" style="269"/>
    <col min="7426" max="7426" width="7.140625" style="269" customWidth="1"/>
    <col min="7427" max="7427" width="79" style="269" customWidth="1"/>
    <col min="7428" max="7428" width="15.140625" style="269" customWidth="1"/>
    <col min="7429" max="7429" width="15.42578125" style="269" customWidth="1"/>
    <col min="7430" max="7430" width="9.85546875" style="269" customWidth="1"/>
    <col min="7431" max="7431" width="13.140625" style="269" customWidth="1"/>
    <col min="7432" max="7433" width="9.5703125" style="269" customWidth="1"/>
    <col min="7434" max="7434" width="12.85546875" style="269" customWidth="1"/>
    <col min="7435" max="7435" width="9.7109375" style="269" customWidth="1"/>
    <col min="7436" max="7436" width="12.7109375" style="269" customWidth="1"/>
    <col min="7437" max="7437" width="10.42578125" style="269" customWidth="1"/>
    <col min="7438" max="7438" width="13.5703125" style="269" customWidth="1"/>
    <col min="7439" max="7439" width="10.42578125" style="269" customWidth="1"/>
    <col min="7440" max="7440" width="12.85546875" style="269" customWidth="1"/>
    <col min="7441" max="7441" width="10.42578125" style="269" customWidth="1"/>
    <col min="7442" max="7442" width="9.140625" style="269" customWidth="1"/>
    <col min="7443" max="7443" width="12" style="269" customWidth="1"/>
    <col min="7444" max="7471" width="9.140625" style="269" customWidth="1"/>
    <col min="7472" max="7681" width="9.140625" style="269"/>
    <col min="7682" max="7682" width="7.140625" style="269" customWidth="1"/>
    <col min="7683" max="7683" width="79" style="269" customWidth="1"/>
    <col min="7684" max="7684" width="15.140625" style="269" customWidth="1"/>
    <col min="7685" max="7685" width="15.42578125" style="269" customWidth="1"/>
    <col min="7686" max="7686" width="9.85546875" style="269" customWidth="1"/>
    <col min="7687" max="7687" width="13.140625" style="269" customWidth="1"/>
    <col min="7688" max="7689" width="9.5703125" style="269" customWidth="1"/>
    <col min="7690" max="7690" width="12.85546875" style="269" customWidth="1"/>
    <col min="7691" max="7691" width="9.7109375" style="269" customWidth="1"/>
    <col min="7692" max="7692" width="12.7109375" style="269" customWidth="1"/>
    <col min="7693" max="7693" width="10.42578125" style="269" customWidth="1"/>
    <col min="7694" max="7694" width="13.5703125" style="269" customWidth="1"/>
    <col min="7695" max="7695" width="10.42578125" style="269" customWidth="1"/>
    <col min="7696" max="7696" width="12.85546875" style="269" customWidth="1"/>
    <col min="7697" max="7697" width="10.42578125" style="269" customWidth="1"/>
    <col min="7698" max="7698" width="9.140625" style="269" customWidth="1"/>
    <col min="7699" max="7699" width="12" style="269" customWidth="1"/>
    <col min="7700" max="7727" width="9.140625" style="269" customWidth="1"/>
    <col min="7728" max="7937" width="9.140625" style="269"/>
    <col min="7938" max="7938" width="7.140625" style="269" customWidth="1"/>
    <col min="7939" max="7939" width="79" style="269" customWidth="1"/>
    <col min="7940" max="7940" width="15.140625" style="269" customWidth="1"/>
    <col min="7941" max="7941" width="15.42578125" style="269" customWidth="1"/>
    <col min="7942" max="7942" width="9.85546875" style="269" customWidth="1"/>
    <col min="7943" max="7943" width="13.140625" style="269" customWidth="1"/>
    <col min="7944" max="7945" width="9.5703125" style="269" customWidth="1"/>
    <col min="7946" max="7946" width="12.85546875" style="269" customWidth="1"/>
    <col min="7947" max="7947" width="9.7109375" style="269" customWidth="1"/>
    <col min="7948" max="7948" width="12.7109375" style="269" customWidth="1"/>
    <col min="7949" max="7949" width="10.42578125" style="269" customWidth="1"/>
    <col min="7950" max="7950" width="13.5703125" style="269" customWidth="1"/>
    <col min="7951" max="7951" width="10.42578125" style="269" customWidth="1"/>
    <col min="7952" max="7952" width="12.85546875" style="269" customWidth="1"/>
    <col min="7953" max="7953" width="10.42578125" style="269" customWidth="1"/>
    <col min="7954" max="7954" width="9.140625" style="269" customWidth="1"/>
    <col min="7955" max="7955" width="12" style="269" customWidth="1"/>
    <col min="7956" max="7983" width="9.140625" style="269" customWidth="1"/>
    <col min="7984" max="8193" width="9.140625" style="269"/>
    <col min="8194" max="8194" width="7.140625" style="269" customWidth="1"/>
    <col min="8195" max="8195" width="79" style="269" customWidth="1"/>
    <col min="8196" max="8196" width="15.140625" style="269" customWidth="1"/>
    <col min="8197" max="8197" width="15.42578125" style="269" customWidth="1"/>
    <col min="8198" max="8198" width="9.85546875" style="269" customWidth="1"/>
    <col min="8199" max="8199" width="13.140625" style="269" customWidth="1"/>
    <col min="8200" max="8201" width="9.5703125" style="269" customWidth="1"/>
    <col min="8202" max="8202" width="12.85546875" style="269" customWidth="1"/>
    <col min="8203" max="8203" width="9.7109375" style="269" customWidth="1"/>
    <col min="8204" max="8204" width="12.7109375" style="269" customWidth="1"/>
    <col min="8205" max="8205" width="10.42578125" style="269" customWidth="1"/>
    <col min="8206" max="8206" width="13.5703125" style="269" customWidth="1"/>
    <col min="8207" max="8207" width="10.42578125" style="269" customWidth="1"/>
    <col min="8208" max="8208" width="12.85546875" style="269" customWidth="1"/>
    <col min="8209" max="8209" width="10.42578125" style="269" customWidth="1"/>
    <col min="8210" max="8210" width="9.140625" style="269" customWidth="1"/>
    <col min="8211" max="8211" width="12" style="269" customWidth="1"/>
    <col min="8212" max="8239" width="9.140625" style="269" customWidth="1"/>
    <col min="8240" max="8449" width="9.140625" style="269"/>
    <col min="8450" max="8450" width="7.140625" style="269" customWidth="1"/>
    <col min="8451" max="8451" width="79" style="269" customWidth="1"/>
    <col min="8452" max="8452" width="15.140625" style="269" customWidth="1"/>
    <col min="8453" max="8453" width="15.42578125" style="269" customWidth="1"/>
    <col min="8454" max="8454" width="9.85546875" style="269" customWidth="1"/>
    <col min="8455" max="8455" width="13.140625" style="269" customWidth="1"/>
    <col min="8456" max="8457" width="9.5703125" style="269" customWidth="1"/>
    <col min="8458" max="8458" width="12.85546875" style="269" customWidth="1"/>
    <col min="8459" max="8459" width="9.7109375" style="269" customWidth="1"/>
    <col min="8460" max="8460" width="12.7109375" style="269" customWidth="1"/>
    <col min="8461" max="8461" width="10.42578125" style="269" customWidth="1"/>
    <col min="8462" max="8462" width="13.5703125" style="269" customWidth="1"/>
    <col min="8463" max="8463" width="10.42578125" style="269" customWidth="1"/>
    <col min="8464" max="8464" width="12.85546875" style="269" customWidth="1"/>
    <col min="8465" max="8465" width="10.42578125" style="269" customWidth="1"/>
    <col min="8466" max="8466" width="9.140625" style="269" customWidth="1"/>
    <col min="8467" max="8467" width="12" style="269" customWidth="1"/>
    <col min="8468" max="8495" width="9.140625" style="269" customWidth="1"/>
    <col min="8496" max="8705" width="9.140625" style="269"/>
    <col min="8706" max="8706" width="7.140625" style="269" customWidth="1"/>
    <col min="8707" max="8707" width="79" style="269" customWidth="1"/>
    <col min="8708" max="8708" width="15.140625" style="269" customWidth="1"/>
    <col min="8709" max="8709" width="15.42578125" style="269" customWidth="1"/>
    <col min="8710" max="8710" width="9.85546875" style="269" customWidth="1"/>
    <col min="8711" max="8711" width="13.140625" style="269" customWidth="1"/>
    <col min="8712" max="8713" width="9.5703125" style="269" customWidth="1"/>
    <col min="8714" max="8714" width="12.85546875" style="269" customWidth="1"/>
    <col min="8715" max="8715" width="9.7109375" style="269" customWidth="1"/>
    <col min="8716" max="8716" width="12.7109375" style="269" customWidth="1"/>
    <col min="8717" max="8717" width="10.42578125" style="269" customWidth="1"/>
    <col min="8718" max="8718" width="13.5703125" style="269" customWidth="1"/>
    <col min="8719" max="8719" width="10.42578125" style="269" customWidth="1"/>
    <col min="8720" max="8720" width="12.85546875" style="269" customWidth="1"/>
    <col min="8721" max="8721" width="10.42578125" style="269" customWidth="1"/>
    <col min="8722" max="8722" width="9.140625" style="269" customWidth="1"/>
    <col min="8723" max="8723" width="12" style="269" customWidth="1"/>
    <col min="8724" max="8751" width="9.140625" style="269" customWidth="1"/>
    <col min="8752" max="8961" width="9.140625" style="269"/>
    <col min="8962" max="8962" width="7.140625" style="269" customWidth="1"/>
    <col min="8963" max="8963" width="79" style="269" customWidth="1"/>
    <col min="8964" max="8964" width="15.140625" style="269" customWidth="1"/>
    <col min="8965" max="8965" width="15.42578125" style="269" customWidth="1"/>
    <col min="8966" max="8966" width="9.85546875" style="269" customWidth="1"/>
    <col min="8967" max="8967" width="13.140625" style="269" customWidth="1"/>
    <col min="8968" max="8969" width="9.5703125" style="269" customWidth="1"/>
    <col min="8970" max="8970" width="12.85546875" style="269" customWidth="1"/>
    <col min="8971" max="8971" width="9.7109375" style="269" customWidth="1"/>
    <col min="8972" max="8972" width="12.7109375" style="269" customWidth="1"/>
    <col min="8973" max="8973" width="10.42578125" style="269" customWidth="1"/>
    <col min="8974" max="8974" width="13.5703125" style="269" customWidth="1"/>
    <col min="8975" max="8975" width="10.42578125" style="269" customWidth="1"/>
    <col min="8976" max="8976" width="12.85546875" style="269" customWidth="1"/>
    <col min="8977" max="8977" width="10.42578125" style="269" customWidth="1"/>
    <col min="8978" max="8978" width="9.140625" style="269" customWidth="1"/>
    <col min="8979" max="8979" width="12" style="269" customWidth="1"/>
    <col min="8980" max="9007" width="9.140625" style="269" customWidth="1"/>
    <col min="9008" max="9217" width="9.140625" style="269"/>
    <col min="9218" max="9218" width="7.140625" style="269" customWidth="1"/>
    <col min="9219" max="9219" width="79" style="269" customWidth="1"/>
    <col min="9220" max="9220" width="15.140625" style="269" customWidth="1"/>
    <col min="9221" max="9221" width="15.42578125" style="269" customWidth="1"/>
    <col min="9222" max="9222" width="9.85546875" style="269" customWidth="1"/>
    <col min="9223" max="9223" width="13.140625" style="269" customWidth="1"/>
    <col min="9224" max="9225" width="9.5703125" style="269" customWidth="1"/>
    <col min="9226" max="9226" width="12.85546875" style="269" customWidth="1"/>
    <col min="9227" max="9227" width="9.7109375" style="269" customWidth="1"/>
    <col min="9228" max="9228" width="12.7109375" style="269" customWidth="1"/>
    <col min="9229" max="9229" width="10.42578125" style="269" customWidth="1"/>
    <col min="9230" max="9230" width="13.5703125" style="269" customWidth="1"/>
    <col min="9231" max="9231" width="10.42578125" style="269" customWidth="1"/>
    <col min="9232" max="9232" width="12.85546875" style="269" customWidth="1"/>
    <col min="9233" max="9233" width="10.42578125" style="269" customWidth="1"/>
    <col min="9234" max="9234" width="9.140625" style="269" customWidth="1"/>
    <col min="9235" max="9235" width="12" style="269" customWidth="1"/>
    <col min="9236" max="9263" width="9.140625" style="269" customWidth="1"/>
    <col min="9264" max="9473" width="9.140625" style="269"/>
    <col min="9474" max="9474" width="7.140625" style="269" customWidth="1"/>
    <col min="9475" max="9475" width="79" style="269" customWidth="1"/>
    <col min="9476" max="9476" width="15.140625" style="269" customWidth="1"/>
    <col min="9477" max="9477" width="15.42578125" style="269" customWidth="1"/>
    <col min="9478" max="9478" width="9.85546875" style="269" customWidth="1"/>
    <col min="9479" max="9479" width="13.140625" style="269" customWidth="1"/>
    <col min="9480" max="9481" width="9.5703125" style="269" customWidth="1"/>
    <col min="9482" max="9482" width="12.85546875" style="269" customWidth="1"/>
    <col min="9483" max="9483" width="9.7109375" style="269" customWidth="1"/>
    <col min="9484" max="9484" width="12.7109375" style="269" customWidth="1"/>
    <col min="9485" max="9485" width="10.42578125" style="269" customWidth="1"/>
    <col min="9486" max="9486" width="13.5703125" style="269" customWidth="1"/>
    <col min="9487" max="9487" width="10.42578125" style="269" customWidth="1"/>
    <col min="9488" max="9488" width="12.85546875" style="269" customWidth="1"/>
    <col min="9489" max="9489" width="10.42578125" style="269" customWidth="1"/>
    <col min="9490" max="9490" width="9.140625" style="269" customWidth="1"/>
    <col min="9491" max="9491" width="12" style="269" customWidth="1"/>
    <col min="9492" max="9519" width="9.140625" style="269" customWidth="1"/>
    <col min="9520" max="9729" width="9.140625" style="269"/>
    <col min="9730" max="9730" width="7.140625" style="269" customWidth="1"/>
    <col min="9731" max="9731" width="79" style="269" customWidth="1"/>
    <col min="9732" max="9732" width="15.140625" style="269" customWidth="1"/>
    <col min="9733" max="9733" width="15.42578125" style="269" customWidth="1"/>
    <col min="9734" max="9734" width="9.85546875" style="269" customWidth="1"/>
    <col min="9735" max="9735" width="13.140625" style="269" customWidth="1"/>
    <col min="9736" max="9737" width="9.5703125" style="269" customWidth="1"/>
    <col min="9738" max="9738" width="12.85546875" style="269" customWidth="1"/>
    <col min="9739" max="9739" width="9.7109375" style="269" customWidth="1"/>
    <col min="9740" max="9740" width="12.7109375" style="269" customWidth="1"/>
    <col min="9741" max="9741" width="10.42578125" style="269" customWidth="1"/>
    <col min="9742" max="9742" width="13.5703125" style="269" customWidth="1"/>
    <col min="9743" max="9743" width="10.42578125" style="269" customWidth="1"/>
    <col min="9744" max="9744" width="12.85546875" style="269" customWidth="1"/>
    <col min="9745" max="9745" width="10.42578125" style="269" customWidth="1"/>
    <col min="9746" max="9746" width="9.140625" style="269" customWidth="1"/>
    <col min="9747" max="9747" width="12" style="269" customWidth="1"/>
    <col min="9748" max="9775" width="9.140625" style="269" customWidth="1"/>
    <col min="9776" max="9985" width="9.140625" style="269"/>
    <col min="9986" max="9986" width="7.140625" style="269" customWidth="1"/>
    <col min="9987" max="9987" width="79" style="269" customWidth="1"/>
    <col min="9988" max="9988" width="15.140625" style="269" customWidth="1"/>
    <col min="9989" max="9989" width="15.42578125" style="269" customWidth="1"/>
    <col min="9990" max="9990" width="9.85546875" style="269" customWidth="1"/>
    <col min="9991" max="9991" width="13.140625" style="269" customWidth="1"/>
    <col min="9992" max="9993" width="9.5703125" style="269" customWidth="1"/>
    <col min="9994" max="9994" width="12.85546875" style="269" customWidth="1"/>
    <col min="9995" max="9995" width="9.7109375" style="269" customWidth="1"/>
    <col min="9996" max="9996" width="12.7109375" style="269" customWidth="1"/>
    <col min="9997" max="9997" width="10.42578125" style="269" customWidth="1"/>
    <col min="9998" max="9998" width="13.5703125" style="269" customWidth="1"/>
    <col min="9999" max="9999" width="10.42578125" style="269" customWidth="1"/>
    <col min="10000" max="10000" width="12.85546875" style="269" customWidth="1"/>
    <col min="10001" max="10001" width="10.42578125" style="269" customWidth="1"/>
    <col min="10002" max="10002" width="9.140625" style="269" customWidth="1"/>
    <col min="10003" max="10003" width="12" style="269" customWidth="1"/>
    <col min="10004" max="10031" width="9.140625" style="269" customWidth="1"/>
    <col min="10032" max="10241" width="9.140625" style="269"/>
    <col min="10242" max="10242" width="7.140625" style="269" customWidth="1"/>
    <col min="10243" max="10243" width="79" style="269" customWidth="1"/>
    <col min="10244" max="10244" width="15.140625" style="269" customWidth="1"/>
    <col min="10245" max="10245" width="15.42578125" style="269" customWidth="1"/>
    <col min="10246" max="10246" width="9.85546875" style="269" customWidth="1"/>
    <col min="10247" max="10247" width="13.140625" style="269" customWidth="1"/>
    <col min="10248" max="10249" width="9.5703125" style="269" customWidth="1"/>
    <col min="10250" max="10250" width="12.85546875" style="269" customWidth="1"/>
    <col min="10251" max="10251" width="9.7109375" style="269" customWidth="1"/>
    <col min="10252" max="10252" width="12.7109375" style="269" customWidth="1"/>
    <col min="10253" max="10253" width="10.42578125" style="269" customWidth="1"/>
    <col min="10254" max="10254" width="13.5703125" style="269" customWidth="1"/>
    <col min="10255" max="10255" width="10.42578125" style="269" customWidth="1"/>
    <col min="10256" max="10256" width="12.85546875" style="269" customWidth="1"/>
    <col min="10257" max="10257" width="10.42578125" style="269" customWidth="1"/>
    <col min="10258" max="10258" width="9.140625" style="269" customWidth="1"/>
    <col min="10259" max="10259" width="12" style="269" customWidth="1"/>
    <col min="10260" max="10287" width="9.140625" style="269" customWidth="1"/>
    <col min="10288" max="10497" width="9.140625" style="269"/>
    <col min="10498" max="10498" width="7.140625" style="269" customWidth="1"/>
    <col min="10499" max="10499" width="79" style="269" customWidth="1"/>
    <col min="10500" max="10500" width="15.140625" style="269" customWidth="1"/>
    <col min="10501" max="10501" width="15.42578125" style="269" customWidth="1"/>
    <col min="10502" max="10502" width="9.85546875" style="269" customWidth="1"/>
    <col min="10503" max="10503" width="13.140625" style="269" customWidth="1"/>
    <col min="10504" max="10505" width="9.5703125" style="269" customWidth="1"/>
    <col min="10506" max="10506" width="12.85546875" style="269" customWidth="1"/>
    <col min="10507" max="10507" width="9.7109375" style="269" customWidth="1"/>
    <col min="10508" max="10508" width="12.7109375" style="269" customWidth="1"/>
    <col min="10509" max="10509" width="10.42578125" style="269" customWidth="1"/>
    <col min="10510" max="10510" width="13.5703125" style="269" customWidth="1"/>
    <col min="10511" max="10511" width="10.42578125" style="269" customWidth="1"/>
    <col min="10512" max="10512" width="12.85546875" style="269" customWidth="1"/>
    <col min="10513" max="10513" width="10.42578125" style="269" customWidth="1"/>
    <col min="10514" max="10514" width="9.140625" style="269" customWidth="1"/>
    <col min="10515" max="10515" width="12" style="269" customWidth="1"/>
    <col min="10516" max="10543" width="9.140625" style="269" customWidth="1"/>
    <col min="10544" max="10753" width="9.140625" style="269"/>
    <col min="10754" max="10754" width="7.140625" style="269" customWidth="1"/>
    <col min="10755" max="10755" width="79" style="269" customWidth="1"/>
    <col min="10756" max="10756" width="15.140625" style="269" customWidth="1"/>
    <col min="10757" max="10757" width="15.42578125" style="269" customWidth="1"/>
    <col min="10758" max="10758" width="9.85546875" style="269" customWidth="1"/>
    <col min="10759" max="10759" width="13.140625" style="269" customWidth="1"/>
    <col min="10760" max="10761" width="9.5703125" style="269" customWidth="1"/>
    <col min="10762" max="10762" width="12.85546875" style="269" customWidth="1"/>
    <col min="10763" max="10763" width="9.7109375" style="269" customWidth="1"/>
    <col min="10764" max="10764" width="12.7109375" style="269" customWidth="1"/>
    <col min="10765" max="10765" width="10.42578125" style="269" customWidth="1"/>
    <col min="10766" max="10766" width="13.5703125" style="269" customWidth="1"/>
    <col min="10767" max="10767" width="10.42578125" style="269" customWidth="1"/>
    <col min="10768" max="10768" width="12.85546875" style="269" customWidth="1"/>
    <col min="10769" max="10769" width="10.42578125" style="269" customWidth="1"/>
    <col min="10770" max="10770" width="9.140625" style="269" customWidth="1"/>
    <col min="10771" max="10771" width="12" style="269" customWidth="1"/>
    <col min="10772" max="10799" width="9.140625" style="269" customWidth="1"/>
    <col min="10800" max="11009" width="9.140625" style="269"/>
    <col min="11010" max="11010" width="7.140625" style="269" customWidth="1"/>
    <col min="11011" max="11011" width="79" style="269" customWidth="1"/>
    <col min="11012" max="11012" width="15.140625" style="269" customWidth="1"/>
    <col min="11013" max="11013" width="15.42578125" style="269" customWidth="1"/>
    <col min="11014" max="11014" width="9.85546875" style="269" customWidth="1"/>
    <col min="11015" max="11015" width="13.140625" style="269" customWidth="1"/>
    <col min="11016" max="11017" width="9.5703125" style="269" customWidth="1"/>
    <col min="11018" max="11018" width="12.85546875" style="269" customWidth="1"/>
    <col min="11019" max="11019" width="9.7109375" style="269" customWidth="1"/>
    <col min="11020" max="11020" width="12.7109375" style="269" customWidth="1"/>
    <col min="11021" max="11021" width="10.42578125" style="269" customWidth="1"/>
    <col min="11022" max="11022" width="13.5703125" style="269" customWidth="1"/>
    <col min="11023" max="11023" width="10.42578125" style="269" customWidth="1"/>
    <col min="11024" max="11024" width="12.85546875" style="269" customWidth="1"/>
    <col min="11025" max="11025" width="10.42578125" style="269" customWidth="1"/>
    <col min="11026" max="11026" width="9.140625" style="269" customWidth="1"/>
    <col min="11027" max="11027" width="12" style="269" customWidth="1"/>
    <col min="11028" max="11055" width="9.140625" style="269" customWidth="1"/>
    <col min="11056" max="11265" width="9.140625" style="269"/>
    <col min="11266" max="11266" width="7.140625" style="269" customWidth="1"/>
    <col min="11267" max="11267" width="79" style="269" customWidth="1"/>
    <col min="11268" max="11268" width="15.140625" style="269" customWidth="1"/>
    <col min="11269" max="11269" width="15.42578125" style="269" customWidth="1"/>
    <col min="11270" max="11270" width="9.85546875" style="269" customWidth="1"/>
    <col min="11271" max="11271" width="13.140625" style="269" customWidth="1"/>
    <col min="11272" max="11273" width="9.5703125" style="269" customWidth="1"/>
    <col min="11274" max="11274" width="12.85546875" style="269" customWidth="1"/>
    <col min="11275" max="11275" width="9.7109375" style="269" customWidth="1"/>
    <col min="11276" max="11276" width="12.7109375" style="269" customWidth="1"/>
    <col min="11277" max="11277" width="10.42578125" style="269" customWidth="1"/>
    <col min="11278" max="11278" width="13.5703125" style="269" customWidth="1"/>
    <col min="11279" max="11279" width="10.42578125" style="269" customWidth="1"/>
    <col min="11280" max="11280" width="12.85546875" style="269" customWidth="1"/>
    <col min="11281" max="11281" width="10.42578125" style="269" customWidth="1"/>
    <col min="11282" max="11282" width="9.140625" style="269" customWidth="1"/>
    <col min="11283" max="11283" width="12" style="269" customWidth="1"/>
    <col min="11284" max="11311" width="9.140625" style="269" customWidth="1"/>
    <col min="11312" max="11521" width="9.140625" style="269"/>
    <col min="11522" max="11522" width="7.140625" style="269" customWidth="1"/>
    <col min="11523" max="11523" width="79" style="269" customWidth="1"/>
    <col min="11524" max="11524" width="15.140625" style="269" customWidth="1"/>
    <col min="11525" max="11525" width="15.42578125" style="269" customWidth="1"/>
    <col min="11526" max="11526" width="9.85546875" style="269" customWidth="1"/>
    <col min="11527" max="11527" width="13.140625" style="269" customWidth="1"/>
    <col min="11528" max="11529" width="9.5703125" style="269" customWidth="1"/>
    <col min="11530" max="11530" width="12.85546875" style="269" customWidth="1"/>
    <col min="11531" max="11531" width="9.7109375" style="269" customWidth="1"/>
    <col min="11532" max="11532" width="12.7109375" style="269" customWidth="1"/>
    <col min="11533" max="11533" width="10.42578125" style="269" customWidth="1"/>
    <col min="11534" max="11534" width="13.5703125" style="269" customWidth="1"/>
    <col min="11535" max="11535" width="10.42578125" style="269" customWidth="1"/>
    <col min="11536" max="11536" width="12.85546875" style="269" customWidth="1"/>
    <col min="11537" max="11537" width="10.42578125" style="269" customWidth="1"/>
    <col min="11538" max="11538" width="9.140625" style="269" customWidth="1"/>
    <col min="11539" max="11539" width="12" style="269" customWidth="1"/>
    <col min="11540" max="11567" width="9.140625" style="269" customWidth="1"/>
    <col min="11568" max="11777" width="9.140625" style="269"/>
    <col min="11778" max="11778" width="7.140625" style="269" customWidth="1"/>
    <col min="11779" max="11779" width="79" style="269" customWidth="1"/>
    <col min="11780" max="11780" width="15.140625" style="269" customWidth="1"/>
    <col min="11781" max="11781" width="15.42578125" style="269" customWidth="1"/>
    <col min="11782" max="11782" width="9.85546875" style="269" customWidth="1"/>
    <col min="11783" max="11783" width="13.140625" style="269" customWidth="1"/>
    <col min="11784" max="11785" width="9.5703125" style="269" customWidth="1"/>
    <col min="11786" max="11786" width="12.85546875" style="269" customWidth="1"/>
    <col min="11787" max="11787" width="9.7109375" style="269" customWidth="1"/>
    <col min="11788" max="11788" width="12.7109375" style="269" customWidth="1"/>
    <col min="11789" max="11789" width="10.42578125" style="269" customWidth="1"/>
    <col min="11790" max="11790" width="13.5703125" style="269" customWidth="1"/>
    <col min="11791" max="11791" width="10.42578125" style="269" customWidth="1"/>
    <col min="11792" max="11792" width="12.85546875" style="269" customWidth="1"/>
    <col min="11793" max="11793" width="10.42578125" style="269" customWidth="1"/>
    <col min="11794" max="11794" width="9.140625" style="269" customWidth="1"/>
    <col min="11795" max="11795" width="12" style="269" customWidth="1"/>
    <col min="11796" max="11823" width="9.140625" style="269" customWidth="1"/>
    <col min="11824" max="12033" width="9.140625" style="269"/>
    <col min="12034" max="12034" width="7.140625" style="269" customWidth="1"/>
    <col min="12035" max="12035" width="79" style="269" customWidth="1"/>
    <col min="12036" max="12036" width="15.140625" style="269" customWidth="1"/>
    <col min="12037" max="12037" width="15.42578125" style="269" customWidth="1"/>
    <col min="12038" max="12038" width="9.85546875" style="269" customWidth="1"/>
    <col min="12039" max="12039" width="13.140625" style="269" customWidth="1"/>
    <col min="12040" max="12041" width="9.5703125" style="269" customWidth="1"/>
    <col min="12042" max="12042" width="12.85546875" style="269" customWidth="1"/>
    <col min="12043" max="12043" width="9.7109375" style="269" customWidth="1"/>
    <col min="12044" max="12044" width="12.7109375" style="269" customWidth="1"/>
    <col min="12045" max="12045" width="10.42578125" style="269" customWidth="1"/>
    <col min="12046" max="12046" width="13.5703125" style="269" customWidth="1"/>
    <col min="12047" max="12047" width="10.42578125" style="269" customWidth="1"/>
    <col min="12048" max="12048" width="12.85546875" style="269" customWidth="1"/>
    <col min="12049" max="12049" width="10.42578125" style="269" customWidth="1"/>
    <col min="12050" max="12050" width="9.140625" style="269" customWidth="1"/>
    <col min="12051" max="12051" width="12" style="269" customWidth="1"/>
    <col min="12052" max="12079" width="9.140625" style="269" customWidth="1"/>
    <col min="12080" max="12289" width="9.140625" style="269"/>
    <col min="12290" max="12290" width="7.140625" style="269" customWidth="1"/>
    <col min="12291" max="12291" width="79" style="269" customWidth="1"/>
    <col min="12292" max="12292" width="15.140625" style="269" customWidth="1"/>
    <col min="12293" max="12293" width="15.42578125" style="269" customWidth="1"/>
    <col min="12294" max="12294" width="9.85546875" style="269" customWidth="1"/>
    <col min="12295" max="12295" width="13.140625" style="269" customWidth="1"/>
    <col min="12296" max="12297" width="9.5703125" style="269" customWidth="1"/>
    <col min="12298" max="12298" width="12.85546875" style="269" customWidth="1"/>
    <col min="12299" max="12299" width="9.7109375" style="269" customWidth="1"/>
    <col min="12300" max="12300" width="12.7109375" style="269" customWidth="1"/>
    <col min="12301" max="12301" width="10.42578125" style="269" customWidth="1"/>
    <col min="12302" max="12302" width="13.5703125" style="269" customWidth="1"/>
    <col min="12303" max="12303" width="10.42578125" style="269" customWidth="1"/>
    <col min="12304" max="12304" width="12.85546875" style="269" customWidth="1"/>
    <col min="12305" max="12305" width="10.42578125" style="269" customWidth="1"/>
    <col min="12306" max="12306" width="9.140625" style="269" customWidth="1"/>
    <col min="12307" max="12307" width="12" style="269" customWidth="1"/>
    <col min="12308" max="12335" width="9.140625" style="269" customWidth="1"/>
    <col min="12336" max="12545" width="9.140625" style="269"/>
    <col min="12546" max="12546" width="7.140625" style="269" customWidth="1"/>
    <col min="12547" max="12547" width="79" style="269" customWidth="1"/>
    <col min="12548" max="12548" width="15.140625" style="269" customWidth="1"/>
    <col min="12549" max="12549" width="15.42578125" style="269" customWidth="1"/>
    <col min="12550" max="12550" width="9.85546875" style="269" customWidth="1"/>
    <col min="12551" max="12551" width="13.140625" style="269" customWidth="1"/>
    <col min="12552" max="12553" width="9.5703125" style="269" customWidth="1"/>
    <col min="12554" max="12554" width="12.85546875" style="269" customWidth="1"/>
    <col min="12555" max="12555" width="9.7109375" style="269" customWidth="1"/>
    <col min="12556" max="12556" width="12.7109375" style="269" customWidth="1"/>
    <col min="12557" max="12557" width="10.42578125" style="269" customWidth="1"/>
    <col min="12558" max="12558" width="13.5703125" style="269" customWidth="1"/>
    <col min="12559" max="12559" width="10.42578125" style="269" customWidth="1"/>
    <col min="12560" max="12560" width="12.85546875" style="269" customWidth="1"/>
    <col min="12561" max="12561" width="10.42578125" style="269" customWidth="1"/>
    <col min="12562" max="12562" width="9.140625" style="269" customWidth="1"/>
    <col min="12563" max="12563" width="12" style="269" customWidth="1"/>
    <col min="12564" max="12591" width="9.140625" style="269" customWidth="1"/>
    <col min="12592" max="12801" width="9.140625" style="269"/>
    <col min="12802" max="12802" width="7.140625" style="269" customWidth="1"/>
    <col min="12803" max="12803" width="79" style="269" customWidth="1"/>
    <col min="12804" max="12804" width="15.140625" style="269" customWidth="1"/>
    <col min="12805" max="12805" width="15.42578125" style="269" customWidth="1"/>
    <col min="12806" max="12806" width="9.85546875" style="269" customWidth="1"/>
    <col min="12807" max="12807" width="13.140625" style="269" customWidth="1"/>
    <col min="12808" max="12809" width="9.5703125" style="269" customWidth="1"/>
    <col min="12810" max="12810" width="12.85546875" style="269" customWidth="1"/>
    <col min="12811" max="12811" width="9.7109375" style="269" customWidth="1"/>
    <col min="12812" max="12812" width="12.7109375" style="269" customWidth="1"/>
    <col min="12813" max="12813" width="10.42578125" style="269" customWidth="1"/>
    <col min="12814" max="12814" width="13.5703125" style="269" customWidth="1"/>
    <col min="12815" max="12815" width="10.42578125" style="269" customWidth="1"/>
    <col min="12816" max="12816" width="12.85546875" style="269" customWidth="1"/>
    <col min="12817" max="12817" width="10.42578125" style="269" customWidth="1"/>
    <col min="12818" max="12818" width="9.140625" style="269" customWidth="1"/>
    <col min="12819" max="12819" width="12" style="269" customWidth="1"/>
    <col min="12820" max="12847" width="9.140625" style="269" customWidth="1"/>
    <col min="12848" max="13057" width="9.140625" style="269"/>
    <col min="13058" max="13058" width="7.140625" style="269" customWidth="1"/>
    <col min="13059" max="13059" width="79" style="269" customWidth="1"/>
    <col min="13060" max="13060" width="15.140625" style="269" customWidth="1"/>
    <col min="13061" max="13061" width="15.42578125" style="269" customWidth="1"/>
    <col min="13062" max="13062" width="9.85546875" style="269" customWidth="1"/>
    <col min="13063" max="13063" width="13.140625" style="269" customWidth="1"/>
    <col min="13064" max="13065" width="9.5703125" style="269" customWidth="1"/>
    <col min="13066" max="13066" width="12.85546875" style="269" customWidth="1"/>
    <col min="13067" max="13067" width="9.7109375" style="269" customWidth="1"/>
    <col min="13068" max="13068" width="12.7109375" style="269" customWidth="1"/>
    <col min="13069" max="13069" width="10.42578125" style="269" customWidth="1"/>
    <col min="13070" max="13070" width="13.5703125" style="269" customWidth="1"/>
    <col min="13071" max="13071" width="10.42578125" style="269" customWidth="1"/>
    <col min="13072" max="13072" width="12.85546875" style="269" customWidth="1"/>
    <col min="13073" max="13073" width="10.42578125" style="269" customWidth="1"/>
    <col min="13074" max="13074" width="9.140625" style="269" customWidth="1"/>
    <col min="13075" max="13075" width="12" style="269" customWidth="1"/>
    <col min="13076" max="13103" width="9.140625" style="269" customWidth="1"/>
    <col min="13104" max="13313" width="9.140625" style="269"/>
    <col min="13314" max="13314" width="7.140625" style="269" customWidth="1"/>
    <col min="13315" max="13315" width="79" style="269" customWidth="1"/>
    <col min="13316" max="13316" width="15.140625" style="269" customWidth="1"/>
    <col min="13317" max="13317" width="15.42578125" style="269" customWidth="1"/>
    <col min="13318" max="13318" width="9.85546875" style="269" customWidth="1"/>
    <col min="13319" max="13319" width="13.140625" style="269" customWidth="1"/>
    <col min="13320" max="13321" width="9.5703125" style="269" customWidth="1"/>
    <col min="13322" max="13322" width="12.85546875" style="269" customWidth="1"/>
    <col min="13323" max="13323" width="9.7109375" style="269" customWidth="1"/>
    <col min="13324" max="13324" width="12.7109375" style="269" customWidth="1"/>
    <col min="13325" max="13325" width="10.42578125" style="269" customWidth="1"/>
    <col min="13326" max="13326" width="13.5703125" style="269" customWidth="1"/>
    <col min="13327" max="13327" width="10.42578125" style="269" customWidth="1"/>
    <col min="13328" max="13328" width="12.85546875" style="269" customWidth="1"/>
    <col min="13329" max="13329" width="10.42578125" style="269" customWidth="1"/>
    <col min="13330" max="13330" width="9.140625" style="269" customWidth="1"/>
    <col min="13331" max="13331" width="12" style="269" customWidth="1"/>
    <col min="13332" max="13359" width="9.140625" style="269" customWidth="1"/>
    <col min="13360" max="13569" width="9.140625" style="269"/>
    <col min="13570" max="13570" width="7.140625" style="269" customWidth="1"/>
    <col min="13571" max="13571" width="79" style="269" customWidth="1"/>
    <col min="13572" max="13572" width="15.140625" style="269" customWidth="1"/>
    <col min="13573" max="13573" width="15.42578125" style="269" customWidth="1"/>
    <col min="13574" max="13574" width="9.85546875" style="269" customWidth="1"/>
    <col min="13575" max="13575" width="13.140625" style="269" customWidth="1"/>
    <col min="13576" max="13577" width="9.5703125" style="269" customWidth="1"/>
    <col min="13578" max="13578" width="12.85546875" style="269" customWidth="1"/>
    <col min="13579" max="13579" width="9.7109375" style="269" customWidth="1"/>
    <col min="13580" max="13580" width="12.7109375" style="269" customWidth="1"/>
    <col min="13581" max="13581" width="10.42578125" style="269" customWidth="1"/>
    <col min="13582" max="13582" width="13.5703125" style="269" customWidth="1"/>
    <col min="13583" max="13583" width="10.42578125" style="269" customWidth="1"/>
    <col min="13584" max="13584" width="12.85546875" style="269" customWidth="1"/>
    <col min="13585" max="13585" width="10.42578125" style="269" customWidth="1"/>
    <col min="13586" max="13586" width="9.140625" style="269" customWidth="1"/>
    <col min="13587" max="13587" width="12" style="269" customWidth="1"/>
    <col min="13588" max="13615" width="9.140625" style="269" customWidth="1"/>
    <col min="13616" max="13825" width="9.140625" style="269"/>
    <col min="13826" max="13826" width="7.140625" style="269" customWidth="1"/>
    <col min="13827" max="13827" width="79" style="269" customWidth="1"/>
    <col min="13828" max="13828" width="15.140625" style="269" customWidth="1"/>
    <col min="13829" max="13829" width="15.42578125" style="269" customWidth="1"/>
    <col min="13830" max="13830" width="9.85546875" style="269" customWidth="1"/>
    <col min="13831" max="13831" width="13.140625" style="269" customWidth="1"/>
    <col min="13832" max="13833" width="9.5703125" style="269" customWidth="1"/>
    <col min="13834" max="13834" width="12.85546875" style="269" customWidth="1"/>
    <col min="13835" max="13835" width="9.7109375" style="269" customWidth="1"/>
    <col min="13836" max="13836" width="12.7109375" style="269" customWidth="1"/>
    <col min="13837" max="13837" width="10.42578125" style="269" customWidth="1"/>
    <col min="13838" max="13838" width="13.5703125" style="269" customWidth="1"/>
    <col min="13839" max="13839" width="10.42578125" style="269" customWidth="1"/>
    <col min="13840" max="13840" width="12.85546875" style="269" customWidth="1"/>
    <col min="13841" max="13841" width="10.42578125" style="269" customWidth="1"/>
    <col min="13842" max="13842" width="9.140625" style="269" customWidth="1"/>
    <col min="13843" max="13843" width="12" style="269" customWidth="1"/>
    <col min="13844" max="13871" width="9.140625" style="269" customWidth="1"/>
    <col min="13872" max="14081" width="9.140625" style="269"/>
    <col min="14082" max="14082" width="7.140625" style="269" customWidth="1"/>
    <col min="14083" max="14083" width="79" style="269" customWidth="1"/>
    <col min="14084" max="14084" width="15.140625" style="269" customWidth="1"/>
    <col min="14085" max="14085" width="15.42578125" style="269" customWidth="1"/>
    <col min="14086" max="14086" width="9.85546875" style="269" customWidth="1"/>
    <col min="14087" max="14087" width="13.140625" style="269" customWidth="1"/>
    <col min="14088" max="14089" width="9.5703125" style="269" customWidth="1"/>
    <col min="14090" max="14090" width="12.85546875" style="269" customWidth="1"/>
    <col min="14091" max="14091" width="9.7109375" style="269" customWidth="1"/>
    <col min="14092" max="14092" width="12.7109375" style="269" customWidth="1"/>
    <col min="14093" max="14093" width="10.42578125" style="269" customWidth="1"/>
    <col min="14094" max="14094" width="13.5703125" style="269" customWidth="1"/>
    <col min="14095" max="14095" width="10.42578125" style="269" customWidth="1"/>
    <col min="14096" max="14096" width="12.85546875" style="269" customWidth="1"/>
    <col min="14097" max="14097" width="10.42578125" style="269" customWidth="1"/>
    <col min="14098" max="14098" width="9.140625" style="269" customWidth="1"/>
    <col min="14099" max="14099" width="12" style="269" customWidth="1"/>
    <col min="14100" max="14127" width="9.140625" style="269" customWidth="1"/>
    <col min="14128" max="14337" width="9.140625" style="269"/>
    <col min="14338" max="14338" width="7.140625" style="269" customWidth="1"/>
    <col min="14339" max="14339" width="79" style="269" customWidth="1"/>
    <col min="14340" max="14340" width="15.140625" style="269" customWidth="1"/>
    <col min="14341" max="14341" width="15.42578125" style="269" customWidth="1"/>
    <col min="14342" max="14342" width="9.85546875" style="269" customWidth="1"/>
    <col min="14343" max="14343" width="13.140625" style="269" customWidth="1"/>
    <col min="14344" max="14345" width="9.5703125" style="269" customWidth="1"/>
    <col min="14346" max="14346" width="12.85546875" style="269" customWidth="1"/>
    <col min="14347" max="14347" width="9.7109375" style="269" customWidth="1"/>
    <col min="14348" max="14348" width="12.7109375" style="269" customWidth="1"/>
    <col min="14349" max="14349" width="10.42578125" style="269" customWidth="1"/>
    <col min="14350" max="14350" width="13.5703125" style="269" customWidth="1"/>
    <col min="14351" max="14351" width="10.42578125" style="269" customWidth="1"/>
    <col min="14352" max="14352" width="12.85546875" style="269" customWidth="1"/>
    <col min="14353" max="14353" width="10.42578125" style="269" customWidth="1"/>
    <col min="14354" max="14354" width="9.140625" style="269" customWidth="1"/>
    <col min="14355" max="14355" width="12" style="269" customWidth="1"/>
    <col min="14356" max="14383" width="9.140625" style="269" customWidth="1"/>
    <col min="14384" max="14593" width="9.140625" style="269"/>
    <col min="14594" max="14594" width="7.140625" style="269" customWidth="1"/>
    <col min="14595" max="14595" width="79" style="269" customWidth="1"/>
    <col min="14596" max="14596" width="15.140625" style="269" customWidth="1"/>
    <col min="14597" max="14597" width="15.42578125" style="269" customWidth="1"/>
    <col min="14598" max="14598" width="9.85546875" style="269" customWidth="1"/>
    <col min="14599" max="14599" width="13.140625" style="269" customWidth="1"/>
    <col min="14600" max="14601" width="9.5703125" style="269" customWidth="1"/>
    <col min="14602" max="14602" width="12.85546875" style="269" customWidth="1"/>
    <col min="14603" max="14603" width="9.7109375" style="269" customWidth="1"/>
    <col min="14604" max="14604" width="12.7109375" style="269" customWidth="1"/>
    <col min="14605" max="14605" width="10.42578125" style="269" customWidth="1"/>
    <col min="14606" max="14606" width="13.5703125" style="269" customWidth="1"/>
    <col min="14607" max="14607" width="10.42578125" style="269" customWidth="1"/>
    <col min="14608" max="14608" width="12.85546875" style="269" customWidth="1"/>
    <col min="14609" max="14609" width="10.42578125" style="269" customWidth="1"/>
    <col min="14610" max="14610" width="9.140625" style="269" customWidth="1"/>
    <col min="14611" max="14611" width="12" style="269" customWidth="1"/>
    <col min="14612" max="14639" width="9.140625" style="269" customWidth="1"/>
    <col min="14640" max="14849" width="9.140625" style="269"/>
    <col min="14850" max="14850" width="7.140625" style="269" customWidth="1"/>
    <col min="14851" max="14851" width="79" style="269" customWidth="1"/>
    <col min="14852" max="14852" width="15.140625" style="269" customWidth="1"/>
    <col min="14853" max="14853" width="15.42578125" style="269" customWidth="1"/>
    <col min="14854" max="14854" width="9.85546875" style="269" customWidth="1"/>
    <col min="14855" max="14855" width="13.140625" style="269" customWidth="1"/>
    <col min="14856" max="14857" width="9.5703125" style="269" customWidth="1"/>
    <col min="14858" max="14858" width="12.85546875" style="269" customWidth="1"/>
    <col min="14859" max="14859" width="9.7109375" style="269" customWidth="1"/>
    <col min="14860" max="14860" width="12.7109375" style="269" customWidth="1"/>
    <col min="14861" max="14861" width="10.42578125" style="269" customWidth="1"/>
    <col min="14862" max="14862" width="13.5703125" style="269" customWidth="1"/>
    <col min="14863" max="14863" width="10.42578125" style="269" customWidth="1"/>
    <col min="14864" max="14864" width="12.85546875" style="269" customWidth="1"/>
    <col min="14865" max="14865" width="10.42578125" style="269" customWidth="1"/>
    <col min="14866" max="14866" width="9.140625" style="269" customWidth="1"/>
    <col min="14867" max="14867" width="12" style="269" customWidth="1"/>
    <col min="14868" max="14895" width="9.140625" style="269" customWidth="1"/>
    <col min="14896" max="15105" width="9.140625" style="269"/>
    <col min="15106" max="15106" width="7.140625" style="269" customWidth="1"/>
    <col min="15107" max="15107" width="79" style="269" customWidth="1"/>
    <col min="15108" max="15108" width="15.140625" style="269" customWidth="1"/>
    <col min="15109" max="15109" width="15.42578125" style="269" customWidth="1"/>
    <col min="15110" max="15110" width="9.85546875" style="269" customWidth="1"/>
    <col min="15111" max="15111" width="13.140625" style="269" customWidth="1"/>
    <col min="15112" max="15113" width="9.5703125" style="269" customWidth="1"/>
    <col min="15114" max="15114" width="12.85546875" style="269" customWidth="1"/>
    <col min="15115" max="15115" width="9.7109375" style="269" customWidth="1"/>
    <col min="15116" max="15116" width="12.7109375" style="269" customWidth="1"/>
    <col min="15117" max="15117" width="10.42578125" style="269" customWidth="1"/>
    <col min="15118" max="15118" width="13.5703125" style="269" customWidth="1"/>
    <col min="15119" max="15119" width="10.42578125" style="269" customWidth="1"/>
    <col min="15120" max="15120" width="12.85546875" style="269" customWidth="1"/>
    <col min="15121" max="15121" width="10.42578125" style="269" customWidth="1"/>
    <col min="15122" max="15122" width="9.140625" style="269" customWidth="1"/>
    <col min="15123" max="15123" width="12" style="269" customWidth="1"/>
    <col min="15124" max="15151" width="9.140625" style="269" customWidth="1"/>
    <col min="15152" max="15361" width="9.140625" style="269"/>
    <col min="15362" max="15362" width="7.140625" style="269" customWidth="1"/>
    <col min="15363" max="15363" width="79" style="269" customWidth="1"/>
    <col min="15364" max="15364" width="15.140625" style="269" customWidth="1"/>
    <col min="15365" max="15365" width="15.42578125" style="269" customWidth="1"/>
    <col min="15366" max="15366" width="9.85546875" style="269" customWidth="1"/>
    <col min="15367" max="15367" width="13.140625" style="269" customWidth="1"/>
    <col min="15368" max="15369" width="9.5703125" style="269" customWidth="1"/>
    <col min="15370" max="15370" width="12.85546875" style="269" customWidth="1"/>
    <col min="15371" max="15371" width="9.7109375" style="269" customWidth="1"/>
    <col min="15372" max="15372" width="12.7109375" style="269" customWidth="1"/>
    <col min="15373" max="15373" width="10.42578125" style="269" customWidth="1"/>
    <col min="15374" max="15374" width="13.5703125" style="269" customWidth="1"/>
    <col min="15375" max="15375" width="10.42578125" style="269" customWidth="1"/>
    <col min="15376" max="15376" width="12.85546875" style="269" customWidth="1"/>
    <col min="15377" max="15377" width="10.42578125" style="269" customWidth="1"/>
    <col min="15378" max="15378" width="9.140625" style="269" customWidth="1"/>
    <col min="15379" max="15379" width="12" style="269" customWidth="1"/>
    <col min="15380" max="15407" width="9.140625" style="269" customWidth="1"/>
    <col min="15408" max="15617" width="9.140625" style="269"/>
    <col min="15618" max="15618" width="7.140625" style="269" customWidth="1"/>
    <col min="15619" max="15619" width="79" style="269" customWidth="1"/>
    <col min="15620" max="15620" width="15.140625" style="269" customWidth="1"/>
    <col min="15621" max="15621" width="15.42578125" style="269" customWidth="1"/>
    <col min="15622" max="15622" width="9.85546875" style="269" customWidth="1"/>
    <col min="15623" max="15623" width="13.140625" style="269" customWidth="1"/>
    <col min="15624" max="15625" width="9.5703125" style="269" customWidth="1"/>
    <col min="15626" max="15626" width="12.85546875" style="269" customWidth="1"/>
    <col min="15627" max="15627" width="9.7109375" style="269" customWidth="1"/>
    <col min="15628" max="15628" width="12.7109375" style="269" customWidth="1"/>
    <col min="15629" max="15629" width="10.42578125" style="269" customWidth="1"/>
    <col min="15630" max="15630" width="13.5703125" style="269" customWidth="1"/>
    <col min="15631" max="15631" width="10.42578125" style="269" customWidth="1"/>
    <col min="15632" max="15632" width="12.85546875" style="269" customWidth="1"/>
    <col min="15633" max="15633" width="10.42578125" style="269" customWidth="1"/>
    <col min="15634" max="15634" width="9.140625" style="269" customWidth="1"/>
    <col min="15635" max="15635" width="12" style="269" customWidth="1"/>
    <col min="15636" max="15663" width="9.140625" style="269" customWidth="1"/>
    <col min="15664" max="15873" width="9.140625" style="269"/>
    <col min="15874" max="15874" width="7.140625" style="269" customWidth="1"/>
    <col min="15875" max="15875" width="79" style="269" customWidth="1"/>
    <col min="15876" max="15876" width="15.140625" style="269" customWidth="1"/>
    <col min="15877" max="15877" width="15.42578125" style="269" customWidth="1"/>
    <col min="15878" max="15878" width="9.85546875" style="269" customWidth="1"/>
    <col min="15879" max="15879" width="13.140625" style="269" customWidth="1"/>
    <col min="15880" max="15881" width="9.5703125" style="269" customWidth="1"/>
    <col min="15882" max="15882" width="12.85546875" style="269" customWidth="1"/>
    <col min="15883" max="15883" width="9.7109375" style="269" customWidth="1"/>
    <col min="15884" max="15884" width="12.7109375" style="269" customWidth="1"/>
    <col min="15885" max="15885" width="10.42578125" style="269" customWidth="1"/>
    <col min="15886" max="15886" width="13.5703125" style="269" customWidth="1"/>
    <col min="15887" max="15887" width="10.42578125" style="269" customWidth="1"/>
    <col min="15888" max="15888" width="12.85546875" style="269" customWidth="1"/>
    <col min="15889" max="15889" width="10.42578125" style="269" customWidth="1"/>
    <col min="15890" max="15890" width="9.140625" style="269" customWidth="1"/>
    <col min="15891" max="15891" width="12" style="269" customWidth="1"/>
    <col min="15892" max="15919" width="9.140625" style="269" customWidth="1"/>
    <col min="15920" max="16129" width="9.140625" style="269"/>
    <col min="16130" max="16130" width="7.140625" style="269" customWidth="1"/>
    <col min="16131" max="16131" width="79" style="269" customWidth="1"/>
    <col min="16132" max="16132" width="15.140625" style="269" customWidth="1"/>
    <col min="16133" max="16133" width="15.42578125" style="269" customWidth="1"/>
    <col min="16134" max="16134" width="9.85546875" style="269" customWidth="1"/>
    <col min="16135" max="16135" width="13.140625" style="269" customWidth="1"/>
    <col min="16136" max="16137" width="9.5703125" style="269" customWidth="1"/>
    <col min="16138" max="16138" width="12.85546875" style="269" customWidth="1"/>
    <col min="16139" max="16139" width="9.7109375" style="269" customWidth="1"/>
    <col min="16140" max="16140" width="12.7109375" style="269" customWidth="1"/>
    <col min="16141" max="16141" width="10.42578125" style="269" customWidth="1"/>
    <col min="16142" max="16142" width="13.5703125" style="269" customWidth="1"/>
    <col min="16143" max="16143" width="10.42578125" style="269" customWidth="1"/>
    <col min="16144" max="16144" width="12.85546875" style="269" customWidth="1"/>
    <col min="16145" max="16145" width="10.42578125" style="269" customWidth="1"/>
    <col min="16146" max="16146" width="9.140625" style="269" customWidth="1"/>
    <col min="16147" max="16147" width="12" style="269" customWidth="1"/>
    <col min="16148" max="16175" width="9.140625" style="269" customWidth="1"/>
    <col min="16176" max="16384" width="9.140625" style="269"/>
  </cols>
  <sheetData>
    <row r="1" spans="1:19" x14ac:dyDescent="0.25">
      <c r="C1" s="270"/>
      <c r="N1" s="269" t="s">
        <v>187</v>
      </c>
    </row>
    <row r="2" spans="1:19" ht="111" customHeight="1" x14ac:dyDescent="0.25">
      <c r="C2" s="270"/>
      <c r="N2" s="505" t="s">
        <v>188</v>
      </c>
      <c r="O2" s="505"/>
      <c r="P2" s="505"/>
      <c r="Q2" s="505"/>
    </row>
    <row r="3" spans="1:19" x14ac:dyDescent="0.25">
      <c r="C3" s="270"/>
    </row>
    <row r="4" spans="1:19" x14ac:dyDescent="0.25">
      <c r="C4" s="270"/>
    </row>
    <row r="5" spans="1:19" ht="16.5" x14ac:dyDescent="0.25">
      <c r="A5" s="506" t="s">
        <v>189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</row>
    <row r="6" spans="1:19" x14ac:dyDescent="0.25">
      <c r="A6" s="507" t="str">
        <f>'[1]Д3(вробн)'!H5</f>
        <v>АТ "Сумське НВО"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9" x14ac:dyDescent="0.25">
      <c r="A7" s="508" t="s">
        <v>190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</row>
    <row r="8" spans="1:19" x14ac:dyDescent="0.25">
      <c r="A8" s="271"/>
      <c r="B8" s="271"/>
      <c r="C8" s="272"/>
      <c r="D8" s="273"/>
      <c r="E8" s="273"/>
      <c r="F8" s="273"/>
      <c r="G8" s="273"/>
      <c r="H8" s="273"/>
      <c r="I8" s="271"/>
      <c r="J8" s="271"/>
      <c r="K8" s="271"/>
      <c r="L8" s="271"/>
      <c r="M8" s="271"/>
      <c r="N8" s="271"/>
      <c r="O8" s="271"/>
      <c r="P8" s="271"/>
      <c r="Q8" s="271"/>
    </row>
    <row r="9" spans="1:19" s="274" customFormat="1" x14ac:dyDescent="0.25">
      <c r="A9" s="509" t="s">
        <v>157</v>
      </c>
      <c r="B9" s="509" t="s">
        <v>191</v>
      </c>
      <c r="C9" s="509" t="s">
        <v>192</v>
      </c>
      <c r="D9" s="504" t="s">
        <v>193</v>
      </c>
      <c r="E9" s="504"/>
      <c r="F9" s="504"/>
      <c r="G9" s="504"/>
      <c r="H9" s="504"/>
      <c r="I9" s="512"/>
      <c r="J9" s="504" t="s">
        <v>194</v>
      </c>
      <c r="K9" s="504"/>
      <c r="L9" s="504"/>
      <c r="M9" s="504"/>
      <c r="N9" s="504"/>
      <c r="O9" s="504"/>
      <c r="P9" s="504"/>
      <c r="Q9" s="504"/>
    </row>
    <row r="10" spans="1:19" s="274" customFormat="1" x14ac:dyDescent="0.25">
      <c r="A10" s="510"/>
      <c r="B10" s="510"/>
      <c r="C10" s="511"/>
      <c r="D10" s="504" t="s">
        <v>195</v>
      </c>
      <c r="E10" s="504"/>
      <c r="F10" s="504" t="s">
        <v>196</v>
      </c>
      <c r="G10" s="504"/>
      <c r="H10" s="504" t="s">
        <v>197</v>
      </c>
      <c r="I10" s="512"/>
      <c r="J10" s="504" t="s">
        <v>198</v>
      </c>
      <c r="K10" s="504"/>
      <c r="L10" s="504" t="s">
        <v>93</v>
      </c>
      <c r="M10" s="504"/>
      <c r="N10" s="504" t="s">
        <v>199</v>
      </c>
      <c r="O10" s="504"/>
      <c r="P10" s="504" t="s">
        <v>200</v>
      </c>
      <c r="Q10" s="504"/>
      <c r="R10" s="275"/>
    </row>
    <row r="11" spans="1:19" s="274" customFormat="1" ht="30" x14ac:dyDescent="0.25">
      <c r="A11" s="511"/>
      <c r="B11" s="511"/>
      <c r="C11" s="276" t="s">
        <v>201</v>
      </c>
      <c r="D11" s="276" t="s">
        <v>201</v>
      </c>
      <c r="E11" s="276" t="s">
        <v>202</v>
      </c>
      <c r="F11" s="276" t="s">
        <v>201</v>
      </c>
      <c r="G11" s="276" t="s">
        <v>11</v>
      </c>
      <c r="H11" s="276" t="s">
        <v>201</v>
      </c>
      <c r="I11" s="277" t="s">
        <v>202</v>
      </c>
      <c r="J11" s="276" t="s">
        <v>201</v>
      </c>
      <c r="K11" s="276" t="s">
        <v>203</v>
      </c>
      <c r="L11" s="276" t="s">
        <v>201</v>
      </c>
      <c r="M11" s="276" t="s">
        <v>203</v>
      </c>
      <c r="N11" s="276" t="s">
        <v>201</v>
      </c>
      <c r="O11" s="276" t="s">
        <v>203</v>
      </c>
      <c r="P11" s="276" t="s">
        <v>201</v>
      </c>
      <c r="Q11" s="276" t="s">
        <v>203</v>
      </c>
      <c r="R11" s="275"/>
    </row>
    <row r="12" spans="1:19" s="274" customFormat="1" x14ac:dyDescent="0.25">
      <c r="A12" s="276">
        <v>1</v>
      </c>
      <c r="B12" s="276">
        <v>2</v>
      </c>
      <c r="C12" s="276">
        <v>3</v>
      </c>
      <c r="D12" s="276">
        <v>4</v>
      </c>
      <c r="E12" s="276">
        <v>5</v>
      </c>
      <c r="F12" s="276">
        <v>6</v>
      </c>
      <c r="G12" s="276">
        <v>7</v>
      </c>
      <c r="H12" s="276">
        <v>8</v>
      </c>
      <c r="I12" s="277">
        <v>9</v>
      </c>
      <c r="J12" s="276">
        <v>10</v>
      </c>
      <c r="K12" s="276">
        <v>11</v>
      </c>
      <c r="L12" s="276">
        <v>12</v>
      </c>
      <c r="M12" s="276">
        <v>13</v>
      </c>
      <c r="N12" s="276">
        <v>14</v>
      </c>
      <c r="O12" s="276">
        <v>15</v>
      </c>
      <c r="P12" s="276"/>
      <c r="Q12" s="276"/>
      <c r="R12" s="278"/>
    </row>
    <row r="13" spans="1:19" ht="30" x14ac:dyDescent="0.25">
      <c r="A13" s="279" t="s">
        <v>204</v>
      </c>
      <c r="B13" s="280" t="s">
        <v>205</v>
      </c>
      <c r="C13" s="281">
        <f>D13+J13</f>
        <v>148358.54605455851</v>
      </c>
      <c r="D13" s="281">
        <f>F13+H13</f>
        <v>118072.75367813717</v>
      </c>
      <c r="E13" s="281">
        <f>D13/$D$38</f>
        <v>113.00277133923123</v>
      </c>
      <c r="F13" s="281">
        <f>F34*$C$36/1000</f>
        <v>93217.408053930325</v>
      </c>
      <c r="G13" s="281">
        <f>F13/$F$34*1000</f>
        <v>1066.1581788790311</v>
      </c>
      <c r="H13" s="281">
        <f>H34*$C$36/1000</f>
        <v>24855.345624206853</v>
      </c>
      <c r="I13" s="282">
        <f>H13/$H$38</f>
        <v>183.41127404094581</v>
      </c>
      <c r="J13" s="283">
        <f>L13+N13</f>
        <v>30285.792376421326</v>
      </c>
      <c r="K13" s="281">
        <f>J13/$J$39</f>
        <v>65.804929733475234</v>
      </c>
      <c r="L13" s="281">
        <f>L34*$M$36/1000</f>
        <v>28851.045263030726</v>
      </c>
      <c r="M13" s="281">
        <f>L13/$L$39</f>
        <v>65.882959436225633</v>
      </c>
      <c r="N13" s="281">
        <f>N34*$O$36/1000</f>
        <v>1434.7471133905983</v>
      </c>
      <c r="O13" s="281">
        <f>N13/$N$39</f>
        <v>64.274161416637099</v>
      </c>
      <c r="P13" s="281">
        <f>P34*$Q$36/1000</f>
        <v>114.86298608391627</v>
      </c>
      <c r="Q13" s="281">
        <f>P13/$P$39</f>
        <v>62.710459524751727</v>
      </c>
      <c r="R13" s="284">
        <f>L13+N13+P13</f>
        <v>30400.655362505244</v>
      </c>
      <c r="S13" s="270"/>
    </row>
    <row r="14" spans="1:19" x14ac:dyDescent="0.25">
      <c r="A14" s="279" t="s">
        <v>140</v>
      </c>
      <c r="B14" s="280" t="s">
        <v>206</v>
      </c>
      <c r="C14" s="285">
        <f>C15+C16</f>
        <v>2288.3402657279994</v>
      </c>
      <c r="D14" s="281">
        <f>D15+D16</f>
        <v>2288.3402657279994</v>
      </c>
      <c r="E14" s="281">
        <f>D14/$D$38</f>
        <v>2.1900801305889934</v>
      </c>
      <c r="F14" s="281">
        <f>F15+F16</f>
        <v>1771.1257436159997</v>
      </c>
      <c r="G14" s="281">
        <f>F14/$F$34*1000</f>
        <v>20.256948104445684</v>
      </c>
      <c r="H14" s="281">
        <f>H15+H16</f>
        <v>517.21452211199994</v>
      </c>
      <c r="I14" s="282">
        <f>H14/$H$38</f>
        <v>3.816602508260956</v>
      </c>
      <c r="J14" s="283">
        <f>L14+N14</f>
        <v>0</v>
      </c>
      <c r="K14" s="281">
        <f>J14/$J$39</f>
        <v>0</v>
      </c>
      <c r="L14" s="281"/>
      <c r="M14" s="281"/>
      <c r="N14" s="281"/>
      <c r="O14" s="281"/>
      <c r="P14" s="281"/>
      <c r="Q14" s="281"/>
    </row>
    <row r="15" spans="1:19" x14ac:dyDescent="0.25">
      <c r="A15" s="279" t="s">
        <v>207</v>
      </c>
      <c r="B15" s="280" t="s">
        <v>36</v>
      </c>
      <c r="C15" s="286">
        <f>D15+J15</f>
        <v>1875.6887423999997</v>
      </c>
      <c r="D15" s="287">
        <f>F15+H15</f>
        <v>1875.6887423999997</v>
      </c>
      <c r="E15" s="287">
        <f>D15/$D$38</f>
        <v>1.7951476480237654</v>
      </c>
      <c r="F15" s="288">
        <f>(F41+F44)*C47*12/1000</f>
        <v>1451.7424127999998</v>
      </c>
      <c r="G15" s="287">
        <f>F15/$F$34*1000</f>
        <v>16.604055823316138</v>
      </c>
      <c r="H15" s="288">
        <f>(H41+H44)*C47*12/1000</f>
        <v>423.94632959999996</v>
      </c>
      <c r="I15" s="289">
        <f>H15/$H$38</f>
        <v>3.128362711689308</v>
      </c>
      <c r="J15" s="290">
        <f>L15+N15</f>
        <v>0</v>
      </c>
      <c r="K15" s="287">
        <f>J15/$J$39</f>
        <v>0</v>
      </c>
      <c r="L15" s="288"/>
      <c r="M15" s="281"/>
      <c r="N15" s="288"/>
      <c r="O15" s="281"/>
      <c r="P15" s="281"/>
      <c r="Q15" s="281"/>
      <c r="R15" s="270"/>
      <c r="S15" s="270"/>
    </row>
    <row r="16" spans="1:19" x14ac:dyDescent="0.25">
      <c r="A16" s="279" t="s">
        <v>208</v>
      </c>
      <c r="B16" s="280" t="s">
        <v>209</v>
      </c>
      <c r="C16" s="286">
        <f>C15*0.22</f>
        <v>412.65152332799994</v>
      </c>
      <c r="D16" s="287">
        <f>D15*0.22</f>
        <v>412.65152332799994</v>
      </c>
      <c r="E16" s="287">
        <f>D16/$D$38</f>
        <v>0.39493248256522839</v>
      </c>
      <c r="F16" s="287">
        <f>F15*0.22</f>
        <v>319.38333081599995</v>
      </c>
      <c r="G16" s="287">
        <f>F16/$F$34*1000</f>
        <v>3.6528922811295503</v>
      </c>
      <c r="H16" s="287">
        <f>H15*0.22</f>
        <v>93.268192511999985</v>
      </c>
      <c r="I16" s="289">
        <f>H16/$H$38</f>
        <v>0.6882397965716478</v>
      </c>
      <c r="J16" s="291">
        <f>J15*0.22</f>
        <v>0</v>
      </c>
      <c r="K16" s="287">
        <f>J16/$J$39</f>
        <v>0</v>
      </c>
      <c r="L16" s="287"/>
      <c r="M16" s="281"/>
      <c r="N16" s="287"/>
      <c r="O16" s="281"/>
      <c r="P16" s="281"/>
      <c r="Q16" s="281"/>
      <c r="R16" s="270"/>
      <c r="S16" s="270"/>
    </row>
    <row r="17" spans="1:23" x14ac:dyDescent="0.25">
      <c r="A17" s="279" t="s">
        <v>210</v>
      </c>
      <c r="B17" s="280" t="s">
        <v>211</v>
      </c>
      <c r="C17" s="292">
        <f>('[1]1_Структура по елементах'!BC16+'[1]1_Структура по елементах'!BC21+'[1]1_Структура по елементах'!BC27+'[1]1_Структура по елементах'!BC28+'[1]1_Структура по елементах'!BC29+'[1]1_Структура по елементах'!BC32+'[1]1_Структура по елементах'!BC35+'[1]1_Структура по елементах'!BC46+'[1]1_Структура по елементах'!BC42+'[1]1_Структура по елементах'!BC47)/1000</f>
        <v>289.73247000000003</v>
      </c>
      <c r="D17" s="292">
        <f>F17+H17</f>
        <v>220.81558053502494</v>
      </c>
      <c r="E17" s="287">
        <f>D17/$D$38</f>
        <v>0.21133387490360003</v>
      </c>
      <c r="F17" s="292">
        <f>IF($C$13+$C$18=0,0,C17*F13/($C$13+$C$18))</f>
        <v>174.33197273868885</v>
      </c>
      <c r="G17" s="292">
        <f>F17/F34*1000</f>
        <v>1.993892154434697</v>
      </c>
      <c r="H17" s="292">
        <f>IF($C$13+$C$18=0,0,C17*H13/($C$13+$C$18))</f>
        <v>46.483607796336088</v>
      </c>
      <c r="I17" s="289">
        <f>H17/$H$38</f>
        <v>0.3430094216691344</v>
      </c>
      <c r="J17" s="293">
        <f>L17+N17</f>
        <v>0</v>
      </c>
      <c r="K17" s="292">
        <f>J17/J39</f>
        <v>0</v>
      </c>
      <c r="L17" s="281"/>
      <c r="M17" s="281"/>
      <c r="N17" s="281"/>
      <c r="O17" s="281"/>
      <c r="P17" s="281"/>
      <c r="Q17" s="281"/>
    </row>
    <row r="18" spans="1:23" ht="30" x14ac:dyDescent="0.25">
      <c r="A18" s="279" t="s">
        <v>45</v>
      </c>
      <c r="B18" s="280" t="s">
        <v>212</v>
      </c>
      <c r="C18" s="287">
        <f>J18</f>
        <v>6564.8994739697491</v>
      </c>
      <c r="D18" s="287" t="s">
        <v>213</v>
      </c>
      <c r="E18" s="287" t="s">
        <v>213</v>
      </c>
      <c r="F18" s="287" t="s">
        <v>213</v>
      </c>
      <c r="G18" s="287" t="s">
        <v>213</v>
      </c>
      <c r="H18" s="287" t="s">
        <v>213</v>
      </c>
      <c r="I18" s="289" t="s">
        <v>213</v>
      </c>
      <c r="J18" s="291">
        <f>L18+N18</f>
        <v>6564.8994739697491</v>
      </c>
      <c r="K18" s="287">
        <f>J18/$J$39</f>
        <v>14.264204919011426</v>
      </c>
      <c r="L18" s="281">
        <f>L48*L49</f>
        <v>6285.292208353294</v>
      </c>
      <c r="M18" s="281">
        <f>L18/$L$39</f>
        <v>14.352812795256961</v>
      </c>
      <c r="N18" s="281">
        <f>N48*N49</f>
        <v>279.60726561645521</v>
      </c>
      <c r="O18" s="281">
        <f>N18/$N$39</f>
        <v>12.52591648783751</v>
      </c>
      <c r="P18" s="281">
        <f>P48*P49</f>
        <v>24.026396314575273</v>
      </c>
      <c r="Q18" s="281">
        <f>P18/$P$39</f>
        <v>13.117422809381358</v>
      </c>
      <c r="R18" s="270">
        <f>L18+N18+P18</f>
        <v>6588.9258702843244</v>
      </c>
      <c r="S18" s="270">
        <f>R18/R34*L34</f>
        <v>6244.4989208241732</v>
      </c>
      <c r="T18" s="270">
        <f>R18/R34*N34</f>
        <v>318.30838753157173</v>
      </c>
      <c r="U18" s="270">
        <f>R18/R34*P34</f>
        <v>26.118561928579403</v>
      </c>
    </row>
    <row r="19" spans="1:23" ht="31.5" x14ac:dyDescent="0.25">
      <c r="A19" s="294" t="s">
        <v>50</v>
      </c>
      <c r="B19" s="295" t="s">
        <v>214</v>
      </c>
      <c r="C19" s="287">
        <f>C20-C13-C14-C17-C18</f>
        <v>-118230.24266181934</v>
      </c>
      <c r="D19" s="287">
        <f>$C$19/($C$13+$C$18)*D$13</f>
        <v>-90107.538413511269</v>
      </c>
      <c r="E19" s="287">
        <f t="shared" ref="E19:E26" si="0">D19/$D$38</f>
        <v>-86.238367803633452</v>
      </c>
      <c r="F19" s="287">
        <f>$C$19/($C$13+$C$18)*F$13</f>
        <v>-71139.114786164122</v>
      </c>
      <c r="G19" s="287">
        <f t="shared" ref="G19:G26" si="1">F19/$F$34*1000</f>
        <v>-813.6414715972702</v>
      </c>
      <c r="H19" s="287">
        <f>$C$19/($C$13+$C$18)*H$13</f>
        <v>-18968.423627347158</v>
      </c>
      <c r="I19" s="289">
        <f t="shared" ref="I19:I26" si="2">H19/$H$38</f>
        <v>-139.97080534063741</v>
      </c>
      <c r="J19" s="291">
        <f>$C$19/($C$13+$C$18)*(J$13+$J$18)</f>
        <v>-28122.704248308073</v>
      </c>
      <c r="K19" s="287">
        <f t="shared" ref="K19:K26" si="3">J19/$J$39</f>
        <v>-61.10497470147066</v>
      </c>
      <c r="L19" s="281"/>
      <c r="M19" s="281"/>
      <c r="N19" s="281"/>
      <c r="O19" s="281"/>
      <c r="P19" s="281"/>
      <c r="Q19" s="281"/>
      <c r="R19" s="270" t="s">
        <v>215</v>
      </c>
      <c r="S19" s="270">
        <v>1117.6300000000001</v>
      </c>
    </row>
    <row r="20" spans="1:23" ht="31.5" x14ac:dyDescent="0.25">
      <c r="A20" s="294" t="s">
        <v>52</v>
      </c>
      <c r="B20" s="295" t="s">
        <v>216</v>
      </c>
      <c r="C20" s="286">
        <f>'[1]1_Структура по елементах'!BU2/1000-1629.66</f>
        <v>39271.275602436916</v>
      </c>
      <c r="D20" s="287">
        <f>D13+D14+D19+D17</f>
        <v>30474.371110888926</v>
      </c>
      <c r="E20" s="287">
        <f t="shared" si="0"/>
        <v>29.165817541090366</v>
      </c>
      <c r="F20" s="287">
        <f>F13+F14+F19+F17</f>
        <v>24023.750984120885</v>
      </c>
      <c r="G20" s="287">
        <f>F20/$F$34*1000</f>
        <v>274.76754754064126</v>
      </c>
      <c r="H20" s="287">
        <f>H13+H14+H19+H17</f>
        <v>6450.6201267680326</v>
      </c>
      <c r="I20" s="289">
        <f t="shared" si="2"/>
        <v>47.600080630238516</v>
      </c>
      <c r="J20" s="291">
        <f>J13+J14+J18+J19</f>
        <v>8727.9876020830052</v>
      </c>
      <c r="K20" s="287">
        <f>J20/$J$39</f>
        <v>18.964159951016004</v>
      </c>
      <c r="L20" s="281">
        <f>L13+L18+L19</f>
        <v>35136.337471384017</v>
      </c>
      <c r="M20" s="281">
        <f>L20/$L$39</f>
        <v>80.235772231482585</v>
      </c>
      <c r="N20" s="281">
        <f>N13+N14+N18+N19+N17</f>
        <v>1714.3543790070535</v>
      </c>
      <c r="O20" s="281">
        <f>N20/$N$39</f>
        <v>76.800077904474605</v>
      </c>
      <c r="P20" s="281">
        <f>P13+P14+P18+P19+P17</f>
        <v>138.88938239849153</v>
      </c>
      <c r="Q20" s="281">
        <f>P20/$P$39</f>
        <v>75.827882334133079</v>
      </c>
      <c r="R20" s="270"/>
    </row>
    <row r="21" spans="1:23" x14ac:dyDescent="0.25">
      <c r="A21" s="279" t="s">
        <v>54</v>
      </c>
      <c r="B21" s="280" t="s">
        <v>57</v>
      </c>
      <c r="C21" s="287">
        <f t="shared" ref="C21:C23" si="4">D21+J21</f>
        <v>0</v>
      </c>
      <c r="D21" s="287">
        <f t="shared" ref="D21:D27" si="5">F21+H21</f>
        <v>0</v>
      </c>
      <c r="E21" s="287">
        <f t="shared" si="0"/>
        <v>0</v>
      </c>
      <c r="F21" s="292">
        <v>0</v>
      </c>
      <c r="G21" s="287">
        <f t="shared" si="1"/>
        <v>0</v>
      </c>
      <c r="H21" s="292">
        <v>0</v>
      </c>
      <c r="I21" s="289">
        <f t="shared" si="2"/>
        <v>0</v>
      </c>
      <c r="J21" s="291">
        <f t="shared" ref="J21:J27" si="6">L21+N21</f>
        <v>0</v>
      </c>
      <c r="K21" s="287">
        <f t="shared" si="3"/>
        <v>0</v>
      </c>
      <c r="L21" s="281"/>
      <c r="M21" s="281"/>
      <c r="N21" s="281"/>
      <c r="O21" s="281"/>
      <c r="P21" s="281"/>
      <c r="Q21" s="281"/>
      <c r="S21" s="270"/>
    </row>
    <row r="22" spans="1:23" x14ac:dyDescent="0.25">
      <c r="A22" s="279" t="s">
        <v>54</v>
      </c>
      <c r="B22" s="296" t="s">
        <v>217</v>
      </c>
      <c r="C22" s="287">
        <f t="shared" si="4"/>
        <v>15109.331581045701</v>
      </c>
      <c r="D22" s="287">
        <f>F22+H22</f>
        <v>12485.074318283459</v>
      </c>
      <c r="E22" s="287">
        <f t="shared" si="0"/>
        <v>11.948971751672904</v>
      </c>
      <c r="F22" s="287">
        <f>F34*C37/1000</f>
        <v>9856.8571584569891</v>
      </c>
      <c r="G22" s="287">
        <f t="shared" si="1"/>
        <v>112.73611975406298</v>
      </c>
      <c r="H22" s="287">
        <f>H34*C37/1000</f>
        <v>2628.2171598264704</v>
      </c>
      <c r="I22" s="289">
        <f t="shared" si="2"/>
        <v>19.394003407885876</v>
      </c>
      <c r="J22" s="291">
        <f t="shared" si="6"/>
        <v>2624.2572627622408</v>
      </c>
      <c r="K22" s="287">
        <f t="shared" si="3"/>
        <v>5.7019827195631336</v>
      </c>
      <c r="L22" s="287">
        <f>L34*M37/1000</f>
        <v>2468.4341153127616</v>
      </c>
      <c r="M22" s="281">
        <f>L22/L39</f>
        <v>5.6368059877031493</v>
      </c>
      <c r="N22" s="287">
        <f>N34*O37/1000</f>
        <v>155.82314744947922</v>
      </c>
      <c r="O22" s="281">
        <f>N22/$N$39</f>
        <v>6.9806044829376557</v>
      </c>
      <c r="P22" s="281">
        <f>P34*Q37/1000</f>
        <v>12.180087702602936</v>
      </c>
      <c r="Q22" s="281">
        <f>P22/$P$39</f>
        <v>6.6498262227309599</v>
      </c>
      <c r="R22" s="270">
        <f>L22+N22+P22</f>
        <v>2636.4373504648438</v>
      </c>
      <c r="S22" s="270">
        <f>C26-C13</f>
        <v>-80690.788989280059</v>
      </c>
    </row>
    <row r="23" spans="1:23" ht="30" x14ac:dyDescent="0.25">
      <c r="A23" s="279" t="s">
        <v>218</v>
      </c>
      <c r="B23" s="280" t="s">
        <v>219</v>
      </c>
      <c r="C23" s="287">
        <f t="shared" si="4"/>
        <v>12389.651896457475</v>
      </c>
      <c r="D23" s="287">
        <f t="shared" si="5"/>
        <v>10237.760940992437</v>
      </c>
      <c r="E23" s="287">
        <f t="shared" si="0"/>
        <v>9.7981568363717813</v>
      </c>
      <c r="F23" s="287">
        <f>F22-F24</f>
        <v>8082.6228699347312</v>
      </c>
      <c r="G23" s="287">
        <f t="shared" si="1"/>
        <v>92.443618198331649</v>
      </c>
      <c r="H23" s="287">
        <f>H22-H24</f>
        <v>2155.1380710577059</v>
      </c>
      <c r="I23" s="289">
        <f t="shared" si="2"/>
        <v>15.903082794466421</v>
      </c>
      <c r="J23" s="291">
        <f t="shared" si="6"/>
        <v>2151.8909554650377</v>
      </c>
      <c r="K23" s="287">
        <f t="shared" si="3"/>
        <v>4.6756258300417706</v>
      </c>
      <c r="L23" s="287">
        <f>L22-L24</f>
        <v>2024.1159745564646</v>
      </c>
      <c r="M23" s="281">
        <f>L23/L39</f>
        <v>4.6221809099165831</v>
      </c>
      <c r="N23" s="287">
        <f>N22-N24</f>
        <v>127.77498090857296</v>
      </c>
      <c r="O23" s="281">
        <f>N23/$N$39</f>
        <v>5.7240956760088775</v>
      </c>
      <c r="P23" s="281">
        <f>P22-P24</f>
        <v>9.9876719161344081</v>
      </c>
      <c r="Q23" s="281">
        <f>P23/$P$39</f>
        <v>5.4528575026393868</v>
      </c>
      <c r="R23" s="270"/>
      <c r="S23" s="270">
        <f>C15+C16+C17+C18+C19+C25</f>
        <v>-108744.57634812313</v>
      </c>
      <c r="T23" s="270"/>
    </row>
    <row r="24" spans="1:23" x14ac:dyDescent="0.25">
      <c r="A24" s="279" t="s">
        <v>220</v>
      </c>
      <c r="B24" s="280" t="s">
        <v>182</v>
      </c>
      <c r="C24" s="281">
        <f>D24+J24</f>
        <v>2719.6796845882254</v>
      </c>
      <c r="D24" s="287">
        <f t="shared" si="5"/>
        <v>2247.3133772910223</v>
      </c>
      <c r="E24" s="287">
        <f t="shared" si="0"/>
        <v>2.150814915301122</v>
      </c>
      <c r="F24" s="287">
        <f>F22*0.18</f>
        <v>1774.2342885222579</v>
      </c>
      <c r="G24" s="287">
        <f t="shared" si="1"/>
        <v>20.292501555731338</v>
      </c>
      <c r="H24" s="287">
        <f>H22*0.18</f>
        <v>473.07908876876468</v>
      </c>
      <c r="I24" s="289">
        <f t="shared" si="2"/>
        <v>3.4909206134194579</v>
      </c>
      <c r="J24" s="291">
        <f t="shared" si="6"/>
        <v>472.36630729720332</v>
      </c>
      <c r="K24" s="287">
        <f t="shared" si="3"/>
        <v>1.0263568895213642</v>
      </c>
      <c r="L24" s="287">
        <f>L22*0.18</f>
        <v>444.31814075629705</v>
      </c>
      <c r="M24" s="281">
        <f>L24/L39</f>
        <v>1.0146250777865669</v>
      </c>
      <c r="N24" s="287">
        <f>N22*0.18</f>
        <v>28.048166540906259</v>
      </c>
      <c r="O24" s="281">
        <f>N24/$N$39</f>
        <v>1.256508806928778</v>
      </c>
      <c r="P24" s="287">
        <f>P22*0.18</f>
        <v>2.1924157864685285</v>
      </c>
      <c r="Q24" s="281">
        <f>P24/$P$39</f>
        <v>1.1969687200915728</v>
      </c>
    </row>
    <row r="25" spans="1:23" ht="30" x14ac:dyDescent="0.25">
      <c r="A25" s="297" t="s">
        <v>221</v>
      </c>
      <c r="B25" s="298" t="s">
        <v>222</v>
      </c>
      <c r="C25" s="299">
        <f>D25+J25</f>
        <v>342.69410399846555</v>
      </c>
      <c r="D25" s="287">
        <f>F25+H25</f>
        <v>342.69410399846555</v>
      </c>
      <c r="E25" s="287">
        <f t="shared" si="0"/>
        <v>0.32797899826242366</v>
      </c>
      <c r="F25" s="287">
        <f>IF(F20=0,0,((F20+F21+F22)*F50/100)/(1-F50/100))</f>
        <v>270.27082250133981</v>
      </c>
      <c r="G25" s="287">
        <f>F25/$F$34*1000</f>
        <v>3.0911763579122278</v>
      </c>
      <c r="H25" s="287">
        <f>IF(H20=0,0,((H20+H21+H22)*H50/100)/(1-H50/100))</f>
        <v>72.423281497125743</v>
      </c>
      <c r="I25" s="289">
        <f>H25/$H$38</f>
        <v>0.5344221130716128</v>
      </c>
      <c r="J25" s="291">
        <f>L25+N25</f>
        <v>0</v>
      </c>
      <c r="K25" s="287">
        <f t="shared" si="3"/>
        <v>0</v>
      </c>
      <c r="L25" s="287"/>
      <c r="M25" s="281"/>
      <c r="N25" s="287"/>
      <c r="O25" s="287"/>
      <c r="P25" s="287"/>
      <c r="Q25" s="281"/>
      <c r="R25" s="270"/>
      <c r="S25" s="270"/>
    </row>
    <row r="26" spans="1:23" ht="30" x14ac:dyDescent="0.25">
      <c r="A26" s="279" t="s">
        <v>58</v>
      </c>
      <c r="B26" s="280" t="s">
        <v>223</v>
      </c>
      <c r="C26" s="281">
        <f>D26+J26</f>
        <v>67667.757065278449</v>
      </c>
      <c r="D26" s="287">
        <f t="shared" si="5"/>
        <v>30817.065214887385</v>
      </c>
      <c r="E26" s="287">
        <f t="shared" si="0"/>
        <v>29.493796539352783</v>
      </c>
      <c r="F26" s="287">
        <f>F20+F21+F25</f>
        <v>24294.021806622226</v>
      </c>
      <c r="G26" s="287">
        <f t="shared" si="1"/>
        <v>277.85872389855348</v>
      </c>
      <c r="H26" s="287">
        <f>H20+H21+H25</f>
        <v>6523.0434082651582</v>
      </c>
      <c r="I26" s="289">
        <f t="shared" si="2"/>
        <v>48.134502743310129</v>
      </c>
      <c r="J26" s="291">
        <f t="shared" si="6"/>
        <v>36850.691850391071</v>
      </c>
      <c r="K26" s="287">
        <f t="shared" si="3"/>
        <v>80.069134652486653</v>
      </c>
      <c r="L26" s="287">
        <f>L20+L21+L25</f>
        <v>35136.337471384017</v>
      </c>
      <c r="M26" s="281">
        <f>M20+M22</f>
        <v>85.872578219185741</v>
      </c>
      <c r="N26" s="287">
        <f>N20+N21+N25</f>
        <v>1714.3543790070535</v>
      </c>
      <c r="O26" s="287">
        <f>O20+O21+O22</f>
        <v>83.780682387412256</v>
      </c>
      <c r="P26" s="287">
        <f>P20+P21+P25</f>
        <v>138.88938239849153</v>
      </c>
      <c r="Q26" s="281">
        <f>Q20+Q21+Q22</f>
        <v>82.477708556864044</v>
      </c>
      <c r="R26" s="270">
        <f>L26+N26+P26</f>
        <v>36989.581232789562</v>
      </c>
      <c r="S26" s="270">
        <f>C13+C15+C16+C17+C18+C19+C25</f>
        <v>39613.969706435368</v>
      </c>
      <c r="U26" s="270">
        <f>L26+N26+P26</f>
        <v>36989.581232789562</v>
      </c>
      <c r="V26" s="269">
        <v>146913.19</v>
      </c>
      <c r="W26" s="270">
        <f>U26+V26</f>
        <v>183902.77123278956</v>
      </c>
    </row>
    <row r="27" spans="1:23" x14ac:dyDescent="0.25">
      <c r="A27" s="279" t="s">
        <v>70</v>
      </c>
      <c r="B27" s="280" t="s">
        <v>224</v>
      </c>
      <c r="C27" s="281">
        <f>D27+J27</f>
        <v>82777.088646324148</v>
      </c>
      <c r="D27" s="287">
        <f t="shared" si="5"/>
        <v>43302.139533170848</v>
      </c>
      <c r="E27" s="287" t="s">
        <v>213</v>
      </c>
      <c r="F27" s="287">
        <f>F26+F22</f>
        <v>34150.878965079217</v>
      </c>
      <c r="G27" s="287" t="s">
        <v>213</v>
      </c>
      <c r="H27" s="287">
        <f>H26+H22</f>
        <v>9151.2605680916276</v>
      </c>
      <c r="I27" s="289" t="s">
        <v>213</v>
      </c>
      <c r="J27" s="291">
        <f t="shared" si="6"/>
        <v>39474.949113153307</v>
      </c>
      <c r="K27" s="287" t="s">
        <v>213</v>
      </c>
      <c r="L27" s="287">
        <f>L26+L22</f>
        <v>37604.771586696777</v>
      </c>
      <c r="M27" s="287" t="s">
        <v>213</v>
      </c>
      <c r="N27" s="287">
        <f>N26+N22</f>
        <v>1870.1775264565326</v>
      </c>
      <c r="O27" s="287" t="s">
        <v>213</v>
      </c>
      <c r="P27" s="287">
        <f>P26+P22</f>
        <v>151.06947010109448</v>
      </c>
      <c r="Q27" s="281" t="s">
        <v>213</v>
      </c>
      <c r="R27" s="270">
        <f>L27+N27+P27</f>
        <v>39626.018583254401</v>
      </c>
      <c r="U27" s="270">
        <f>L27+N27+P27</f>
        <v>39626.018583254401</v>
      </c>
      <c r="V27" s="269">
        <v>194970</v>
      </c>
      <c r="W27" s="270">
        <f>U27+V27</f>
        <v>234596.01858325439</v>
      </c>
    </row>
    <row r="28" spans="1:23" x14ac:dyDescent="0.25">
      <c r="A28" s="279" t="s">
        <v>72</v>
      </c>
      <c r="B28" s="280" t="s">
        <v>225</v>
      </c>
      <c r="C28" s="281" t="s">
        <v>213</v>
      </c>
      <c r="D28" s="287" t="s">
        <v>213</v>
      </c>
      <c r="E28" s="287">
        <f>D27/$D$38</f>
        <v>41.442768291025693</v>
      </c>
      <c r="F28" s="287" t="s">
        <v>213</v>
      </c>
      <c r="G28" s="300">
        <f>F27/$F$34*1000</f>
        <v>390.59484365261648</v>
      </c>
      <c r="H28" s="287" t="s">
        <v>213</v>
      </c>
      <c r="I28" s="301">
        <f>H27/$H$38</f>
        <v>67.528506151195998</v>
      </c>
      <c r="J28" s="291" t="s">
        <v>213</v>
      </c>
      <c r="K28" s="287">
        <f>J27/J39</f>
        <v>85.771117372049773</v>
      </c>
      <c r="L28" s="287" t="s">
        <v>213</v>
      </c>
      <c r="M28" s="300">
        <f>L27/L39</f>
        <v>85.872578219185741</v>
      </c>
      <c r="N28" s="287" t="s">
        <v>213</v>
      </c>
      <c r="O28" s="300">
        <f>N27/N39</f>
        <v>83.78068238741227</v>
      </c>
      <c r="P28" s="281" t="s">
        <v>213</v>
      </c>
      <c r="Q28" s="300">
        <f>P27/P39</f>
        <v>82.477708556864044</v>
      </c>
      <c r="W28" s="270">
        <f>W27-W26</f>
        <v>50693.247350464837</v>
      </c>
    </row>
    <row r="29" spans="1:23" s="307" customFormat="1" ht="15.75" x14ac:dyDescent="0.25">
      <c r="A29" s="302" t="s">
        <v>74</v>
      </c>
      <c r="B29" s="303" t="s">
        <v>226</v>
      </c>
      <c r="C29" s="281" t="s">
        <v>213</v>
      </c>
      <c r="D29" s="287" t="s">
        <v>213</v>
      </c>
      <c r="E29" s="287" t="s">
        <v>213</v>
      </c>
      <c r="F29" s="287" t="s">
        <v>213</v>
      </c>
      <c r="G29" s="304">
        <f>G28*1.2</f>
        <v>468.71381238313973</v>
      </c>
      <c r="H29" s="287" t="s">
        <v>213</v>
      </c>
      <c r="I29" s="305">
        <f>I28*1.2/E52*30.4-0.01</f>
        <v>13.163475424575562</v>
      </c>
      <c r="J29" s="291" t="s">
        <v>213</v>
      </c>
      <c r="K29" s="304">
        <f>K28*1.2</f>
        <v>102.92534084645972</v>
      </c>
      <c r="L29" s="287" t="s">
        <v>213</v>
      </c>
      <c r="M29" s="306">
        <f>M28*1.2</f>
        <v>103.04709386302288</v>
      </c>
      <c r="N29" s="287" t="s">
        <v>213</v>
      </c>
      <c r="O29" s="306">
        <f>O28*1.2</f>
        <v>100.53681886489473</v>
      </c>
      <c r="P29" s="287" t="s">
        <v>213</v>
      </c>
      <c r="Q29" s="306">
        <f>Q28*1.2</f>
        <v>98.973250268236853</v>
      </c>
    </row>
    <row r="30" spans="1:23" s="307" customFormat="1" ht="45" x14ac:dyDescent="0.25">
      <c r="A30" s="302" t="s">
        <v>100</v>
      </c>
      <c r="B30" s="303" t="s">
        <v>227</v>
      </c>
      <c r="C30" s="281">
        <f>D30+J30</f>
        <v>0</v>
      </c>
      <c r="D30" s="287">
        <f>F30+H30</f>
        <v>0</v>
      </c>
      <c r="E30" s="292">
        <v>0</v>
      </c>
      <c r="F30" s="292">
        <v>0</v>
      </c>
      <c r="G30" s="292">
        <v>0</v>
      </c>
      <c r="H30" s="292">
        <v>0</v>
      </c>
      <c r="I30" s="308">
        <v>0</v>
      </c>
      <c r="J30" s="292">
        <f>L30+N30</f>
        <v>0</v>
      </c>
      <c r="K30" s="292">
        <v>0</v>
      </c>
      <c r="L30" s="292">
        <v>0</v>
      </c>
      <c r="M30" s="292">
        <v>0</v>
      </c>
      <c r="N30" s="292">
        <v>0</v>
      </c>
      <c r="O30" s="292">
        <v>0</v>
      </c>
      <c r="P30" s="292"/>
      <c r="Q30" s="292"/>
    </row>
    <row r="31" spans="1:23" s="307" customFormat="1" ht="60" x14ac:dyDescent="0.25">
      <c r="A31" s="302" t="s">
        <v>86</v>
      </c>
      <c r="B31" s="303" t="s">
        <v>228</v>
      </c>
      <c r="C31" s="281" t="s">
        <v>213</v>
      </c>
      <c r="D31" s="287" t="s">
        <v>213</v>
      </c>
      <c r="E31" s="287" t="s">
        <v>213</v>
      </c>
      <c r="F31" s="292">
        <v>0</v>
      </c>
      <c r="G31" s="292">
        <v>0</v>
      </c>
      <c r="H31" s="287" t="s">
        <v>213</v>
      </c>
      <c r="I31" s="289" t="s">
        <v>213</v>
      </c>
      <c r="J31" s="292">
        <v>0</v>
      </c>
      <c r="K31" s="292">
        <v>0</v>
      </c>
      <c r="L31" s="287" t="s">
        <v>213</v>
      </c>
      <c r="M31" s="287" t="s">
        <v>213</v>
      </c>
      <c r="N31" s="287" t="s">
        <v>213</v>
      </c>
      <c r="O31" s="287" t="s">
        <v>213</v>
      </c>
      <c r="P31" s="287"/>
      <c r="Q31" s="287"/>
      <c r="S31" s="309">
        <f>J27-J13</f>
        <v>9189.1567367319803</v>
      </c>
    </row>
    <row r="32" spans="1:23" s="307" customFormat="1" x14ac:dyDescent="0.25">
      <c r="A32" s="279" t="s">
        <v>229</v>
      </c>
      <c r="B32" s="280" t="s">
        <v>230</v>
      </c>
      <c r="C32" s="281" t="s">
        <v>213</v>
      </c>
      <c r="D32" s="287">
        <f>F32+H32</f>
        <v>118072.75367813717</v>
      </c>
      <c r="E32" s="287">
        <f>D32/$D$38</f>
        <v>113.00277133923123</v>
      </c>
      <c r="F32" s="287">
        <f>F13</f>
        <v>93217.408053930325</v>
      </c>
      <c r="G32" s="281">
        <f>F32/$F$34*1000</f>
        <v>1066.1581788790311</v>
      </c>
      <c r="H32" s="287">
        <f>H13</f>
        <v>24855.345624206853</v>
      </c>
      <c r="I32" s="282">
        <f>H32/$H$38</f>
        <v>183.41127404094581</v>
      </c>
      <c r="J32" s="291" t="s">
        <v>213</v>
      </c>
      <c r="K32" s="287" t="s">
        <v>213</v>
      </c>
      <c r="L32" s="287" t="s">
        <v>213</v>
      </c>
      <c r="M32" s="281">
        <f>M13*1.2</f>
        <v>79.059551323470757</v>
      </c>
      <c r="N32" s="287" t="s">
        <v>213</v>
      </c>
      <c r="O32" s="281">
        <f>O13*1.2</f>
        <v>77.128993699964511</v>
      </c>
      <c r="P32" s="281" t="s">
        <v>213</v>
      </c>
      <c r="Q32" s="281">
        <f>Q13*1.2</f>
        <v>75.252551429702066</v>
      </c>
      <c r="S32" s="309">
        <f>C26-C13</f>
        <v>-80690.788989280059</v>
      </c>
      <c r="W32" s="307">
        <v>43533.91</v>
      </c>
    </row>
    <row r="33" spans="1:23" s="307" customFormat="1" x14ac:dyDescent="0.25">
      <c r="A33" s="279" t="s">
        <v>231</v>
      </c>
      <c r="B33" s="280" t="s">
        <v>232</v>
      </c>
      <c r="C33" s="281" t="s">
        <v>213</v>
      </c>
      <c r="D33" s="287">
        <f>F33+H33</f>
        <v>-74770.614144966326</v>
      </c>
      <c r="E33" s="287">
        <f>D33/$D$38</f>
        <v>-71.560003048205544</v>
      </c>
      <c r="F33" s="287">
        <f>F27-F32</f>
        <v>-59066.529088851108</v>
      </c>
      <c r="G33" s="287">
        <f>F33/$F$34*1000</f>
        <v>-675.56333522641467</v>
      </c>
      <c r="H33" s="287">
        <f>H27-H32</f>
        <v>-15704.085056115226</v>
      </c>
      <c r="I33" s="289">
        <f>H33/$H$38</f>
        <v>-115.88276788974981</v>
      </c>
      <c r="J33" s="291" t="s">
        <v>213</v>
      </c>
      <c r="K33" s="287" t="s">
        <v>213</v>
      </c>
      <c r="L33" s="287" t="s">
        <v>213</v>
      </c>
      <c r="M33" s="287">
        <f>M29-M32</f>
        <v>23.987542539552123</v>
      </c>
      <c r="N33" s="287" t="s">
        <v>213</v>
      </c>
      <c r="O33" s="287">
        <f>O29-O32</f>
        <v>23.407825164930216</v>
      </c>
      <c r="P33" s="287" t="s">
        <v>213</v>
      </c>
      <c r="Q33" s="287">
        <f>Q29-Q32</f>
        <v>23.720698838534787</v>
      </c>
      <c r="W33" s="309">
        <f>W28-W32</f>
        <v>7159.3373504648334</v>
      </c>
    </row>
    <row r="34" spans="1:23" x14ac:dyDescent="0.25">
      <c r="A34" s="310">
        <v>12</v>
      </c>
      <c r="B34" s="311" t="s">
        <v>233</v>
      </c>
      <c r="C34" s="312">
        <f>D34+J34</f>
        <v>133757.796</v>
      </c>
      <c r="D34" s="312">
        <f>F34+H34</f>
        <v>110746</v>
      </c>
      <c r="E34" s="312" t="s">
        <v>213</v>
      </c>
      <c r="F34" s="312">
        <f>'[1]Д 13_послуга'!$D$16</f>
        <v>87433</v>
      </c>
      <c r="G34" s="312" t="s">
        <v>213</v>
      </c>
      <c r="H34" s="312">
        <f>'[1]Д 13_послуга'!$E$16</f>
        <v>23313</v>
      </c>
      <c r="I34" s="313" t="s">
        <v>213</v>
      </c>
      <c r="J34" s="312">
        <f>L34+N34</f>
        <v>23011.796000000002</v>
      </c>
      <c r="K34" s="312" t="s">
        <v>213</v>
      </c>
      <c r="L34" s="314">
        <v>21895.681</v>
      </c>
      <c r="M34" s="315" t="s">
        <v>213</v>
      </c>
      <c r="N34" s="312">
        <v>1116.115</v>
      </c>
      <c r="O34" s="312" t="s">
        <v>213</v>
      </c>
      <c r="P34" s="312">
        <v>91.581999999999994</v>
      </c>
      <c r="Q34" s="312"/>
      <c r="R34" s="316">
        <f>L34+N34+P34</f>
        <v>23103.378000000001</v>
      </c>
      <c r="S34" s="316">
        <f>S31/J34*100</f>
        <v>39.93237527714907</v>
      </c>
    </row>
    <row r="35" spans="1:23" ht="30" hidden="1" x14ac:dyDescent="0.25">
      <c r="A35" s="317">
        <v>14</v>
      </c>
      <c r="B35" s="280" t="s">
        <v>234</v>
      </c>
      <c r="C35" s="281">
        <f>'[1]Д6(тариф)'!$E$25</f>
        <v>1406.1974569715303</v>
      </c>
      <c r="D35" s="287" t="s">
        <v>213</v>
      </c>
      <c r="E35" s="287" t="s">
        <v>213</v>
      </c>
      <c r="F35" s="287" t="s">
        <v>213</v>
      </c>
      <c r="G35" s="287" t="s">
        <v>213</v>
      </c>
      <c r="H35" s="287" t="s">
        <v>213</v>
      </c>
      <c r="I35" s="289" t="s">
        <v>213</v>
      </c>
      <c r="J35" s="287" t="s">
        <v>213</v>
      </c>
      <c r="K35" s="287" t="s">
        <v>213</v>
      </c>
      <c r="L35" s="318" t="s">
        <v>213</v>
      </c>
      <c r="M35" s="287">
        <f>[1]структураТАРИФА!E45</f>
        <v>1406.1974575853978</v>
      </c>
      <c r="N35" s="287" t="s">
        <v>213</v>
      </c>
      <c r="O35" s="287">
        <f>[1]структураТАРИФА!G45</f>
        <v>1398.9259397329217</v>
      </c>
      <c r="P35" s="287"/>
      <c r="Q35" s="287">
        <f>[1]структураТАРИФА!I45</f>
        <v>1375.4430212024324</v>
      </c>
    </row>
    <row r="36" spans="1:23" ht="30" hidden="1" x14ac:dyDescent="0.25">
      <c r="A36" s="302" t="s">
        <v>235</v>
      </c>
      <c r="B36" s="280" t="s">
        <v>236</v>
      </c>
      <c r="C36" s="281">
        <f>'[1]5_Розрахунок тарифів'!E9</f>
        <v>1066.1581788790311</v>
      </c>
      <c r="D36" s="287" t="s">
        <v>213</v>
      </c>
      <c r="E36" s="287" t="s">
        <v>213</v>
      </c>
      <c r="F36" s="287" t="s">
        <v>213</v>
      </c>
      <c r="G36" s="287" t="s">
        <v>213</v>
      </c>
      <c r="H36" s="287" t="s">
        <v>213</v>
      </c>
      <c r="I36" s="289" t="s">
        <v>213</v>
      </c>
      <c r="J36" s="287" t="s">
        <v>213</v>
      </c>
      <c r="K36" s="287" t="s">
        <v>213</v>
      </c>
      <c r="L36" s="287" t="s">
        <v>213</v>
      </c>
      <c r="M36" s="287">
        <f>'[1]5_Розрахунок тарифів'!E9+'[1]5_Розрахунок тарифів'!E27+'[1]5_Розрахунок тарифів'!E29</f>
        <v>1317.6591887245127</v>
      </c>
      <c r="N36" s="287" t="s">
        <v>213</v>
      </c>
      <c r="O36" s="287">
        <f>'[1]5_Розрахунок тарифів'!G9+'[1]5_Розрахунок тарифів'!G27+'[1]5_Розрахунок тарифів'!G29</f>
        <v>1285.4832283327419</v>
      </c>
      <c r="P36" s="287"/>
      <c r="Q36" s="287">
        <f>'[1]5_Розрахунок тарифів'!H9+'[1]5_Розрахунок тарифів'!H27+'[1]5_Розрахунок тарифів'!H29</f>
        <v>1254.2091904950348</v>
      </c>
    </row>
    <row r="37" spans="1:23" ht="30" hidden="1" x14ac:dyDescent="0.25">
      <c r="A37" s="302" t="s">
        <v>237</v>
      </c>
      <c r="B37" s="280" t="s">
        <v>238</v>
      </c>
      <c r="C37" s="281">
        <f>'[1]5_Розрахунок тарифів'!E24</f>
        <v>112.73611975406298</v>
      </c>
      <c r="D37" s="287" t="s">
        <v>213</v>
      </c>
      <c r="E37" s="287" t="s">
        <v>213</v>
      </c>
      <c r="F37" s="287" t="s">
        <v>213</v>
      </c>
      <c r="G37" s="287" t="s">
        <v>213</v>
      </c>
      <c r="H37" s="287" t="s">
        <v>213</v>
      </c>
      <c r="I37" s="289" t="s">
        <v>213</v>
      </c>
      <c r="J37" s="287" t="s">
        <v>213</v>
      </c>
      <c r="K37" s="287" t="s">
        <v>213</v>
      </c>
      <c r="L37" s="287" t="s">
        <v>213</v>
      </c>
      <c r="M37" s="287">
        <f>'[1]5_Розрахунок тарифів'!E24</f>
        <v>112.73611975406298</v>
      </c>
      <c r="N37" s="287" t="s">
        <v>213</v>
      </c>
      <c r="O37" s="287">
        <f>'[1]5_Розрахунок тарифів'!G24</f>
        <v>139.61208965875312</v>
      </c>
      <c r="P37" s="287"/>
      <c r="Q37" s="287">
        <f>'[1]5_Розрахунок тарифів'!H24</f>
        <v>132.99652445461922</v>
      </c>
    </row>
    <row r="38" spans="1:23" hidden="1" x14ac:dyDescent="0.25">
      <c r="A38" s="302" t="s">
        <v>239</v>
      </c>
      <c r="B38" s="280" t="s">
        <v>240</v>
      </c>
      <c r="C38" s="281" t="s">
        <v>213</v>
      </c>
      <c r="D38" s="287">
        <f>F38+H38</f>
        <v>1044.866</v>
      </c>
      <c r="E38" s="287" t="s">
        <v>213</v>
      </c>
      <c r="F38" s="287">
        <f>'[1]Д 13_послуга'!$D$12/1000</f>
        <v>909.34900000000005</v>
      </c>
      <c r="G38" s="287" t="s">
        <v>213</v>
      </c>
      <c r="H38" s="287">
        <f>'[1]Д 13_послуга'!$E$12/1000</f>
        <v>135.517</v>
      </c>
      <c r="I38" s="289" t="s">
        <v>213</v>
      </c>
      <c r="J38" s="287" t="s">
        <v>213</v>
      </c>
      <c r="K38" s="287" t="s">
        <v>213</v>
      </c>
      <c r="L38" s="287" t="s">
        <v>213</v>
      </c>
      <c r="M38" s="287" t="s">
        <v>213</v>
      </c>
      <c r="N38" s="287" t="s">
        <v>213</v>
      </c>
      <c r="O38" s="287" t="s">
        <v>213</v>
      </c>
      <c r="P38" s="287"/>
      <c r="Q38" s="287"/>
    </row>
    <row r="39" spans="1:23" ht="30" x14ac:dyDescent="0.25">
      <c r="A39" s="302" t="s">
        <v>100</v>
      </c>
      <c r="B39" s="280" t="s">
        <v>241</v>
      </c>
      <c r="C39" s="281" t="s">
        <v>213</v>
      </c>
      <c r="D39" s="287" t="s">
        <v>213</v>
      </c>
      <c r="E39" s="287" t="s">
        <v>213</v>
      </c>
      <c r="F39" s="287" t="s">
        <v>213</v>
      </c>
      <c r="G39" s="287" t="s">
        <v>213</v>
      </c>
      <c r="H39" s="287" t="s">
        <v>213</v>
      </c>
      <c r="I39" s="289" t="s">
        <v>213</v>
      </c>
      <c r="J39" s="287">
        <f>L39+N39</f>
        <v>460.23591999999996</v>
      </c>
      <c r="K39" s="287" t="s">
        <v>213</v>
      </c>
      <c r="L39" s="319">
        <f>L34/M51/1000</f>
        <v>437.91361999999998</v>
      </c>
      <c r="M39" s="287" t="s">
        <v>213</v>
      </c>
      <c r="N39" s="319">
        <f>'[4]дод 10'!$G$109/1000</f>
        <v>22.322299999999998</v>
      </c>
      <c r="O39" s="287" t="s">
        <v>213</v>
      </c>
      <c r="P39" s="319">
        <f>'[4]дод 10'!$G$111/1000</f>
        <v>1.8316400000000002</v>
      </c>
      <c r="Q39" s="287"/>
      <c r="R39" s="316">
        <f>L39*1.66</f>
        <v>726.93660919999991</v>
      </c>
    </row>
    <row r="40" spans="1:23" x14ac:dyDescent="0.25">
      <c r="A40" s="302" t="s">
        <v>242</v>
      </c>
      <c r="B40" s="280" t="s">
        <v>243</v>
      </c>
      <c r="C40" s="281">
        <f>D40+J40</f>
        <v>45018</v>
      </c>
      <c r="D40" s="287">
        <f>F40+H40</f>
        <v>24732</v>
      </c>
      <c r="E40" s="287" t="s">
        <v>213</v>
      </c>
      <c r="F40" s="287">
        <f>'[1]Д 13_послуга'!$D$11</f>
        <v>19530</v>
      </c>
      <c r="G40" s="287" t="s">
        <v>213</v>
      </c>
      <c r="H40" s="287">
        <f>'[1]Д 13_послуга'!$E$11</f>
        <v>5202</v>
      </c>
      <c r="I40" s="289" t="s">
        <v>213</v>
      </c>
      <c r="J40" s="287">
        <f>L40+N40</f>
        <v>20286</v>
      </c>
      <c r="K40" s="287" t="s">
        <v>213</v>
      </c>
      <c r="L40" s="320">
        <f>'[1]Д 14_послуга'!C11+6</f>
        <v>20212</v>
      </c>
      <c r="M40" s="287" t="s">
        <v>213</v>
      </c>
      <c r="N40" s="320">
        <v>74</v>
      </c>
      <c r="O40" s="287" t="s">
        <v>213</v>
      </c>
      <c r="P40" s="320">
        <v>274</v>
      </c>
      <c r="Q40" s="287"/>
    </row>
    <row r="41" spans="1:23" ht="30" x14ac:dyDescent="0.25">
      <c r="A41" s="302" t="s">
        <v>239</v>
      </c>
      <c r="B41" s="321" t="s">
        <v>244</v>
      </c>
      <c r="C41" s="322">
        <f>C42+C43</f>
        <v>7</v>
      </c>
      <c r="D41" s="287">
        <f>D42+D43</f>
        <v>13.59</v>
      </c>
      <c r="E41" s="287" t="s">
        <v>213</v>
      </c>
      <c r="F41" s="287">
        <f>F42+F43</f>
        <v>10.52</v>
      </c>
      <c r="G41" s="287" t="s">
        <v>213</v>
      </c>
      <c r="H41" s="287">
        <f>H42+H43</f>
        <v>3.07</v>
      </c>
      <c r="I41" s="289" t="s">
        <v>213</v>
      </c>
      <c r="J41" s="287">
        <f>J42+J43</f>
        <v>0</v>
      </c>
      <c r="K41" s="287" t="s">
        <v>213</v>
      </c>
      <c r="L41" s="287">
        <v>16</v>
      </c>
      <c r="M41" s="287" t="s">
        <v>213</v>
      </c>
      <c r="N41" s="287"/>
      <c r="O41" s="287" t="s">
        <v>213</v>
      </c>
      <c r="P41" s="287"/>
      <c r="Q41" s="287"/>
    </row>
    <row r="42" spans="1:23" x14ac:dyDescent="0.25">
      <c r="A42" s="302" t="s">
        <v>245</v>
      </c>
      <c r="B42" s="280" t="s">
        <v>246</v>
      </c>
      <c r="C42" s="322">
        <f>'[1]2_ФОП'!$M$8</f>
        <v>7</v>
      </c>
      <c r="D42" s="287">
        <f>F42+H42</f>
        <v>13.59</v>
      </c>
      <c r="E42" s="287" t="s">
        <v>213</v>
      </c>
      <c r="F42" s="287">
        <v>10.52</v>
      </c>
      <c r="G42" s="287" t="s">
        <v>213</v>
      </c>
      <c r="H42" s="287">
        <v>3.07</v>
      </c>
      <c r="I42" s="289" t="s">
        <v>213</v>
      </c>
      <c r="J42" s="287">
        <f>L42+N42</f>
        <v>0</v>
      </c>
      <c r="K42" s="287" t="s">
        <v>213</v>
      </c>
      <c r="L42" s="287"/>
      <c r="M42" s="287" t="s">
        <v>213</v>
      </c>
      <c r="N42" s="287"/>
      <c r="O42" s="287" t="s">
        <v>213</v>
      </c>
      <c r="P42" s="287"/>
      <c r="Q42" s="287"/>
    </row>
    <row r="43" spans="1:23" x14ac:dyDescent="0.25">
      <c r="A43" s="302" t="s">
        <v>247</v>
      </c>
      <c r="B43" s="280" t="s">
        <v>248</v>
      </c>
      <c r="C43" s="323">
        <v>0</v>
      </c>
      <c r="D43" s="287">
        <f>F43+H43</f>
        <v>0</v>
      </c>
      <c r="E43" s="287" t="s">
        <v>213</v>
      </c>
      <c r="F43" s="287">
        <f>IF($C$13+$C$18=0,0,C43*F13/($C$13+$C$18))</f>
        <v>0</v>
      </c>
      <c r="G43" s="287" t="s">
        <v>213</v>
      </c>
      <c r="H43" s="287">
        <f>IF($C$13+$C$18=0,0,C43*H13/($C$13+$C$18))</f>
        <v>0</v>
      </c>
      <c r="I43" s="289" t="s">
        <v>213</v>
      </c>
      <c r="J43" s="287">
        <f>L43+N43</f>
        <v>0</v>
      </c>
      <c r="K43" s="287" t="s">
        <v>213</v>
      </c>
      <c r="L43" s="287">
        <f>IF($C$13+$C$18=0,0,C43*(L13+L18)/($C$13+$C$18))</f>
        <v>0</v>
      </c>
      <c r="M43" s="287" t="s">
        <v>213</v>
      </c>
      <c r="N43" s="287"/>
      <c r="O43" s="287" t="s">
        <v>213</v>
      </c>
      <c r="P43" s="287"/>
      <c r="Q43" s="287"/>
    </row>
    <row r="44" spans="1:23" ht="30" x14ac:dyDescent="0.25">
      <c r="A44" s="302" t="s">
        <v>249</v>
      </c>
      <c r="B44" s="280" t="s">
        <v>250</v>
      </c>
      <c r="C44" s="324">
        <v>13</v>
      </c>
      <c r="D44" s="287">
        <f>D45+D46</f>
        <v>10.389999999999999</v>
      </c>
      <c r="E44" s="287" t="s">
        <v>213</v>
      </c>
      <c r="F44" s="287">
        <f>F45+F46</f>
        <v>8.0399999999999991</v>
      </c>
      <c r="G44" s="287" t="s">
        <v>213</v>
      </c>
      <c r="H44" s="287">
        <f>H45+H46</f>
        <v>2.35</v>
      </c>
      <c r="I44" s="289" t="s">
        <v>213</v>
      </c>
      <c r="J44" s="287">
        <f>J45+J46</f>
        <v>0</v>
      </c>
      <c r="K44" s="287" t="s">
        <v>213</v>
      </c>
      <c r="L44" s="287">
        <v>13</v>
      </c>
      <c r="M44" s="287" t="s">
        <v>213</v>
      </c>
      <c r="N44" s="287"/>
      <c r="O44" s="287" t="s">
        <v>213</v>
      </c>
      <c r="P44" s="287"/>
      <c r="Q44" s="287"/>
      <c r="T44" s="269" t="s">
        <v>251</v>
      </c>
      <c r="U44" s="269" t="s">
        <v>252</v>
      </c>
      <c r="V44" s="269" t="s">
        <v>199</v>
      </c>
    </row>
    <row r="45" spans="1:23" x14ac:dyDescent="0.25">
      <c r="A45" s="302" t="s">
        <v>253</v>
      </c>
      <c r="B45" s="280" t="s">
        <v>254</v>
      </c>
      <c r="C45" s="325">
        <v>13</v>
      </c>
      <c r="D45" s="287">
        <f>F45+H45</f>
        <v>10.389999999999999</v>
      </c>
      <c r="E45" s="287" t="s">
        <v>213</v>
      </c>
      <c r="F45" s="287">
        <v>8.0399999999999991</v>
      </c>
      <c r="G45" s="287" t="s">
        <v>213</v>
      </c>
      <c r="H45" s="287">
        <v>2.35</v>
      </c>
      <c r="I45" s="289" t="s">
        <v>213</v>
      </c>
      <c r="J45" s="287">
        <f>+L45+N45</f>
        <v>0</v>
      </c>
      <c r="K45" s="287" t="s">
        <v>213</v>
      </c>
      <c r="L45" s="287"/>
      <c r="M45" s="287" t="s">
        <v>213</v>
      </c>
      <c r="N45" s="287"/>
      <c r="O45" s="287" t="s">
        <v>213</v>
      </c>
      <c r="P45" s="287"/>
      <c r="Q45" s="287"/>
      <c r="S45" s="326">
        <f>L34</f>
        <v>21895.681</v>
      </c>
      <c r="T45" s="269">
        <v>257.71300000000002</v>
      </c>
      <c r="U45" s="326">
        <f>S45-T45</f>
        <v>21637.968000000001</v>
      </c>
      <c r="V45" s="270">
        <f>N34</f>
        <v>1116.115</v>
      </c>
      <c r="W45" s="270">
        <f>P34</f>
        <v>91.581999999999994</v>
      </c>
    </row>
    <row r="46" spans="1:23" x14ac:dyDescent="0.25">
      <c r="A46" s="302" t="s">
        <v>255</v>
      </c>
      <c r="B46" s="280" t="s">
        <v>256</v>
      </c>
      <c r="C46" s="323">
        <v>0</v>
      </c>
      <c r="D46" s="287">
        <f>F46+H46</f>
        <v>0</v>
      </c>
      <c r="E46" s="287" t="s">
        <v>213</v>
      </c>
      <c r="F46" s="287">
        <f>IF($C$13+$C$18=0,0,C46*F13/($C$13+$C$18))</f>
        <v>0</v>
      </c>
      <c r="G46" s="287" t="s">
        <v>213</v>
      </c>
      <c r="H46" s="287">
        <f>IF($C$13+$C$18=0,0,C46*H13/($C$13+$C$18))</f>
        <v>0</v>
      </c>
      <c r="I46" s="289" t="s">
        <v>213</v>
      </c>
      <c r="J46" s="287">
        <f>+L46+N46</f>
        <v>0</v>
      </c>
      <c r="K46" s="287" t="s">
        <v>213</v>
      </c>
      <c r="L46" s="287">
        <f>IF($C$13+$C$18=0,0,C46*(L13+L18)/($C$13+$C$18))</f>
        <v>0</v>
      </c>
      <c r="M46" s="287" t="s">
        <v>213</v>
      </c>
      <c r="N46" s="287"/>
      <c r="O46" s="287" t="s">
        <v>213</v>
      </c>
      <c r="P46" s="287"/>
      <c r="Q46" s="287"/>
      <c r="S46" s="327">
        <f>L39</f>
        <v>437.91361999999998</v>
      </c>
      <c r="T46" s="269">
        <f>T45/M51/1000</f>
        <v>5.1542599999999998</v>
      </c>
      <c r="U46" s="269">
        <f>U45/M51/1000</f>
        <v>432.75935999999996</v>
      </c>
      <c r="V46" s="269">
        <f>15033.602/1000</f>
        <v>15.033602</v>
      </c>
      <c r="W46" s="269">
        <f>1342.131/1000</f>
        <v>1.3421310000000002</v>
      </c>
    </row>
    <row r="47" spans="1:23" x14ac:dyDescent="0.25">
      <c r="A47" s="302" t="s">
        <v>257</v>
      </c>
      <c r="B47" s="280" t="s">
        <v>258</v>
      </c>
      <c r="C47" s="287">
        <f>'[5]розрахунок зп. послуги'!$N$28</f>
        <v>6518.24</v>
      </c>
      <c r="D47" s="287">
        <f>$C$47</f>
        <v>6518.24</v>
      </c>
      <c r="E47" s="287" t="s">
        <v>213</v>
      </c>
      <c r="F47" s="287">
        <f>$C$47</f>
        <v>6518.24</v>
      </c>
      <c r="G47" s="287" t="s">
        <v>213</v>
      </c>
      <c r="H47" s="287">
        <f>$C$47</f>
        <v>6518.24</v>
      </c>
      <c r="I47" s="289" t="s">
        <v>213</v>
      </c>
      <c r="J47" s="287">
        <f>$C$47</f>
        <v>6518.24</v>
      </c>
      <c r="K47" s="287" t="s">
        <v>213</v>
      </c>
      <c r="L47" s="287">
        <f>'[6]відрахування на соцвиплати'!$H$26</f>
        <v>7738.2040000000006</v>
      </c>
      <c r="M47" s="287" t="s">
        <v>213</v>
      </c>
      <c r="N47" s="287"/>
      <c r="O47" s="287" t="s">
        <v>213</v>
      </c>
      <c r="P47" s="287"/>
      <c r="Q47" s="287"/>
      <c r="S47" s="268">
        <f>SUM(T47:U47)</f>
        <v>62.825356666666671</v>
      </c>
      <c r="T47" s="269">
        <f>T46-2.99557</f>
        <v>2.15869</v>
      </c>
      <c r="U47" s="328">
        <f>S48</f>
        <v>60.666666666666671</v>
      </c>
      <c r="V47" s="270">
        <f>N39-V46</f>
        <v>7.2886979999999983</v>
      </c>
      <c r="W47" s="270">
        <f>P39-W46</f>
        <v>0.48950899999999997</v>
      </c>
    </row>
    <row r="48" spans="1:23" x14ac:dyDescent="0.25">
      <c r="A48" s="302" t="s">
        <v>259</v>
      </c>
      <c r="B48" s="280" t="s">
        <v>260</v>
      </c>
      <c r="C48" s="287">
        <f>J48</f>
        <v>657.80555851400288</v>
      </c>
      <c r="D48" s="287" t="s">
        <v>213</v>
      </c>
      <c r="E48" s="287" t="s">
        <v>213</v>
      </c>
      <c r="F48" s="287" t="s">
        <v>213</v>
      </c>
      <c r="G48" s="287" t="s">
        <v>213</v>
      </c>
      <c r="H48" s="287" t="s">
        <v>213</v>
      </c>
      <c r="I48" s="289" t="s">
        <v>213</v>
      </c>
      <c r="J48" s="287">
        <f>L48+N48</f>
        <v>657.80555851400288</v>
      </c>
      <c r="K48" s="287" t="s">
        <v>213</v>
      </c>
      <c r="L48" s="287">
        <f>(L39*R48)-S47</f>
        <v>629.78879843219374</v>
      </c>
      <c r="M48" s="287" t="s">
        <v>213</v>
      </c>
      <c r="N48" s="287">
        <f>(N39*R48)-V47</f>
        <v>28.016760081809139</v>
      </c>
      <c r="O48" s="287" t="s">
        <v>213</v>
      </c>
      <c r="P48" s="287">
        <f>(P39*R48)-W47</f>
        <v>2.4074545405386045</v>
      </c>
      <c r="Q48" s="287"/>
      <c r="R48" s="329">
        <f>'[7]Сравнительная с Водоканалом'!$H$23</f>
        <v>1.5816227755118932</v>
      </c>
      <c r="S48" s="330">
        <f>5200/30*350/1000</f>
        <v>60.666666666666671</v>
      </c>
      <c r="T48" s="269">
        <v>60.67</v>
      </c>
    </row>
    <row r="49" spans="1:19" x14ac:dyDescent="0.25">
      <c r="A49" s="302" t="s">
        <v>261</v>
      </c>
      <c r="B49" s="280" t="s">
        <v>262</v>
      </c>
      <c r="C49" s="331">
        <v>9.98</v>
      </c>
      <c r="D49" s="287" t="s">
        <v>213</v>
      </c>
      <c r="E49" s="287" t="s">
        <v>213</v>
      </c>
      <c r="F49" s="287" t="s">
        <v>213</v>
      </c>
      <c r="G49" s="287" t="s">
        <v>213</v>
      </c>
      <c r="H49" s="287" t="s">
        <v>213</v>
      </c>
      <c r="I49" s="289" t="s">
        <v>213</v>
      </c>
      <c r="J49" s="286">
        <f>$C$49</f>
        <v>9.98</v>
      </c>
      <c r="K49" s="287" t="s">
        <v>213</v>
      </c>
      <c r="L49" s="286">
        <f>$C$49</f>
        <v>9.98</v>
      </c>
      <c r="M49" s="287" t="s">
        <v>213</v>
      </c>
      <c r="N49" s="286">
        <f>$C$49</f>
        <v>9.98</v>
      </c>
      <c r="O49" s="287" t="s">
        <v>213</v>
      </c>
      <c r="P49" s="287">
        <v>9.98</v>
      </c>
      <c r="Q49" s="287"/>
    </row>
    <row r="50" spans="1:19" s="332" customFormat="1" x14ac:dyDescent="0.25">
      <c r="A50" s="302" t="s">
        <v>263</v>
      </c>
      <c r="B50" s="296" t="s">
        <v>264</v>
      </c>
      <c r="C50" s="323">
        <v>0.79140224407607107</v>
      </c>
      <c r="D50" s="287">
        <f>$C$50</f>
        <v>0.79140224407607107</v>
      </c>
      <c r="E50" s="287" t="s">
        <v>213</v>
      </c>
      <c r="F50" s="287">
        <f>$C$50</f>
        <v>0.79140224407607107</v>
      </c>
      <c r="G50" s="287" t="s">
        <v>213</v>
      </c>
      <c r="H50" s="287">
        <f>$C$50</f>
        <v>0.79140224407607107</v>
      </c>
      <c r="I50" s="289" t="s">
        <v>213</v>
      </c>
      <c r="J50" s="287">
        <f>$C$50</f>
        <v>0.79140224407607107</v>
      </c>
      <c r="K50" s="287" t="s">
        <v>213</v>
      </c>
      <c r="L50" s="287">
        <v>0.7</v>
      </c>
      <c r="M50" s="287" t="s">
        <v>213</v>
      </c>
      <c r="N50" s="287"/>
      <c r="O50" s="287" t="s">
        <v>213</v>
      </c>
      <c r="P50" s="287"/>
      <c r="Q50" s="287"/>
    </row>
    <row r="51" spans="1:19" ht="45" x14ac:dyDescent="0.25">
      <c r="A51" s="302" t="s">
        <v>265</v>
      </c>
      <c r="B51" s="303" t="s">
        <v>266</v>
      </c>
      <c r="C51" s="287" t="s">
        <v>213</v>
      </c>
      <c r="D51" s="287" t="s">
        <v>213</v>
      </c>
      <c r="E51" s="291">
        <f>'[1]Д 13_послуга'!$C$20</f>
        <v>0.1124168925756379</v>
      </c>
      <c r="F51" s="287" t="s">
        <v>213</v>
      </c>
      <c r="G51" s="291">
        <f>'[1]Д 13_послуга'!D20</f>
        <v>0.10212793545739514</v>
      </c>
      <c r="H51" s="287" t="s">
        <v>213</v>
      </c>
      <c r="I51" s="333">
        <f>'[1]Д 13_послуга'!$E$20</f>
        <v>0.17165284777292888</v>
      </c>
      <c r="J51" s="287" t="s">
        <v>213</v>
      </c>
      <c r="K51" s="291">
        <f>'[1]Д 14_послуга'!$C$39</f>
        <v>0</v>
      </c>
      <c r="L51" s="287" t="s">
        <v>213</v>
      </c>
      <c r="M51" s="291">
        <f>'[1]Д 14_послуга'!C40</f>
        <v>0.05</v>
      </c>
      <c r="N51" s="287" t="s">
        <v>213</v>
      </c>
      <c r="O51" s="334">
        <v>5.04E-2</v>
      </c>
      <c r="P51" s="291"/>
      <c r="Q51" s="334">
        <v>5.04E-2</v>
      </c>
      <c r="S51" s="269">
        <f>((L39-T48)*R48)+T48</f>
        <v>657.32710130855389</v>
      </c>
    </row>
    <row r="52" spans="1:19" x14ac:dyDescent="0.25">
      <c r="A52" s="302" t="s">
        <v>267</v>
      </c>
      <c r="B52" s="335" t="s">
        <v>268</v>
      </c>
      <c r="C52" s="281" t="s">
        <v>213</v>
      </c>
      <c r="D52" s="287" t="s">
        <v>213</v>
      </c>
      <c r="E52" s="287">
        <f>'[1]Д 13_послуга'!$C$28</f>
        <v>187</v>
      </c>
      <c r="F52" s="287" t="s">
        <v>213</v>
      </c>
      <c r="G52" s="287" t="s">
        <v>213</v>
      </c>
      <c r="H52" s="287" t="s">
        <v>213</v>
      </c>
      <c r="I52" s="289" t="s">
        <v>213</v>
      </c>
      <c r="J52" s="287" t="s">
        <v>213</v>
      </c>
      <c r="K52" s="287" t="s">
        <v>213</v>
      </c>
      <c r="L52" s="287" t="s">
        <v>213</v>
      </c>
      <c r="M52" s="287" t="s">
        <v>213</v>
      </c>
      <c r="N52" s="287" t="s">
        <v>213</v>
      </c>
      <c r="O52" s="287" t="s">
        <v>213</v>
      </c>
      <c r="P52" s="287"/>
      <c r="Q52" s="287"/>
    </row>
    <row r="53" spans="1:19" ht="30" x14ac:dyDescent="0.25">
      <c r="A53" s="317">
        <v>26</v>
      </c>
      <c r="B53" s="336" t="s">
        <v>269</v>
      </c>
      <c r="C53" s="281" t="s">
        <v>213</v>
      </c>
      <c r="D53" s="287" t="s">
        <v>213</v>
      </c>
      <c r="E53" s="287">
        <f>'[1]Д 13_послуга'!$C$30</f>
        <v>-25</v>
      </c>
      <c r="F53" s="287" t="s">
        <v>213</v>
      </c>
      <c r="G53" s="287" t="s">
        <v>213</v>
      </c>
      <c r="H53" s="287" t="s">
        <v>213</v>
      </c>
      <c r="I53" s="289" t="s">
        <v>213</v>
      </c>
      <c r="J53" s="287" t="s">
        <v>213</v>
      </c>
      <c r="K53" s="287" t="s">
        <v>213</v>
      </c>
      <c r="L53" s="287" t="s">
        <v>213</v>
      </c>
      <c r="M53" s="287" t="s">
        <v>213</v>
      </c>
      <c r="N53" s="287" t="s">
        <v>213</v>
      </c>
      <c r="O53" s="287" t="s">
        <v>213</v>
      </c>
      <c r="P53" s="287"/>
      <c r="Q53" s="287"/>
    </row>
    <row r="54" spans="1:19" x14ac:dyDescent="0.25">
      <c r="A54" s="317">
        <v>27</v>
      </c>
      <c r="B54" s="336" t="s">
        <v>270</v>
      </c>
      <c r="C54" s="281" t="s">
        <v>213</v>
      </c>
      <c r="D54" s="287" t="s">
        <v>213</v>
      </c>
      <c r="E54" s="287" t="s">
        <v>213</v>
      </c>
      <c r="F54" s="514">
        <v>293</v>
      </c>
      <c r="G54" s="514"/>
      <c r="H54" s="287" t="s">
        <v>213</v>
      </c>
      <c r="I54" s="289" t="s">
        <v>213</v>
      </c>
      <c r="J54" s="514">
        <v>20477</v>
      </c>
      <c r="K54" s="514"/>
      <c r="L54" s="287" t="s">
        <v>213</v>
      </c>
      <c r="M54" s="287" t="s">
        <v>213</v>
      </c>
      <c r="N54" s="287" t="s">
        <v>213</v>
      </c>
      <c r="O54" s="287" t="s">
        <v>213</v>
      </c>
      <c r="P54" s="287"/>
      <c r="Q54" s="287"/>
    </row>
    <row r="55" spans="1:19" x14ac:dyDescent="0.25">
      <c r="A55" s="337"/>
      <c r="B55" s="338"/>
      <c r="C55" s="339"/>
      <c r="D55" s="339"/>
      <c r="E55" s="340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</row>
    <row r="56" spans="1:19" x14ac:dyDescent="0.25">
      <c r="A56" s="337"/>
      <c r="B56" s="338"/>
      <c r="C56" s="339"/>
      <c r="D56" s="339"/>
      <c r="E56" s="340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</row>
    <row r="57" spans="1:19" s="344" customFormat="1" ht="15.75" x14ac:dyDescent="0.25">
      <c r="A57" s="341"/>
      <c r="B57" s="342" t="s">
        <v>122</v>
      </c>
      <c r="C57" s="343"/>
      <c r="E57" s="345"/>
      <c r="G57" s="515" t="s">
        <v>271</v>
      </c>
      <c r="H57" s="515"/>
      <c r="I57" s="515"/>
      <c r="N57" s="344" t="s">
        <v>104</v>
      </c>
    </row>
    <row r="58" spans="1:19" x14ac:dyDescent="0.25">
      <c r="B58" s="346"/>
      <c r="C58" s="347" t="s">
        <v>272</v>
      </c>
      <c r="E58" s="516"/>
      <c r="F58" s="516"/>
      <c r="G58" s="517" t="s">
        <v>273</v>
      </c>
      <c r="H58" s="517"/>
      <c r="I58" s="517"/>
    </row>
    <row r="59" spans="1:19" x14ac:dyDescent="0.25">
      <c r="B59" s="348"/>
      <c r="C59" s="349"/>
      <c r="E59" s="516"/>
      <c r="F59" s="516"/>
      <c r="G59" s="518"/>
      <c r="H59" s="518"/>
      <c r="I59" s="518"/>
    </row>
    <row r="60" spans="1:19" x14ac:dyDescent="0.25">
      <c r="B60" s="346"/>
      <c r="C60" s="350"/>
      <c r="E60" s="346"/>
      <c r="G60" s="513"/>
      <c r="H60" s="513"/>
      <c r="I60" s="513"/>
    </row>
    <row r="61" spans="1:19" x14ac:dyDescent="0.25">
      <c r="B61" s="274"/>
      <c r="G61" s="351"/>
      <c r="H61" s="351"/>
      <c r="I61" s="351"/>
      <c r="J61" s="351"/>
      <c r="K61" s="351"/>
    </row>
    <row r="62" spans="1:19" x14ac:dyDescent="0.25">
      <c r="B62" s="274"/>
      <c r="G62" s="351"/>
      <c r="H62" s="351"/>
      <c r="I62" s="351"/>
      <c r="J62" s="351"/>
    </row>
    <row r="63" spans="1:19" x14ac:dyDescent="0.25">
      <c r="B63" s="274"/>
    </row>
    <row r="64" spans="1:19" x14ac:dyDescent="0.25">
      <c r="B64" s="274"/>
    </row>
    <row r="65" spans="2:10" s="269" customFormat="1" x14ac:dyDescent="0.25">
      <c r="B65" s="274"/>
    </row>
    <row r="66" spans="2:10" s="269" customFormat="1" x14ac:dyDescent="0.25">
      <c r="B66" s="274"/>
      <c r="D66" s="326">
        <f>D27-D22-D13</f>
        <v>-87255.688463249782</v>
      </c>
      <c r="J66" s="326">
        <f>J27-J22-J13</f>
        <v>6564.8994739697373</v>
      </c>
    </row>
    <row r="67" spans="2:10" s="269" customFormat="1" x14ac:dyDescent="0.25">
      <c r="B67" s="274"/>
    </row>
    <row r="68" spans="2:10" s="269" customFormat="1" x14ac:dyDescent="0.25">
      <c r="B68" s="274"/>
    </row>
    <row r="69" spans="2:10" s="269" customFormat="1" x14ac:dyDescent="0.25">
      <c r="B69" s="274"/>
    </row>
    <row r="70" spans="2:10" s="269" customFormat="1" x14ac:dyDescent="0.25">
      <c r="B70" s="274"/>
    </row>
    <row r="71" spans="2:10" s="269" customFormat="1" x14ac:dyDescent="0.25">
      <c r="B71" s="274"/>
    </row>
    <row r="72" spans="2:10" s="269" customFormat="1" x14ac:dyDescent="0.25">
      <c r="B72" s="274"/>
    </row>
    <row r="73" spans="2:10" s="269" customFormat="1" x14ac:dyDescent="0.25">
      <c r="B73" s="274"/>
    </row>
    <row r="74" spans="2:10" s="269" customFormat="1" x14ac:dyDescent="0.25">
      <c r="B74" s="274"/>
    </row>
    <row r="75" spans="2:10" s="269" customFormat="1" x14ac:dyDescent="0.25">
      <c r="B75" s="274"/>
    </row>
    <row r="76" spans="2:10" s="269" customFormat="1" x14ac:dyDescent="0.25">
      <c r="B76" s="274"/>
    </row>
    <row r="77" spans="2:10" s="269" customFormat="1" x14ac:dyDescent="0.25">
      <c r="B77" s="274"/>
    </row>
    <row r="78" spans="2:10" s="269" customFormat="1" x14ac:dyDescent="0.25">
      <c r="B78" s="274"/>
    </row>
    <row r="79" spans="2:10" s="269" customFormat="1" x14ac:dyDescent="0.25">
      <c r="B79" s="274"/>
    </row>
    <row r="80" spans="2:10" s="269" customFormat="1" x14ac:dyDescent="0.25">
      <c r="B80" s="274"/>
    </row>
    <row r="81" spans="2:2" s="269" customFormat="1" x14ac:dyDescent="0.25">
      <c r="B81" s="274"/>
    </row>
    <row r="82" spans="2:2" s="269" customFormat="1" x14ac:dyDescent="0.25">
      <c r="B82" s="274"/>
    </row>
    <row r="83" spans="2:2" s="269" customFormat="1" x14ac:dyDescent="0.25">
      <c r="B83" s="274"/>
    </row>
    <row r="84" spans="2:2" s="269" customFormat="1" x14ac:dyDescent="0.25">
      <c r="B84" s="274"/>
    </row>
    <row r="85" spans="2:2" s="269" customFormat="1" x14ac:dyDescent="0.25">
      <c r="B85" s="274"/>
    </row>
  </sheetData>
  <mergeCells count="23">
    <mergeCell ref="G60:I60"/>
    <mergeCell ref="F54:G54"/>
    <mergeCell ref="J54:K54"/>
    <mergeCell ref="G57:I57"/>
    <mergeCell ref="E58:F59"/>
    <mergeCell ref="G58:I58"/>
    <mergeCell ref="G59:I59"/>
    <mergeCell ref="P10:Q10"/>
    <mergeCell ref="N2:Q2"/>
    <mergeCell ref="A5:Q5"/>
    <mergeCell ref="A6:Q6"/>
    <mergeCell ref="A7:Q7"/>
    <mergeCell ref="A9:A11"/>
    <mergeCell ref="B9:B11"/>
    <mergeCell ref="C9:C10"/>
    <mergeCell ref="D9:I9"/>
    <mergeCell ref="J9:Q9"/>
    <mergeCell ref="D10:E10"/>
    <mergeCell ref="F10:G10"/>
    <mergeCell ref="H10:I10"/>
    <mergeCell ref="J10:K10"/>
    <mergeCell ref="L10:M10"/>
    <mergeCell ref="N10:O10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22" sqref="I22"/>
    </sheetView>
  </sheetViews>
  <sheetFormatPr defaultColWidth="9.140625" defaultRowHeight="15" x14ac:dyDescent="0.25"/>
  <cols>
    <col min="1" max="1" width="9.140625" style="390"/>
    <col min="2" max="2" width="68.28515625" style="391" customWidth="1"/>
    <col min="3" max="3" width="3.5703125" style="392" hidden="1" customWidth="1"/>
    <col min="4" max="4" width="17.5703125" style="391" hidden="1" customWidth="1"/>
    <col min="5" max="5" width="14.28515625" style="391" customWidth="1"/>
    <col min="6" max="6" width="14.5703125" style="391" customWidth="1"/>
    <col min="7" max="7" width="14.7109375" style="391" customWidth="1"/>
    <col min="8" max="246" width="9.140625" style="391"/>
    <col min="247" max="247" width="46.7109375" style="391" customWidth="1"/>
    <col min="248" max="248" width="13.42578125" style="391" customWidth="1"/>
    <col min="249" max="249" width="13.28515625" style="391" customWidth="1"/>
    <col min="250" max="251" width="15.85546875" style="391" customWidth="1"/>
    <col min="252" max="257" width="9.140625" style="391"/>
    <col min="258" max="258" width="55.5703125" style="391" customWidth="1"/>
    <col min="259" max="259" width="17.85546875" style="391" customWidth="1"/>
    <col min="260" max="260" width="17.5703125" style="391" customWidth="1"/>
    <col min="261" max="261" width="17.28515625" style="391" customWidth="1"/>
    <col min="262" max="262" width="18" style="391" customWidth="1"/>
    <col min="263" max="502" width="9.140625" style="391"/>
    <col min="503" max="503" width="46.7109375" style="391" customWidth="1"/>
    <col min="504" max="504" width="13.42578125" style="391" customWidth="1"/>
    <col min="505" max="505" width="13.28515625" style="391" customWidth="1"/>
    <col min="506" max="507" width="15.85546875" style="391" customWidth="1"/>
    <col min="508" max="513" width="9.140625" style="391"/>
    <col min="514" max="514" width="55.5703125" style="391" customWidth="1"/>
    <col min="515" max="515" width="17.85546875" style="391" customWidth="1"/>
    <col min="516" max="516" width="17.5703125" style="391" customWidth="1"/>
    <col min="517" max="517" width="17.28515625" style="391" customWidth="1"/>
    <col min="518" max="518" width="18" style="391" customWidth="1"/>
    <col min="519" max="758" width="9.140625" style="391"/>
    <col min="759" max="759" width="46.7109375" style="391" customWidth="1"/>
    <col min="760" max="760" width="13.42578125" style="391" customWidth="1"/>
    <col min="761" max="761" width="13.28515625" style="391" customWidth="1"/>
    <col min="762" max="763" width="15.85546875" style="391" customWidth="1"/>
    <col min="764" max="769" width="9.140625" style="391"/>
    <col min="770" max="770" width="55.5703125" style="391" customWidth="1"/>
    <col min="771" max="771" width="17.85546875" style="391" customWidth="1"/>
    <col min="772" max="772" width="17.5703125" style="391" customWidth="1"/>
    <col min="773" max="773" width="17.28515625" style="391" customWidth="1"/>
    <col min="774" max="774" width="18" style="391" customWidth="1"/>
    <col min="775" max="1014" width="9.140625" style="391"/>
    <col min="1015" max="1015" width="46.7109375" style="391" customWidth="1"/>
    <col min="1016" max="1016" width="13.42578125" style="391" customWidth="1"/>
    <col min="1017" max="1017" width="13.28515625" style="391" customWidth="1"/>
    <col min="1018" max="1019" width="15.85546875" style="391" customWidth="1"/>
    <col min="1020" max="1025" width="9.140625" style="391"/>
    <col min="1026" max="1026" width="55.5703125" style="391" customWidth="1"/>
    <col min="1027" max="1027" width="17.85546875" style="391" customWidth="1"/>
    <col min="1028" max="1028" width="17.5703125" style="391" customWidth="1"/>
    <col min="1029" max="1029" width="17.28515625" style="391" customWidth="1"/>
    <col min="1030" max="1030" width="18" style="391" customWidth="1"/>
    <col min="1031" max="1270" width="9.140625" style="391"/>
    <col min="1271" max="1271" width="46.7109375" style="391" customWidth="1"/>
    <col min="1272" max="1272" width="13.42578125" style="391" customWidth="1"/>
    <col min="1273" max="1273" width="13.28515625" style="391" customWidth="1"/>
    <col min="1274" max="1275" width="15.85546875" style="391" customWidth="1"/>
    <col min="1276" max="1281" width="9.140625" style="391"/>
    <col min="1282" max="1282" width="55.5703125" style="391" customWidth="1"/>
    <col min="1283" max="1283" width="17.85546875" style="391" customWidth="1"/>
    <col min="1284" max="1284" width="17.5703125" style="391" customWidth="1"/>
    <col min="1285" max="1285" width="17.28515625" style="391" customWidth="1"/>
    <col min="1286" max="1286" width="18" style="391" customWidth="1"/>
    <col min="1287" max="1526" width="9.140625" style="391"/>
    <col min="1527" max="1527" width="46.7109375" style="391" customWidth="1"/>
    <col min="1528" max="1528" width="13.42578125" style="391" customWidth="1"/>
    <col min="1529" max="1529" width="13.28515625" style="391" customWidth="1"/>
    <col min="1530" max="1531" width="15.85546875" style="391" customWidth="1"/>
    <col min="1532" max="1537" width="9.140625" style="391"/>
    <col min="1538" max="1538" width="55.5703125" style="391" customWidth="1"/>
    <col min="1539" max="1539" width="17.85546875" style="391" customWidth="1"/>
    <col min="1540" max="1540" width="17.5703125" style="391" customWidth="1"/>
    <col min="1541" max="1541" width="17.28515625" style="391" customWidth="1"/>
    <col min="1542" max="1542" width="18" style="391" customWidth="1"/>
    <col min="1543" max="1782" width="9.140625" style="391"/>
    <col min="1783" max="1783" width="46.7109375" style="391" customWidth="1"/>
    <col min="1784" max="1784" width="13.42578125" style="391" customWidth="1"/>
    <col min="1785" max="1785" width="13.28515625" style="391" customWidth="1"/>
    <col min="1786" max="1787" width="15.85546875" style="391" customWidth="1"/>
    <col min="1788" max="1793" width="9.140625" style="391"/>
    <col min="1794" max="1794" width="55.5703125" style="391" customWidth="1"/>
    <col min="1795" max="1795" width="17.85546875" style="391" customWidth="1"/>
    <col min="1796" max="1796" width="17.5703125" style="391" customWidth="1"/>
    <col min="1797" max="1797" width="17.28515625" style="391" customWidth="1"/>
    <col min="1798" max="1798" width="18" style="391" customWidth="1"/>
    <col min="1799" max="2038" width="9.140625" style="391"/>
    <col min="2039" max="2039" width="46.7109375" style="391" customWidth="1"/>
    <col min="2040" max="2040" width="13.42578125" style="391" customWidth="1"/>
    <col min="2041" max="2041" width="13.28515625" style="391" customWidth="1"/>
    <col min="2042" max="2043" width="15.85546875" style="391" customWidth="1"/>
    <col min="2044" max="2049" width="9.140625" style="391"/>
    <col min="2050" max="2050" width="55.5703125" style="391" customWidth="1"/>
    <col min="2051" max="2051" width="17.85546875" style="391" customWidth="1"/>
    <col min="2052" max="2052" width="17.5703125" style="391" customWidth="1"/>
    <col min="2053" max="2053" width="17.28515625" style="391" customWidth="1"/>
    <col min="2054" max="2054" width="18" style="391" customWidth="1"/>
    <col min="2055" max="2294" width="9.140625" style="391"/>
    <col min="2295" max="2295" width="46.7109375" style="391" customWidth="1"/>
    <col min="2296" max="2296" width="13.42578125" style="391" customWidth="1"/>
    <col min="2297" max="2297" width="13.28515625" style="391" customWidth="1"/>
    <col min="2298" max="2299" width="15.85546875" style="391" customWidth="1"/>
    <col min="2300" max="2305" width="9.140625" style="391"/>
    <col min="2306" max="2306" width="55.5703125" style="391" customWidth="1"/>
    <col min="2307" max="2307" width="17.85546875" style="391" customWidth="1"/>
    <col min="2308" max="2308" width="17.5703125" style="391" customWidth="1"/>
    <col min="2309" max="2309" width="17.28515625" style="391" customWidth="1"/>
    <col min="2310" max="2310" width="18" style="391" customWidth="1"/>
    <col min="2311" max="2550" width="9.140625" style="391"/>
    <col min="2551" max="2551" width="46.7109375" style="391" customWidth="1"/>
    <col min="2552" max="2552" width="13.42578125" style="391" customWidth="1"/>
    <col min="2553" max="2553" width="13.28515625" style="391" customWidth="1"/>
    <col min="2554" max="2555" width="15.85546875" style="391" customWidth="1"/>
    <col min="2556" max="2561" width="9.140625" style="391"/>
    <col min="2562" max="2562" width="55.5703125" style="391" customWidth="1"/>
    <col min="2563" max="2563" width="17.85546875" style="391" customWidth="1"/>
    <col min="2564" max="2564" width="17.5703125" style="391" customWidth="1"/>
    <col min="2565" max="2565" width="17.28515625" style="391" customWidth="1"/>
    <col min="2566" max="2566" width="18" style="391" customWidth="1"/>
    <col min="2567" max="2806" width="9.140625" style="391"/>
    <col min="2807" max="2807" width="46.7109375" style="391" customWidth="1"/>
    <col min="2808" max="2808" width="13.42578125" style="391" customWidth="1"/>
    <col min="2809" max="2809" width="13.28515625" style="391" customWidth="1"/>
    <col min="2810" max="2811" width="15.85546875" style="391" customWidth="1"/>
    <col min="2812" max="2817" width="9.140625" style="391"/>
    <col min="2818" max="2818" width="55.5703125" style="391" customWidth="1"/>
    <col min="2819" max="2819" width="17.85546875" style="391" customWidth="1"/>
    <col min="2820" max="2820" width="17.5703125" style="391" customWidth="1"/>
    <col min="2821" max="2821" width="17.28515625" style="391" customWidth="1"/>
    <col min="2822" max="2822" width="18" style="391" customWidth="1"/>
    <col min="2823" max="3062" width="9.140625" style="391"/>
    <col min="3063" max="3063" width="46.7109375" style="391" customWidth="1"/>
    <col min="3064" max="3064" width="13.42578125" style="391" customWidth="1"/>
    <col min="3065" max="3065" width="13.28515625" style="391" customWidth="1"/>
    <col min="3066" max="3067" width="15.85546875" style="391" customWidth="1"/>
    <col min="3068" max="3073" width="9.140625" style="391"/>
    <col min="3074" max="3074" width="55.5703125" style="391" customWidth="1"/>
    <col min="3075" max="3075" width="17.85546875" style="391" customWidth="1"/>
    <col min="3076" max="3076" width="17.5703125" style="391" customWidth="1"/>
    <col min="3077" max="3077" width="17.28515625" style="391" customWidth="1"/>
    <col min="3078" max="3078" width="18" style="391" customWidth="1"/>
    <col min="3079" max="3318" width="9.140625" style="391"/>
    <col min="3319" max="3319" width="46.7109375" style="391" customWidth="1"/>
    <col min="3320" max="3320" width="13.42578125" style="391" customWidth="1"/>
    <col min="3321" max="3321" width="13.28515625" style="391" customWidth="1"/>
    <col min="3322" max="3323" width="15.85546875" style="391" customWidth="1"/>
    <col min="3324" max="3329" width="9.140625" style="391"/>
    <col min="3330" max="3330" width="55.5703125" style="391" customWidth="1"/>
    <col min="3331" max="3331" width="17.85546875" style="391" customWidth="1"/>
    <col min="3332" max="3332" width="17.5703125" style="391" customWidth="1"/>
    <col min="3333" max="3333" width="17.28515625" style="391" customWidth="1"/>
    <col min="3334" max="3334" width="18" style="391" customWidth="1"/>
    <col min="3335" max="3574" width="9.140625" style="391"/>
    <col min="3575" max="3575" width="46.7109375" style="391" customWidth="1"/>
    <col min="3576" max="3576" width="13.42578125" style="391" customWidth="1"/>
    <col min="3577" max="3577" width="13.28515625" style="391" customWidth="1"/>
    <col min="3578" max="3579" width="15.85546875" style="391" customWidth="1"/>
    <col min="3580" max="3585" width="9.140625" style="391"/>
    <col min="3586" max="3586" width="55.5703125" style="391" customWidth="1"/>
    <col min="3587" max="3587" width="17.85546875" style="391" customWidth="1"/>
    <col min="3588" max="3588" width="17.5703125" style="391" customWidth="1"/>
    <col min="3589" max="3589" width="17.28515625" style="391" customWidth="1"/>
    <col min="3590" max="3590" width="18" style="391" customWidth="1"/>
    <col min="3591" max="3830" width="9.140625" style="391"/>
    <col min="3831" max="3831" width="46.7109375" style="391" customWidth="1"/>
    <col min="3832" max="3832" width="13.42578125" style="391" customWidth="1"/>
    <col min="3833" max="3833" width="13.28515625" style="391" customWidth="1"/>
    <col min="3834" max="3835" width="15.85546875" style="391" customWidth="1"/>
    <col min="3836" max="3841" width="9.140625" style="391"/>
    <col min="3842" max="3842" width="55.5703125" style="391" customWidth="1"/>
    <col min="3843" max="3843" width="17.85546875" style="391" customWidth="1"/>
    <col min="3844" max="3844" width="17.5703125" style="391" customWidth="1"/>
    <col min="3845" max="3845" width="17.28515625" style="391" customWidth="1"/>
    <col min="3846" max="3846" width="18" style="391" customWidth="1"/>
    <col min="3847" max="4086" width="9.140625" style="391"/>
    <col min="4087" max="4087" width="46.7109375" style="391" customWidth="1"/>
    <col min="4088" max="4088" width="13.42578125" style="391" customWidth="1"/>
    <col min="4089" max="4089" width="13.28515625" style="391" customWidth="1"/>
    <col min="4090" max="4091" width="15.85546875" style="391" customWidth="1"/>
    <col min="4092" max="4097" width="9.140625" style="391"/>
    <col min="4098" max="4098" width="55.5703125" style="391" customWidth="1"/>
    <col min="4099" max="4099" width="17.85546875" style="391" customWidth="1"/>
    <col min="4100" max="4100" width="17.5703125" style="391" customWidth="1"/>
    <col min="4101" max="4101" width="17.28515625" style="391" customWidth="1"/>
    <col min="4102" max="4102" width="18" style="391" customWidth="1"/>
    <col min="4103" max="4342" width="9.140625" style="391"/>
    <col min="4343" max="4343" width="46.7109375" style="391" customWidth="1"/>
    <col min="4344" max="4344" width="13.42578125" style="391" customWidth="1"/>
    <col min="4345" max="4345" width="13.28515625" style="391" customWidth="1"/>
    <col min="4346" max="4347" width="15.85546875" style="391" customWidth="1"/>
    <col min="4348" max="4353" width="9.140625" style="391"/>
    <col min="4354" max="4354" width="55.5703125" style="391" customWidth="1"/>
    <col min="4355" max="4355" width="17.85546875" style="391" customWidth="1"/>
    <col min="4356" max="4356" width="17.5703125" style="391" customWidth="1"/>
    <col min="4357" max="4357" width="17.28515625" style="391" customWidth="1"/>
    <col min="4358" max="4358" width="18" style="391" customWidth="1"/>
    <col min="4359" max="4598" width="9.140625" style="391"/>
    <col min="4599" max="4599" width="46.7109375" style="391" customWidth="1"/>
    <col min="4600" max="4600" width="13.42578125" style="391" customWidth="1"/>
    <col min="4601" max="4601" width="13.28515625" style="391" customWidth="1"/>
    <col min="4602" max="4603" width="15.85546875" style="391" customWidth="1"/>
    <col min="4604" max="4609" width="9.140625" style="391"/>
    <col min="4610" max="4610" width="55.5703125" style="391" customWidth="1"/>
    <col min="4611" max="4611" width="17.85546875" style="391" customWidth="1"/>
    <col min="4612" max="4612" width="17.5703125" style="391" customWidth="1"/>
    <col min="4613" max="4613" width="17.28515625" style="391" customWidth="1"/>
    <col min="4614" max="4614" width="18" style="391" customWidth="1"/>
    <col min="4615" max="4854" width="9.140625" style="391"/>
    <col min="4855" max="4855" width="46.7109375" style="391" customWidth="1"/>
    <col min="4856" max="4856" width="13.42578125" style="391" customWidth="1"/>
    <col min="4857" max="4857" width="13.28515625" style="391" customWidth="1"/>
    <col min="4858" max="4859" width="15.85546875" style="391" customWidth="1"/>
    <col min="4860" max="4865" width="9.140625" style="391"/>
    <col min="4866" max="4866" width="55.5703125" style="391" customWidth="1"/>
    <col min="4867" max="4867" width="17.85546875" style="391" customWidth="1"/>
    <col min="4868" max="4868" width="17.5703125" style="391" customWidth="1"/>
    <col min="4869" max="4869" width="17.28515625" style="391" customWidth="1"/>
    <col min="4870" max="4870" width="18" style="391" customWidth="1"/>
    <col min="4871" max="5110" width="9.140625" style="391"/>
    <col min="5111" max="5111" width="46.7109375" style="391" customWidth="1"/>
    <col min="5112" max="5112" width="13.42578125" style="391" customWidth="1"/>
    <col min="5113" max="5113" width="13.28515625" style="391" customWidth="1"/>
    <col min="5114" max="5115" width="15.85546875" style="391" customWidth="1"/>
    <col min="5116" max="5121" width="9.140625" style="391"/>
    <col min="5122" max="5122" width="55.5703125" style="391" customWidth="1"/>
    <col min="5123" max="5123" width="17.85546875" style="391" customWidth="1"/>
    <col min="5124" max="5124" width="17.5703125" style="391" customWidth="1"/>
    <col min="5125" max="5125" width="17.28515625" style="391" customWidth="1"/>
    <col min="5126" max="5126" width="18" style="391" customWidth="1"/>
    <col min="5127" max="5366" width="9.140625" style="391"/>
    <col min="5367" max="5367" width="46.7109375" style="391" customWidth="1"/>
    <col min="5368" max="5368" width="13.42578125" style="391" customWidth="1"/>
    <col min="5369" max="5369" width="13.28515625" style="391" customWidth="1"/>
    <col min="5370" max="5371" width="15.85546875" style="391" customWidth="1"/>
    <col min="5372" max="5377" width="9.140625" style="391"/>
    <col min="5378" max="5378" width="55.5703125" style="391" customWidth="1"/>
    <col min="5379" max="5379" width="17.85546875" style="391" customWidth="1"/>
    <col min="5380" max="5380" width="17.5703125" style="391" customWidth="1"/>
    <col min="5381" max="5381" width="17.28515625" style="391" customWidth="1"/>
    <col min="5382" max="5382" width="18" style="391" customWidth="1"/>
    <col min="5383" max="5622" width="9.140625" style="391"/>
    <col min="5623" max="5623" width="46.7109375" style="391" customWidth="1"/>
    <col min="5624" max="5624" width="13.42578125" style="391" customWidth="1"/>
    <col min="5625" max="5625" width="13.28515625" style="391" customWidth="1"/>
    <col min="5626" max="5627" width="15.85546875" style="391" customWidth="1"/>
    <col min="5628" max="5633" width="9.140625" style="391"/>
    <col min="5634" max="5634" width="55.5703125" style="391" customWidth="1"/>
    <col min="5635" max="5635" width="17.85546875" style="391" customWidth="1"/>
    <col min="5636" max="5636" width="17.5703125" style="391" customWidth="1"/>
    <col min="5637" max="5637" width="17.28515625" style="391" customWidth="1"/>
    <col min="5638" max="5638" width="18" style="391" customWidth="1"/>
    <col min="5639" max="5878" width="9.140625" style="391"/>
    <col min="5879" max="5879" width="46.7109375" style="391" customWidth="1"/>
    <col min="5880" max="5880" width="13.42578125" style="391" customWidth="1"/>
    <col min="5881" max="5881" width="13.28515625" style="391" customWidth="1"/>
    <col min="5882" max="5883" width="15.85546875" style="391" customWidth="1"/>
    <col min="5884" max="5889" width="9.140625" style="391"/>
    <col min="5890" max="5890" width="55.5703125" style="391" customWidth="1"/>
    <col min="5891" max="5891" width="17.85546875" style="391" customWidth="1"/>
    <col min="5892" max="5892" width="17.5703125" style="391" customWidth="1"/>
    <col min="5893" max="5893" width="17.28515625" style="391" customWidth="1"/>
    <col min="5894" max="5894" width="18" style="391" customWidth="1"/>
    <col min="5895" max="6134" width="9.140625" style="391"/>
    <col min="6135" max="6135" width="46.7109375" style="391" customWidth="1"/>
    <col min="6136" max="6136" width="13.42578125" style="391" customWidth="1"/>
    <col min="6137" max="6137" width="13.28515625" style="391" customWidth="1"/>
    <col min="6138" max="6139" width="15.85546875" style="391" customWidth="1"/>
    <col min="6140" max="6145" width="9.140625" style="391"/>
    <col min="6146" max="6146" width="55.5703125" style="391" customWidth="1"/>
    <col min="6147" max="6147" width="17.85546875" style="391" customWidth="1"/>
    <col min="6148" max="6148" width="17.5703125" style="391" customWidth="1"/>
    <col min="6149" max="6149" width="17.28515625" style="391" customWidth="1"/>
    <col min="6150" max="6150" width="18" style="391" customWidth="1"/>
    <col min="6151" max="6390" width="9.140625" style="391"/>
    <col min="6391" max="6391" width="46.7109375" style="391" customWidth="1"/>
    <col min="6392" max="6392" width="13.42578125" style="391" customWidth="1"/>
    <col min="6393" max="6393" width="13.28515625" style="391" customWidth="1"/>
    <col min="6394" max="6395" width="15.85546875" style="391" customWidth="1"/>
    <col min="6396" max="6401" width="9.140625" style="391"/>
    <col min="6402" max="6402" width="55.5703125" style="391" customWidth="1"/>
    <col min="6403" max="6403" width="17.85546875" style="391" customWidth="1"/>
    <col min="6404" max="6404" width="17.5703125" style="391" customWidth="1"/>
    <col min="6405" max="6405" width="17.28515625" style="391" customWidth="1"/>
    <col min="6406" max="6406" width="18" style="391" customWidth="1"/>
    <col min="6407" max="6646" width="9.140625" style="391"/>
    <col min="6647" max="6647" width="46.7109375" style="391" customWidth="1"/>
    <col min="6648" max="6648" width="13.42578125" style="391" customWidth="1"/>
    <col min="6649" max="6649" width="13.28515625" style="391" customWidth="1"/>
    <col min="6650" max="6651" width="15.85546875" style="391" customWidth="1"/>
    <col min="6652" max="6657" width="9.140625" style="391"/>
    <col min="6658" max="6658" width="55.5703125" style="391" customWidth="1"/>
    <col min="6659" max="6659" width="17.85546875" style="391" customWidth="1"/>
    <col min="6660" max="6660" width="17.5703125" style="391" customWidth="1"/>
    <col min="6661" max="6661" width="17.28515625" style="391" customWidth="1"/>
    <col min="6662" max="6662" width="18" style="391" customWidth="1"/>
    <col min="6663" max="6902" width="9.140625" style="391"/>
    <col min="6903" max="6903" width="46.7109375" style="391" customWidth="1"/>
    <col min="6904" max="6904" width="13.42578125" style="391" customWidth="1"/>
    <col min="6905" max="6905" width="13.28515625" style="391" customWidth="1"/>
    <col min="6906" max="6907" width="15.85546875" style="391" customWidth="1"/>
    <col min="6908" max="6913" width="9.140625" style="391"/>
    <col min="6914" max="6914" width="55.5703125" style="391" customWidth="1"/>
    <col min="6915" max="6915" width="17.85546875" style="391" customWidth="1"/>
    <col min="6916" max="6916" width="17.5703125" style="391" customWidth="1"/>
    <col min="6917" max="6917" width="17.28515625" style="391" customWidth="1"/>
    <col min="6918" max="6918" width="18" style="391" customWidth="1"/>
    <col min="6919" max="7158" width="9.140625" style="391"/>
    <col min="7159" max="7159" width="46.7109375" style="391" customWidth="1"/>
    <col min="7160" max="7160" width="13.42578125" style="391" customWidth="1"/>
    <col min="7161" max="7161" width="13.28515625" style="391" customWidth="1"/>
    <col min="7162" max="7163" width="15.85546875" style="391" customWidth="1"/>
    <col min="7164" max="7169" width="9.140625" style="391"/>
    <col min="7170" max="7170" width="55.5703125" style="391" customWidth="1"/>
    <col min="7171" max="7171" width="17.85546875" style="391" customWidth="1"/>
    <col min="7172" max="7172" width="17.5703125" style="391" customWidth="1"/>
    <col min="7173" max="7173" width="17.28515625" style="391" customWidth="1"/>
    <col min="7174" max="7174" width="18" style="391" customWidth="1"/>
    <col min="7175" max="7414" width="9.140625" style="391"/>
    <col min="7415" max="7415" width="46.7109375" style="391" customWidth="1"/>
    <col min="7416" max="7416" width="13.42578125" style="391" customWidth="1"/>
    <col min="7417" max="7417" width="13.28515625" style="391" customWidth="1"/>
    <col min="7418" max="7419" width="15.85546875" style="391" customWidth="1"/>
    <col min="7420" max="7425" width="9.140625" style="391"/>
    <col min="7426" max="7426" width="55.5703125" style="391" customWidth="1"/>
    <col min="7427" max="7427" width="17.85546875" style="391" customWidth="1"/>
    <col min="7428" max="7428" width="17.5703125" style="391" customWidth="1"/>
    <col min="7429" max="7429" width="17.28515625" style="391" customWidth="1"/>
    <col min="7430" max="7430" width="18" style="391" customWidth="1"/>
    <col min="7431" max="7670" width="9.140625" style="391"/>
    <col min="7671" max="7671" width="46.7109375" style="391" customWidth="1"/>
    <col min="7672" max="7672" width="13.42578125" style="391" customWidth="1"/>
    <col min="7673" max="7673" width="13.28515625" style="391" customWidth="1"/>
    <col min="7674" max="7675" width="15.85546875" style="391" customWidth="1"/>
    <col min="7676" max="7681" width="9.140625" style="391"/>
    <col min="7682" max="7682" width="55.5703125" style="391" customWidth="1"/>
    <col min="7683" max="7683" width="17.85546875" style="391" customWidth="1"/>
    <col min="7684" max="7684" width="17.5703125" style="391" customWidth="1"/>
    <col min="7685" max="7685" width="17.28515625" style="391" customWidth="1"/>
    <col min="7686" max="7686" width="18" style="391" customWidth="1"/>
    <col min="7687" max="7926" width="9.140625" style="391"/>
    <col min="7927" max="7927" width="46.7109375" style="391" customWidth="1"/>
    <col min="7928" max="7928" width="13.42578125" style="391" customWidth="1"/>
    <col min="7929" max="7929" width="13.28515625" style="391" customWidth="1"/>
    <col min="7930" max="7931" width="15.85546875" style="391" customWidth="1"/>
    <col min="7932" max="7937" width="9.140625" style="391"/>
    <col min="7938" max="7938" width="55.5703125" style="391" customWidth="1"/>
    <col min="7939" max="7939" width="17.85546875" style="391" customWidth="1"/>
    <col min="7940" max="7940" width="17.5703125" style="391" customWidth="1"/>
    <col min="7941" max="7941" width="17.28515625" style="391" customWidth="1"/>
    <col min="7942" max="7942" width="18" style="391" customWidth="1"/>
    <col min="7943" max="8182" width="9.140625" style="391"/>
    <col min="8183" max="8183" width="46.7109375" style="391" customWidth="1"/>
    <col min="8184" max="8184" width="13.42578125" style="391" customWidth="1"/>
    <col min="8185" max="8185" width="13.28515625" style="391" customWidth="1"/>
    <col min="8186" max="8187" width="15.85546875" style="391" customWidth="1"/>
    <col min="8188" max="8193" width="9.140625" style="391"/>
    <col min="8194" max="8194" width="55.5703125" style="391" customWidth="1"/>
    <col min="8195" max="8195" width="17.85546875" style="391" customWidth="1"/>
    <col min="8196" max="8196" width="17.5703125" style="391" customWidth="1"/>
    <col min="8197" max="8197" width="17.28515625" style="391" customWidth="1"/>
    <col min="8198" max="8198" width="18" style="391" customWidth="1"/>
    <col min="8199" max="8438" width="9.140625" style="391"/>
    <col min="8439" max="8439" width="46.7109375" style="391" customWidth="1"/>
    <col min="8440" max="8440" width="13.42578125" style="391" customWidth="1"/>
    <col min="8441" max="8441" width="13.28515625" style="391" customWidth="1"/>
    <col min="8442" max="8443" width="15.85546875" style="391" customWidth="1"/>
    <col min="8444" max="8449" width="9.140625" style="391"/>
    <col min="8450" max="8450" width="55.5703125" style="391" customWidth="1"/>
    <col min="8451" max="8451" width="17.85546875" style="391" customWidth="1"/>
    <col min="8452" max="8452" width="17.5703125" style="391" customWidth="1"/>
    <col min="8453" max="8453" width="17.28515625" style="391" customWidth="1"/>
    <col min="8454" max="8454" width="18" style="391" customWidth="1"/>
    <col min="8455" max="8694" width="9.140625" style="391"/>
    <col min="8695" max="8695" width="46.7109375" style="391" customWidth="1"/>
    <col min="8696" max="8696" width="13.42578125" style="391" customWidth="1"/>
    <col min="8697" max="8697" width="13.28515625" style="391" customWidth="1"/>
    <col min="8698" max="8699" width="15.85546875" style="391" customWidth="1"/>
    <col min="8700" max="8705" width="9.140625" style="391"/>
    <col min="8706" max="8706" width="55.5703125" style="391" customWidth="1"/>
    <col min="8707" max="8707" width="17.85546875" style="391" customWidth="1"/>
    <col min="8708" max="8708" width="17.5703125" style="391" customWidth="1"/>
    <col min="8709" max="8709" width="17.28515625" style="391" customWidth="1"/>
    <col min="8710" max="8710" width="18" style="391" customWidth="1"/>
    <col min="8711" max="8950" width="9.140625" style="391"/>
    <col min="8951" max="8951" width="46.7109375" style="391" customWidth="1"/>
    <col min="8952" max="8952" width="13.42578125" style="391" customWidth="1"/>
    <col min="8953" max="8953" width="13.28515625" style="391" customWidth="1"/>
    <col min="8954" max="8955" width="15.85546875" style="391" customWidth="1"/>
    <col min="8956" max="8961" width="9.140625" style="391"/>
    <col min="8962" max="8962" width="55.5703125" style="391" customWidth="1"/>
    <col min="8963" max="8963" width="17.85546875" style="391" customWidth="1"/>
    <col min="8964" max="8964" width="17.5703125" style="391" customWidth="1"/>
    <col min="8965" max="8965" width="17.28515625" style="391" customWidth="1"/>
    <col min="8966" max="8966" width="18" style="391" customWidth="1"/>
    <col min="8967" max="9206" width="9.140625" style="391"/>
    <col min="9207" max="9207" width="46.7109375" style="391" customWidth="1"/>
    <col min="9208" max="9208" width="13.42578125" style="391" customWidth="1"/>
    <col min="9209" max="9209" width="13.28515625" style="391" customWidth="1"/>
    <col min="9210" max="9211" width="15.85546875" style="391" customWidth="1"/>
    <col min="9212" max="9217" width="9.140625" style="391"/>
    <col min="9218" max="9218" width="55.5703125" style="391" customWidth="1"/>
    <col min="9219" max="9219" width="17.85546875" style="391" customWidth="1"/>
    <col min="9220" max="9220" width="17.5703125" style="391" customWidth="1"/>
    <col min="9221" max="9221" width="17.28515625" style="391" customWidth="1"/>
    <col min="9222" max="9222" width="18" style="391" customWidth="1"/>
    <col min="9223" max="9462" width="9.140625" style="391"/>
    <col min="9463" max="9463" width="46.7109375" style="391" customWidth="1"/>
    <col min="9464" max="9464" width="13.42578125" style="391" customWidth="1"/>
    <col min="9465" max="9465" width="13.28515625" style="391" customWidth="1"/>
    <col min="9466" max="9467" width="15.85546875" style="391" customWidth="1"/>
    <col min="9468" max="9473" width="9.140625" style="391"/>
    <col min="9474" max="9474" width="55.5703125" style="391" customWidth="1"/>
    <col min="9475" max="9475" width="17.85546875" style="391" customWidth="1"/>
    <col min="9476" max="9476" width="17.5703125" style="391" customWidth="1"/>
    <col min="9477" max="9477" width="17.28515625" style="391" customWidth="1"/>
    <col min="9478" max="9478" width="18" style="391" customWidth="1"/>
    <col min="9479" max="9718" width="9.140625" style="391"/>
    <col min="9719" max="9719" width="46.7109375" style="391" customWidth="1"/>
    <col min="9720" max="9720" width="13.42578125" style="391" customWidth="1"/>
    <col min="9721" max="9721" width="13.28515625" style="391" customWidth="1"/>
    <col min="9722" max="9723" width="15.85546875" style="391" customWidth="1"/>
    <col min="9724" max="9729" width="9.140625" style="391"/>
    <col min="9730" max="9730" width="55.5703125" style="391" customWidth="1"/>
    <col min="9731" max="9731" width="17.85546875" style="391" customWidth="1"/>
    <col min="9732" max="9732" width="17.5703125" style="391" customWidth="1"/>
    <col min="9733" max="9733" width="17.28515625" style="391" customWidth="1"/>
    <col min="9734" max="9734" width="18" style="391" customWidth="1"/>
    <col min="9735" max="9974" width="9.140625" style="391"/>
    <col min="9975" max="9975" width="46.7109375" style="391" customWidth="1"/>
    <col min="9976" max="9976" width="13.42578125" style="391" customWidth="1"/>
    <col min="9977" max="9977" width="13.28515625" style="391" customWidth="1"/>
    <col min="9978" max="9979" width="15.85546875" style="391" customWidth="1"/>
    <col min="9980" max="9985" width="9.140625" style="391"/>
    <col min="9986" max="9986" width="55.5703125" style="391" customWidth="1"/>
    <col min="9987" max="9987" width="17.85546875" style="391" customWidth="1"/>
    <col min="9988" max="9988" width="17.5703125" style="391" customWidth="1"/>
    <col min="9989" max="9989" width="17.28515625" style="391" customWidth="1"/>
    <col min="9990" max="9990" width="18" style="391" customWidth="1"/>
    <col min="9991" max="10230" width="9.140625" style="391"/>
    <col min="10231" max="10231" width="46.7109375" style="391" customWidth="1"/>
    <col min="10232" max="10232" width="13.42578125" style="391" customWidth="1"/>
    <col min="10233" max="10233" width="13.28515625" style="391" customWidth="1"/>
    <col min="10234" max="10235" width="15.85546875" style="391" customWidth="1"/>
    <col min="10236" max="10241" width="9.140625" style="391"/>
    <col min="10242" max="10242" width="55.5703125" style="391" customWidth="1"/>
    <col min="10243" max="10243" width="17.85546875" style="391" customWidth="1"/>
    <col min="10244" max="10244" width="17.5703125" style="391" customWidth="1"/>
    <col min="10245" max="10245" width="17.28515625" style="391" customWidth="1"/>
    <col min="10246" max="10246" width="18" style="391" customWidth="1"/>
    <col min="10247" max="10486" width="9.140625" style="391"/>
    <col min="10487" max="10487" width="46.7109375" style="391" customWidth="1"/>
    <col min="10488" max="10488" width="13.42578125" style="391" customWidth="1"/>
    <col min="10489" max="10489" width="13.28515625" style="391" customWidth="1"/>
    <col min="10490" max="10491" width="15.85546875" style="391" customWidth="1"/>
    <col min="10492" max="10497" width="9.140625" style="391"/>
    <col min="10498" max="10498" width="55.5703125" style="391" customWidth="1"/>
    <col min="10499" max="10499" width="17.85546875" style="391" customWidth="1"/>
    <col min="10500" max="10500" width="17.5703125" style="391" customWidth="1"/>
    <col min="10501" max="10501" width="17.28515625" style="391" customWidth="1"/>
    <col min="10502" max="10502" width="18" style="391" customWidth="1"/>
    <col min="10503" max="10742" width="9.140625" style="391"/>
    <col min="10743" max="10743" width="46.7109375" style="391" customWidth="1"/>
    <col min="10744" max="10744" width="13.42578125" style="391" customWidth="1"/>
    <col min="10745" max="10745" width="13.28515625" style="391" customWidth="1"/>
    <col min="10746" max="10747" width="15.85546875" style="391" customWidth="1"/>
    <col min="10748" max="10753" width="9.140625" style="391"/>
    <col min="10754" max="10754" width="55.5703125" style="391" customWidth="1"/>
    <col min="10755" max="10755" width="17.85546875" style="391" customWidth="1"/>
    <col min="10756" max="10756" width="17.5703125" style="391" customWidth="1"/>
    <col min="10757" max="10757" width="17.28515625" style="391" customWidth="1"/>
    <col min="10758" max="10758" width="18" style="391" customWidth="1"/>
    <col min="10759" max="10998" width="9.140625" style="391"/>
    <col min="10999" max="10999" width="46.7109375" style="391" customWidth="1"/>
    <col min="11000" max="11000" width="13.42578125" style="391" customWidth="1"/>
    <col min="11001" max="11001" width="13.28515625" style="391" customWidth="1"/>
    <col min="11002" max="11003" width="15.85546875" style="391" customWidth="1"/>
    <col min="11004" max="11009" width="9.140625" style="391"/>
    <col min="11010" max="11010" width="55.5703125" style="391" customWidth="1"/>
    <col min="11011" max="11011" width="17.85546875" style="391" customWidth="1"/>
    <col min="11012" max="11012" width="17.5703125" style="391" customWidth="1"/>
    <col min="11013" max="11013" width="17.28515625" style="391" customWidth="1"/>
    <col min="11014" max="11014" width="18" style="391" customWidth="1"/>
    <col min="11015" max="11254" width="9.140625" style="391"/>
    <col min="11255" max="11255" width="46.7109375" style="391" customWidth="1"/>
    <col min="11256" max="11256" width="13.42578125" style="391" customWidth="1"/>
    <col min="11257" max="11257" width="13.28515625" style="391" customWidth="1"/>
    <col min="11258" max="11259" width="15.85546875" style="391" customWidth="1"/>
    <col min="11260" max="11265" width="9.140625" style="391"/>
    <col min="11266" max="11266" width="55.5703125" style="391" customWidth="1"/>
    <col min="11267" max="11267" width="17.85546875" style="391" customWidth="1"/>
    <col min="11268" max="11268" width="17.5703125" style="391" customWidth="1"/>
    <col min="11269" max="11269" width="17.28515625" style="391" customWidth="1"/>
    <col min="11270" max="11270" width="18" style="391" customWidth="1"/>
    <col min="11271" max="11510" width="9.140625" style="391"/>
    <col min="11511" max="11511" width="46.7109375" style="391" customWidth="1"/>
    <col min="11512" max="11512" width="13.42578125" style="391" customWidth="1"/>
    <col min="11513" max="11513" width="13.28515625" style="391" customWidth="1"/>
    <col min="11514" max="11515" width="15.85546875" style="391" customWidth="1"/>
    <col min="11516" max="11521" width="9.140625" style="391"/>
    <col min="11522" max="11522" width="55.5703125" style="391" customWidth="1"/>
    <col min="11523" max="11523" width="17.85546875" style="391" customWidth="1"/>
    <col min="11524" max="11524" width="17.5703125" style="391" customWidth="1"/>
    <col min="11525" max="11525" width="17.28515625" style="391" customWidth="1"/>
    <col min="11526" max="11526" width="18" style="391" customWidth="1"/>
    <col min="11527" max="11766" width="9.140625" style="391"/>
    <col min="11767" max="11767" width="46.7109375" style="391" customWidth="1"/>
    <col min="11768" max="11768" width="13.42578125" style="391" customWidth="1"/>
    <col min="11769" max="11769" width="13.28515625" style="391" customWidth="1"/>
    <col min="11770" max="11771" width="15.85546875" style="391" customWidth="1"/>
    <col min="11772" max="11777" width="9.140625" style="391"/>
    <col min="11778" max="11778" width="55.5703125" style="391" customWidth="1"/>
    <col min="11779" max="11779" width="17.85546875" style="391" customWidth="1"/>
    <col min="11780" max="11780" width="17.5703125" style="391" customWidth="1"/>
    <col min="11781" max="11781" width="17.28515625" style="391" customWidth="1"/>
    <col min="11782" max="11782" width="18" style="391" customWidth="1"/>
    <col min="11783" max="12022" width="9.140625" style="391"/>
    <col min="12023" max="12023" width="46.7109375" style="391" customWidth="1"/>
    <col min="12024" max="12024" width="13.42578125" style="391" customWidth="1"/>
    <col min="12025" max="12025" width="13.28515625" style="391" customWidth="1"/>
    <col min="12026" max="12027" width="15.85546875" style="391" customWidth="1"/>
    <col min="12028" max="12033" width="9.140625" style="391"/>
    <col min="12034" max="12034" width="55.5703125" style="391" customWidth="1"/>
    <col min="12035" max="12035" width="17.85546875" style="391" customWidth="1"/>
    <col min="12036" max="12036" width="17.5703125" style="391" customWidth="1"/>
    <col min="12037" max="12037" width="17.28515625" style="391" customWidth="1"/>
    <col min="12038" max="12038" width="18" style="391" customWidth="1"/>
    <col min="12039" max="12278" width="9.140625" style="391"/>
    <col min="12279" max="12279" width="46.7109375" style="391" customWidth="1"/>
    <col min="12280" max="12280" width="13.42578125" style="391" customWidth="1"/>
    <col min="12281" max="12281" width="13.28515625" style="391" customWidth="1"/>
    <col min="12282" max="12283" width="15.85546875" style="391" customWidth="1"/>
    <col min="12284" max="12289" width="9.140625" style="391"/>
    <col min="12290" max="12290" width="55.5703125" style="391" customWidth="1"/>
    <col min="12291" max="12291" width="17.85546875" style="391" customWidth="1"/>
    <col min="12292" max="12292" width="17.5703125" style="391" customWidth="1"/>
    <col min="12293" max="12293" width="17.28515625" style="391" customWidth="1"/>
    <col min="12294" max="12294" width="18" style="391" customWidth="1"/>
    <col min="12295" max="12534" width="9.140625" style="391"/>
    <col min="12535" max="12535" width="46.7109375" style="391" customWidth="1"/>
    <col min="12536" max="12536" width="13.42578125" style="391" customWidth="1"/>
    <col min="12537" max="12537" width="13.28515625" style="391" customWidth="1"/>
    <col min="12538" max="12539" width="15.85546875" style="391" customWidth="1"/>
    <col min="12540" max="12545" width="9.140625" style="391"/>
    <col min="12546" max="12546" width="55.5703125" style="391" customWidth="1"/>
    <col min="12547" max="12547" width="17.85546875" style="391" customWidth="1"/>
    <col min="12548" max="12548" width="17.5703125" style="391" customWidth="1"/>
    <col min="12549" max="12549" width="17.28515625" style="391" customWidth="1"/>
    <col min="12550" max="12550" width="18" style="391" customWidth="1"/>
    <col min="12551" max="12790" width="9.140625" style="391"/>
    <col min="12791" max="12791" width="46.7109375" style="391" customWidth="1"/>
    <col min="12792" max="12792" width="13.42578125" style="391" customWidth="1"/>
    <col min="12793" max="12793" width="13.28515625" style="391" customWidth="1"/>
    <col min="12794" max="12795" width="15.85546875" style="391" customWidth="1"/>
    <col min="12796" max="12801" width="9.140625" style="391"/>
    <col min="12802" max="12802" width="55.5703125" style="391" customWidth="1"/>
    <col min="12803" max="12803" width="17.85546875" style="391" customWidth="1"/>
    <col min="12804" max="12804" width="17.5703125" style="391" customWidth="1"/>
    <col min="12805" max="12805" width="17.28515625" style="391" customWidth="1"/>
    <col min="12806" max="12806" width="18" style="391" customWidth="1"/>
    <col min="12807" max="13046" width="9.140625" style="391"/>
    <col min="13047" max="13047" width="46.7109375" style="391" customWidth="1"/>
    <col min="13048" max="13048" width="13.42578125" style="391" customWidth="1"/>
    <col min="13049" max="13049" width="13.28515625" style="391" customWidth="1"/>
    <col min="13050" max="13051" width="15.85546875" style="391" customWidth="1"/>
    <col min="13052" max="13057" width="9.140625" style="391"/>
    <col min="13058" max="13058" width="55.5703125" style="391" customWidth="1"/>
    <col min="13059" max="13059" width="17.85546875" style="391" customWidth="1"/>
    <col min="13060" max="13060" width="17.5703125" style="391" customWidth="1"/>
    <col min="13061" max="13061" width="17.28515625" style="391" customWidth="1"/>
    <col min="13062" max="13062" width="18" style="391" customWidth="1"/>
    <col min="13063" max="13302" width="9.140625" style="391"/>
    <col min="13303" max="13303" width="46.7109375" style="391" customWidth="1"/>
    <col min="13304" max="13304" width="13.42578125" style="391" customWidth="1"/>
    <col min="13305" max="13305" width="13.28515625" style="391" customWidth="1"/>
    <col min="13306" max="13307" width="15.85546875" style="391" customWidth="1"/>
    <col min="13308" max="13313" width="9.140625" style="391"/>
    <col min="13314" max="13314" width="55.5703125" style="391" customWidth="1"/>
    <col min="13315" max="13315" width="17.85546875" style="391" customWidth="1"/>
    <col min="13316" max="13316" width="17.5703125" style="391" customWidth="1"/>
    <col min="13317" max="13317" width="17.28515625" style="391" customWidth="1"/>
    <col min="13318" max="13318" width="18" style="391" customWidth="1"/>
    <col min="13319" max="13558" width="9.140625" style="391"/>
    <col min="13559" max="13559" width="46.7109375" style="391" customWidth="1"/>
    <col min="13560" max="13560" width="13.42578125" style="391" customWidth="1"/>
    <col min="13561" max="13561" width="13.28515625" style="391" customWidth="1"/>
    <col min="13562" max="13563" width="15.85546875" style="391" customWidth="1"/>
    <col min="13564" max="13569" width="9.140625" style="391"/>
    <col min="13570" max="13570" width="55.5703125" style="391" customWidth="1"/>
    <col min="13571" max="13571" width="17.85546875" style="391" customWidth="1"/>
    <col min="13572" max="13572" width="17.5703125" style="391" customWidth="1"/>
    <col min="13573" max="13573" width="17.28515625" style="391" customWidth="1"/>
    <col min="13574" max="13574" width="18" style="391" customWidth="1"/>
    <col min="13575" max="13814" width="9.140625" style="391"/>
    <col min="13815" max="13815" width="46.7109375" style="391" customWidth="1"/>
    <col min="13816" max="13816" width="13.42578125" style="391" customWidth="1"/>
    <col min="13817" max="13817" width="13.28515625" style="391" customWidth="1"/>
    <col min="13818" max="13819" width="15.85546875" style="391" customWidth="1"/>
    <col min="13820" max="13825" width="9.140625" style="391"/>
    <col min="13826" max="13826" width="55.5703125" style="391" customWidth="1"/>
    <col min="13827" max="13827" width="17.85546875" style="391" customWidth="1"/>
    <col min="13828" max="13828" width="17.5703125" style="391" customWidth="1"/>
    <col min="13829" max="13829" width="17.28515625" style="391" customWidth="1"/>
    <col min="13830" max="13830" width="18" style="391" customWidth="1"/>
    <col min="13831" max="14070" width="9.140625" style="391"/>
    <col min="14071" max="14071" width="46.7109375" style="391" customWidth="1"/>
    <col min="14072" max="14072" width="13.42578125" style="391" customWidth="1"/>
    <col min="14073" max="14073" width="13.28515625" style="391" customWidth="1"/>
    <col min="14074" max="14075" width="15.85546875" style="391" customWidth="1"/>
    <col min="14076" max="14081" width="9.140625" style="391"/>
    <col min="14082" max="14082" width="55.5703125" style="391" customWidth="1"/>
    <col min="14083" max="14083" width="17.85546875" style="391" customWidth="1"/>
    <col min="14084" max="14084" width="17.5703125" style="391" customWidth="1"/>
    <col min="14085" max="14085" width="17.28515625" style="391" customWidth="1"/>
    <col min="14086" max="14086" width="18" style="391" customWidth="1"/>
    <col min="14087" max="14326" width="9.140625" style="391"/>
    <col min="14327" max="14327" width="46.7109375" style="391" customWidth="1"/>
    <col min="14328" max="14328" width="13.42578125" style="391" customWidth="1"/>
    <col min="14329" max="14329" width="13.28515625" style="391" customWidth="1"/>
    <col min="14330" max="14331" width="15.85546875" style="391" customWidth="1"/>
    <col min="14332" max="14337" width="9.140625" style="391"/>
    <col min="14338" max="14338" width="55.5703125" style="391" customWidth="1"/>
    <col min="14339" max="14339" width="17.85546875" style="391" customWidth="1"/>
    <col min="14340" max="14340" width="17.5703125" style="391" customWidth="1"/>
    <col min="14341" max="14341" width="17.28515625" style="391" customWidth="1"/>
    <col min="14342" max="14342" width="18" style="391" customWidth="1"/>
    <col min="14343" max="14582" width="9.140625" style="391"/>
    <col min="14583" max="14583" width="46.7109375" style="391" customWidth="1"/>
    <col min="14584" max="14584" width="13.42578125" style="391" customWidth="1"/>
    <col min="14585" max="14585" width="13.28515625" style="391" customWidth="1"/>
    <col min="14586" max="14587" width="15.85546875" style="391" customWidth="1"/>
    <col min="14588" max="14593" width="9.140625" style="391"/>
    <col min="14594" max="14594" width="55.5703125" style="391" customWidth="1"/>
    <col min="14595" max="14595" width="17.85546875" style="391" customWidth="1"/>
    <col min="14596" max="14596" width="17.5703125" style="391" customWidth="1"/>
    <col min="14597" max="14597" width="17.28515625" style="391" customWidth="1"/>
    <col min="14598" max="14598" width="18" style="391" customWidth="1"/>
    <col min="14599" max="14838" width="9.140625" style="391"/>
    <col min="14839" max="14839" width="46.7109375" style="391" customWidth="1"/>
    <col min="14840" max="14840" width="13.42578125" style="391" customWidth="1"/>
    <col min="14841" max="14841" width="13.28515625" style="391" customWidth="1"/>
    <col min="14842" max="14843" width="15.85546875" style="391" customWidth="1"/>
    <col min="14844" max="14849" width="9.140625" style="391"/>
    <col min="14850" max="14850" width="55.5703125" style="391" customWidth="1"/>
    <col min="14851" max="14851" width="17.85546875" style="391" customWidth="1"/>
    <col min="14852" max="14852" width="17.5703125" style="391" customWidth="1"/>
    <col min="14853" max="14853" width="17.28515625" style="391" customWidth="1"/>
    <col min="14854" max="14854" width="18" style="391" customWidth="1"/>
    <col min="14855" max="15094" width="9.140625" style="391"/>
    <col min="15095" max="15095" width="46.7109375" style="391" customWidth="1"/>
    <col min="15096" max="15096" width="13.42578125" style="391" customWidth="1"/>
    <col min="15097" max="15097" width="13.28515625" style="391" customWidth="1"/>
    <col min="15098" max="15099" width="15.85546875" style="391" customWidth="1"/>
    <col min="15100" max="15105" width="9.140625" style="391"/>
    <col min="15106" max="15106" width="55.5703125" style="391" customWidth="1"/>
    <col min="15107" max="15107" width="17.85546875" style="391" customWidth="1"/>
    <col min="15108" max="15108" width="17.5703125" style="391" customWidth="1"/>
    <col min="15109" max="15109" width="17.28515625" style="391" customWidth="1"/>
    <col min="15110" max="15110" width="18" style="391" customWidth="1"/>
    <col min="15111" max="15350" width="9.140625" style="391"/>
    <col min="15351" max="15351" width="46.7109375" style="391" customWidth="1"/>
    <col min="15352" max="15352" width="13.42578125" style="391" customWidth="1"/>
    <col min="15353" max="15353" width="13.28515625" style="391" customWidth="1"/>
    <col min="15354" max="15355" width="15.85546875" style="391" customWidth="1"/>
    <col min="15356" max="15361" width="9.140625" style="391"/>
    <col min="15362" max="15362" width="55.5703125" style="391" customWidth="1"/>
    <col min="15363" max="15363" width="17.85546875" style="391" customWidth="1"/>
    <col min="15364" max="15364" width="17.5703125" style="391" customWidth="1"/>
    <col min="15365" max="15365" width="17.28515625" style="391" customWidth="1"/>
    <col min="15366" max="15366" width="18" style="391" customWidth="1"/>
    <col min="15367" max="15606" width="9.140625" style="391"/>
    <col min="15607" max="15607" width="46.7109375" style="391" customWidth="1"/>
    <col min="15608" max="15608" width="13.42578125" style="391" customWidth="1"/>
    <col min="15609" max="15609" width="13.28515625" style="391" customWidth="1"/>
    <col min="15610" max="15611" width="15.85546875" style="391" customWidth="1"/>
    <col min="15612" max="15617" width="9.140625" style="391"/>
    <col min="15618" max="15618" width="55.5703125" style="391" customWidth="1"/>
    <col min="15619" max="15619" width="17.85546875" style="391" customWidth="1"/>
    <col min="15620" max="15620" width="17.5703125" style="391" customWidth="1"/>
    <col min="15621" max="15621" width="17.28515625" style="391" customWidth="1"/>
    <col min="15622" max="15622" width="18" style="391" customWidth="1"/>
    <col min="15623" max="15862" width="9.140625" style="391"/>
    <col min="15863" max="15863" width="46.7109375" style="391" customWidth="1"/>
    <col min="15864" max="15864" width="13.42578125" style="391" customWidth="1"/>
    <col min="15865" max="15865" width="13.28515625" style="391" customWidth="1"/>
    <col min="15866" max="15867" width="15.85546875" style="391" customWidth="1"/>
    <col min="15868" max="15873" width="9.140625" style="391"/>
    <col min="15874" max="15874" width="55.5703125" style="391" customWidth="1"/>
    <col min="15875" max="15875" width="17.85546875" style="391" customWidth="1"/>
    <col min="15876" max="15876" width="17.5703125" style="391" customWidth="1"/>
    <col min="15877" max="15877" width="17.28515625" style="391" customWidth="1"/>
    <col min="15878" max="15878" width="18" style="391" customWidth="1"/>
    <col min="15879" max="16118" width="9.140625" style="391"/>
    <col min="16119" max="16119" width="46.7109375" style="391" customWidth="1"/>
    <col min="16120" max="16120" width="13.42578125" style="391" customWidth="1"/>
    <col min="16121" max="16121" width="13.28515625" style="391" customWidth="1"/>
    <col min="16122" max="16123" width="15.85546875" style="391" customWidth="1"/>
    <col min="16124" max="16129" width="9.140625" style="391"/>
    <col min="16130" max="16130" width="55.5703125" style="391" customWidth="1"/>
    <col min="16131" max="16131" width="17.85546875" style="391" customWidth="1"/>
    <col min="16132" max="16132" width="17.5703125" style="391" customWidth="1"/>
    <col min="16133" max="16133" width="17.28515625" style="391" customWidth="1"/>
    <col min="16134" max="16134" width="18" style="391" customWidth="1"/>
    <col min="16135" max="16374" width="9.140625" style="391"/>
    <col min="16375" max="16375" width="46.7109375" style="391" customWidth="1"/>
    <col min="16376" max="16376" width="13.42578125" style="391" customWidth="1"/>
    <col min="16377" max="16377" width="13.28515625" style="391" customWidth="1"/>
    <col min="16378" max="16379" width="15.85546875" style="391" customWidth="1"/>
    <col min="16380" max="16384" width="9.140625" style="391"/>
  </cols>
  <sheetData>
    <row r="1" spans="1:7" x14ac:dyDescent="0.25">
      <c r="E1" s="521" t="s">
        <v>294</v>
      </c>
      <c r="F1" s="521"/>
      <c r="G1" s="521"/>
    </row>
    <row r="2" spans="1:7" ht="105" customHeight="1" x14ac:dyDescent="0.25">
      <c r="E2" s="505" t="s">
        <v>188</v>
      </c>
      <c r="F2" s="505"/>
      <c r="G2" s="505"/>
    </row>
    <row r="4" spans="1:7" ht="90.75" customHeight="1" x14ac:dyDescent="0.25">
      <c r="A4" s="522" t="s">
        <v>295</v>
      </c>
      <c r="B4" s="522"/>
      <c r="C4" s="522"/>
      <c r="D4" s="522"/>
      <c r="E4" s="522"/>
      <c r="F4" s="522"/>
      <c r="G4" s="522"/>
    </row>
    <row r="5" spans="1:7" ht="18.75" x14ac:dyDescent="0.25">
      <c r="A5" s="393"/>
      <c r="B5" s="393"/>
      <c r="C5" s="393"/>
      <c r="D5" s="393"/>
      <c r="E5" s="393"/>
      <c r="F5" s="393"/>
      <c r="G5" s="393"/>
    </row>
    <row r="6" spans="1:7" ht="15.75" thickBot="1" x14ac:dyDescent="0.3">
      <c r="A6" s="392"/>
      <c r="B6" s="523"/>
      <c r="C6" s="523"/>
      <c r="D6" s="523"/>
      <c r="E6" s="524"/>
      <c r="F6" s="524"/>
    </row>
    <row r="7" spans="1:7" ht="16.5" thickBot="1" x14ac:dyDescent="0.3">
      <c r="A7" s="525" t="s">
        <v>157</v>
      </c>
      <c r="B7" s="528" t="s">
        <v>191</v>
      </c>
      <c r="C7" s="531" t="s">
        <v>296</v>
      </c>
      <c r="D7" s="532"/>
      <c r="E7" s="533" t="s">
        <v>297</v>
      </c>
      <c r="F7" s="534"/>
      <c r="G7" s="535"/>
    </row>
    <row r="8" spans="1:7" ht="110.25" x14ac:dyDescent="0.25">
      <c r="A8" s="526"/>
      <c r="B8" s="529"/>
      <c r="C8" s="536" t="s">
        <v>298</v>
      </c>
      <c r="D8" s="394" t="s">
        <v>299</v>
      </c>
      <c r="E8" s="395" t="s">
        <v>93</v>
      </c>
      <c r="F8" s="396" t="s">
        <v>199</v>
      </c>
      <c r="G8" s="397" t="s">
        <v>200</v>
      </c>
    </row>
    <row r="9" spans="1:7" ht="15.75" hidden="1" x14ac:dyDescent="0.25">
      <c r="A9" s="526"/>
      <c r="B9" s="529"/>
      <c r="C9" s="537"/>
      <c r="D9" s="394"/>
      <c r="E9" s="395"/>
      <c r="F9" s="396"/>
      <c r="G9" s="398"/>
    </row>
    <row r="10" spans="1:7" ht="15.75" hidden="1" x14ac:dyDescent="0.25">
      <c r="A10" s="526"/>
      <c r="B10" s="529"/>
      <c r="C10" s="537"/>
      <c r="D10" s="394"/>
      <c r="E10" s="395"/>
      <c r="F10" s="396"/>
      <c r="G10" s="398"/>
    </row>
    <row r="11" spans="1:7" ht="63.75" thickBot="1" x14ac:dyDescent="0.3">
      <c r="A11" s="527"/>
      <c r="B11" s="530"/>
      <c r="C11" s="399" t="s">
        <v>11</v>
      </c>
      <c r="D11" s="400" t="s">
        <v>300</v>
      </c>
      <c r="E11" s="401" t="s">
        <v>301</v>
      </c>
      <c r="F11" s="402" t="s">
        <v>301</v>
      </c>
      <c r="G11" s="403" t="s">
        <v>301</v>
      </c>
    </row>
    <row r="12" spans="1:7" x14ac:dyDescent="0.25">
      <c r="A12" s="404">
        <v>1</v>
      </c>
      <c r="B12" s="404">
        <v>2</v>
      </c>
      <c r="C12" s="405">
        <v>3</v>
      </c>
      <c r="D12" s="406">
        <v>4</v>
      </c>
      <c r="E12" s="407">
        <v>5</v>
      </c>
      <c r="F12" s="408">
        <v>6</v>
      </c>
      <c r="G12" s="409"/>
    </row>
    <row r="13" spans="1:7" ht="56.25" x14ac:dyDescent="0.25">
      <c r="A13" s="410">
        <v>1</v>
      </c>
      <c r="B13" s="411" t="s">
        <v>302</v>
      </c>
      <c r="C13" s="412">
        <f>[1]Д6_послугаТариф!C34</f>
        <v>1066.1581788790311</v>
      </c>
      <c r="D13" s="413">
        <f>[1]Д6_послугаТариф!I11</f>
        <v>183.41127404094581</v>
      </c>
      <c r="E13" s="414">
        <f>[1]ГВП!M13</f>
        <v>65.882959436225633</v>
      </c>
      <c r="F13" s="415">
        <f>[1]ГВП!O13</f>
        <v>64.274161416637099</v>
      </c>
      <c r="G13" s="416">
        <f>[1]ГВП!Q13</f>
        <v>62.710459524751727</v>
      </c>
    </row>
    <row r="14" spans="1:7" ht="18.75" hidden="1" x14ac:dyDescent="0.25">
      <c r="A14" s="417" t="s">
        <v>13</v>
      </c>
      <c r="B14" s="411" t="s">
        <v>303</v>
      </c>
      <c r="C14" s="412"/>
      <c r="D14" s="413"/>
      <c r="E14" s="414"/>
      <c r="F14" s="415"/>
      <c r="G14" s="416"/>
    </row>
    <row r="15" spans="1:7" ht="18.75" hidden="1" x14ac:dyDescent="0.3">
      <c r="A15" s="410">
        <v>2</v>
      </c>
      <c r="B15" s="411" t="s">
        <v>206</v>
      </c>
      <c r="C15" s="418">
        <f>C16+C18</f>
        <v>22.245243215788424</v>
      </c>
      <c r="D15" s="419">
        <f>D16+D18</f>
        <v>4.1586490701737286</v>
      </c>
      <c r="E15" s="418"/>
      <c r="F15" s="420"/>
      <c r="G15" s="421"/>
    </row>
    <row r="16" spans="1:7" ht="18.75" hidden="1" x14ac:dyDescent="0.3">
      <c r="A16" s="410" t="s">
        <v>207</v>
      </c>
      <c r="B16" s="411" t="s">
        <v>36</v>
      </c>
      <c r="C16" s="422">
        <f>[1]Д6_послугаТариф!G13+[1]Д6_послугаТариф!G14</f>
        <v>20.256948104445687</v>
      </c>
      <c r="D16" s="423">
        <f>[1]Д6_послугаТариф!I13+[1]Д6_послугаТариф!I14</f>
        <v>3.8166025082609556</v>
      </c>
      <c r="E16" s="418"/>
      <c r="F16" s="420"/>
      <c r="G16" s="421"/>
    </row>
    <row r="17" spans="1:7" ht="18.75" hidden="1" x14ac:dyDescent="0.3">
      <c r="A17" s="410" t="s">
        <v>208</v>
      </c>
      <c r="B17" s="411" t="s">
        <v>304</v>
      </c>
      <c r="C17" s="422"/>
      <c r="D17" s="423"/>
      <c r="E17" s="418"/>
      <c r="F17" s="420"/>
      <c r="G17" s="421"/>
    </row>
    <row r="18" spans="1:7" ht="18.75" hidden="1" x14ac:dyDescent="0.3">
      <c r="A18" s="410" t="s">
        <v>210</v>
      </c>
      <c r="B18" s="411" t="s">
        <v>211</v>
      </c>
      <c r="C18" s="422">
        <f>[1]Д6_послугаТариф!G15</f>
        <v>1.988295111342737</v>
      </c>
      <c r="D18" s="423">
        <f>[1]Д6_послугаТариф!I15</f>
        <v>0.34204656191277277</v>
      </c>
      <c r="E18" s="418"/>
      <c r="F18" s="420"/>
      <c r="G18" s="421"/>
    </row>
    <row r="19" spans="1:7" ht="75" hidden="1" x14ac:dyDescent="0.3">
      <c r="A19" s="410">
        <v>3</v>
      </c>
      <c r="B19" s="411" t="s">
        <v>305</v>
      </c>
      <c r="C19" s="422">
        <v>0</v>
      </c>
      <c r="D19" s="423" t="s">
        <v>306</v>
      </c>
      <c r="E19" s="418">
        <v>0</v>
      </c>
      <c r="F19" s="420">
        <v>0</v>
      </c>
      <c r="G19" s="421"/>
    </row>
    <row r="20" spans="1:7" ht="37.5" x14ac:dyDescent="0.25">
      <c r="A20" s="410">
        <v>2</v>
      </c>
      <c r="B20" s="411" t="s">
        <v>307</v>
      </c>
      <c r="C20" s="422" t="s">
        <v>306</v>
      </c>
      <c r="D20" s="423" t="s">
        <v>306</v>
      </c>
      <c r="E20" s="418">
        <f>[1]ГВП!M18</f>
        <v>14.352812795256961</v>
      </c>
      <c r="F20" s="420">
        <f>[1]ГВП!O18</f>
        <v>12.52591648783751</v>
      </c>
      <c r="G20" s="416">
        <f>[1]ГВП!Q18</f>
        <v>13.117422809381358</v>
      </c>
    </row>
    <row r="21" spans="1:7" ht="37.5" hidden="1" x14ac:dyDescent="0.3">
      <c r="A21" s="410">
        <v>4</v>
      </c>
      <c r="B21" s="411" t="s">
        <v>214</v>
      </c>
      <c r="C21" s="422">
        <f>[1]Д6_послугаТариф!G17</f>
        <v>-818.29262721712826</v>
      </c>
      <c r="D21" s="423">
        <f>[1]Д6_послугаТариф!I17</f>
        <v>-140.77094400195483</v>
      </c>
      <c r="E21" s="418">
        <f>[1]ГВП!M19</f>
        <v>0</v>
      </c>
      <c r="F21" s="420">
        <f>[1]ГВП!O19</f>
        <v>0</v>
      </c>
      <c r="G21" s="424">
        <f>[1]ГВП!Q19</f>
        <v>0</v>
      </c>
    </row>
    <row r="22" spans="1:7" ht="56.25" x14ac:dyDescent="0.25">
      <c r="A22" s="410">
        <v>3</v>
      </c>
      <c r="B22" s="411" t="s">
        <v>216</v>
      </c>
      <c r="C22" s="422">
        <f>[1]Д6_послугаТариф!G18</f>
        <v>270.11079487769126</v>
      </c>
      <c r="D22" s="423">
        <f>[1]Д6_послугаТариф!I18</f>
        <v>46.798979109164719</v>
      </c>
      <c r="E22" s="425">
        <f>E13+E20+E21</f>
        <v>80.235772231482599</v>
      </c>
      <c r="F22" s="420">
        <f t="shared" ref="F22:G22" si="0">F13+F20+F21</f>
        <v>76.800077904474605</v>
      </c>
      <c r="G22" s="426">
        <f t="shared" si="0"/>
        <v>75.827882334133079</v>
      </c>
    </row>
    <row r="23" spans="1:7" ht="18.75" x14ac:dyDescent="0.3">
      <c r="A23" s="410">
        <v>4</v>
      </c>
      <c r="B23" s="411" t="s">
        <v>308</v>
      </c>
      <c r="C23" s="422">
        <f>[1]Д6_послугаТариф!G23</f>
        <v>3.0540287256411545</v>
      </c>
      <c r="D23" s="423">
        <f>[1]Д6_послугаТариф!I23</f>
        <v>0.52803160301652341</v>
      </c>
      <c r="E23" s="418">
        <f>[1]ГВП!M22</f>
        <v>5.6368059877031493</v>
      </c>
      <c r="F23" s="427">
        <f>[1]ГВП!O22</f>
        <v>6.9806044829376557</v>
      </c>
      <c r="G23" s="424">
        <f>[1]ГВП!Q22</f>
        <v>6.6498262227309599</v>
      </c>
    </row>
    <row r="24" spans="1:7" ht="37.5" hidden="1" x14ac:dyDescent="0.25">
      <c r="A24" s="417" t="s">
        <v>218</v>
      </c>
      <c r="B24" s="411" t="s">
        <v>219</v>
      </c>
      <c r="C24" s="422"/>
      <c r="D24" s="423"/>
      <c r="E24" s="425">
        <f>E23-E25</f>
        <v>4.6221809099165823</v>
      </c>
      <c r="F24" s="420">
        <f t="shared" ref="F24:G24" si="1">F23-F25</f>
        <v>5.7240956760088775</v>
      </c>
      <c r="G24" s="426">
        <f t="shared" si="1"/>
        <v>5.4528575026393868</v>
      </c>
    </row>
    <row r="25" spans="1:7" ht="18.75" hidden="1" x14ac:dyDescent="0.3">
      <c r="A25" s="417" t="s">
        <v>220</v>
      </c>
      <c r="B25" s="411" t="s">
        <v>182</v>
      </c>
      <c r="C25" s="422"/>
      <c r="D25" s="423"/>
      <c r="E25" s="418">
        <f>[1]ГВП!M24</f>
        <v>1.0146250777865669</v>
      </c>
      <c r="F25" s="428">
        <f>[1]ГВП!O24</f>
        <v>1.256508806928778</v>
      </c>
      <c r="G25" s="424">
        <f>[1]ГВП!Q24</f>
        <v>1.1969687200915728</v>
      </c>
    </row>
    <row r="26" spans="1:7" ht="37.5" hidden="1" x14ac:dyDescent="0.25">
      <c r="A26" s="410">
        <v>7</v>
      </c>
      <c r="B26" s="411" t="s">
        <v>309</v>
      </c>
      <c r="C26" s="422">
        <f>[1]Д6_послугаТариф!G24</f>
        <v>273.16482360333237</v>
      </c>
      <c r="D26" s="423">
        <f>[1]Д6_послугаТариф!I24</f>
        <v>47.327010712181242</v>
      </c>
      <c r="E26" s="425">
        <f>E22+E23</f>
        <v>85.872578219185755</v>
      </c>
      <c r="F26" s="420">
        <f t="shared" ref="F26:G26" si="2">F22+F23</f>
        <v>83.780682387412256</v>
      </c>
      <c r="G26" s="426">
        <f t="shared" si="2"/>
        <v>82.477708556864044</v>
      </c>
    </row>
    <row r="27" spans="1:7" ht="18.75" hidden="1" x14ac:dyDescent="0.3">
      <c r="A27" s="410">
        <v>9</v>
      </c>
      <c r="B27" s="411" t="s">
        <v>217</v>
      </c>
      <c r="C27" s="429">
        <f>[1]Д6_послугаТариф!G21</f>
        <v>92.443618198331649</v>
      </c>
      <c r="D27" s="430">
        <f>[1]Д6_послугаТариф!I21</f>
        <v>15.903082794466421</v>
      </c>
      <c r="E27" s="431"/>
      <c r="F27" s="432"/>
      <c r="G27" s="424"/>
    </row>
    <row r="28" spans="1:7" ht="18.75" hidden="1" x14ac:dyDescent="0.3">
      <c r="A28" s="410" t="s">
        <v>310</v>
      </c>
      <c r="B28" s="411" t="s">
        <v>311</v>
      </c>
      <c r="C28" s="429">
        <v>0</v>
      </c>
      <c r="D28" s="430">
        <v>0</v>
      </c>
      <c r="E28" s="431"/>
      <c r="F28" s="432"/>
      <c r="G28" s="421"/>
    </row>
    <row r="29" spans="1:7" ht="18.75" hidden="1" x14ac:dyDescent="0.3">
      <c r="A29" s="410" t="s">
        <v>312</v>
      </c>
      <c r="B29" s="411" t="s">
        <v>182</v>
      </c>
      <c r="C29" s="429">
        <f>[1]Д6_послугаТариф!G22</f>
        <v>20.292501555731338</v>
      </c>
      <c r="D29" s="430">
        <f>[1]Д6_послугаТариф!I22</f>
        <v>3.4909206134194579</v>
      </c>
      <c r="E29" s="431"/>
      <c r="F29" s="432"/>
      <c r="G29" s="421"/>
    </row>
    <row r="30" spans="1:7" ht="18.75" x14ac:dyDescent="0.25">
      <c r="A30" s="433">
        <v>5</v>
      </c>
      <c r="B30" s="434" t="s">
        <v>313</v>
      </c>
      <c r="C30" s="435">
        <f>C26+C27+C29</f>
        <v>385.90094335739536</v>
      </c>
      <c r="D30" s="436">
        <f>D26+D27+D29</f>
        <v>66.721014120067125</v>
      </c>
      <c r="E30" s="437">
        <f>E26+E27+E29</f>
        <v>85.872578219185755</v>
      </c>
      <c r="F30" s="438">
        <f>F26+F27+F29</f>
        <v>83.780682387412256</v>
      </c>
      <c r="G30" s="439">
        <f>G26+G27+G29</f>
        <v>82.477708556864044</v>
      </c>
    </row>
    <row r="31" spans="1:7" ht="18.75" x14ac:dyDescent="0.25">
      <c r="A31" s="410">
        <v>6</v>
      </c>
      <c r="B31" s="411" t="s">
        <v>314</v>
      </c>
      <c r="C31" s="440">
        <f>C30*20%</f>
        <v>77.180188671479073</v>
      </c>
      <c r="D31" s="441">
        <f>D30*20%</f>
        <v>13.344202824013426</v>
      </c>
      <c r="E31" s="442">
        <f>E30*20%</f>
        <v>17.17451564383715</v>
      </c>
      <c r="F31" s="443">
        <f>F30*20%</f>
        <v>16.756136477482453</v>
      </c>
      <c r="G31" s="444">
        <f>G30*20%</f>
        <v>16.495541711372809</v>
      </c>
    </row>
    <row r="32" spans="1:7" ht="19.5" thickBot="1" x14ac:dyDescent="0.3">
      <c r="A32" s="445">
        <v>7</v>
      </c>
      <c r="B32" s="446" t="s">
        <v>315</v>
      </c>
      <c r="C32" s="447">
        <f>C30+C31</f>
        <v>463.08113202887444</v>
      </c>
      <c r="D32" s="448">
        <f>D30+D31</f>
        <v>80.065216944080547</v>
      </c>
      <c r="E32" s="447">
        <f>E30+E31</f>
        <v>103.04709386302291</v>
      </c>
      <c r="F32" s="449">
        <f>F30+F31</f>
        <v>100.53681886489471</v>
      </c>
      <c r="G32" s="450">
        <f>G30+G31</f>
        <v>98.973250268236853</v>
      </c>
    </row>
    <row r="33" spans="1:7" ht="34.5" hidden="1" x14ac:dyDescent="0.25">
      <c r="A33" s="451">
        <v>13</v>
      </c>
      <c r="B33" s="452" t="s">
        <v>316</v>
      </c>
      <c r="C33" s="440" t="s">
        <v>317</v>
      </c>
      <c r="D33" s="453">
        <f>C32*0.0279</f>
        <v>12.919963583605597</v>
      </c>
      <c r="E33" s="440" t="s">
        <v>317</v>
      </c>
      <c r="F33" s="454" t="s">
        <v>317</v>
      </c>
      <c r="G33" s="455"/>
    </row>
    <row r="34" spans="1:7" ht="32.25" hidden="1" thickBot="1" x14ac:dyDescent="0.3">
      <c r="A34" s="456">
        <v>14</v>
      </c>
      <c r="B34" s="457" t="s">
        <v>318</v>
      </c>
      <c r="C34" s="458">
        <v>187</v>
      </c>
      <c r="D34" s="459">
        <v>187</v>
      </c>
      <c r="E34" s="460" t="s">
        <v>317</v>
      </c>
      <c r="F34" s="461" t="s">
        <v>317</v>
      </c>
      <c r="G34" s="462"/>
    </row>
    <row r="37" spans="1:7" ht="18.75" x14ac:dyDescent="0.3">
      <c r="B37" s="463"/>
      <c r="C37" s="464"/>
      <c r="D37" s="465"/>
      <c r="E37" s="519"/>
      <c r="F37" s="519"/>
    </row>
    <row r="38" spans="1:7" s="467" customFormat="1" ht="18.75" x14ac:dyDescent="0.25">
      <c r="A38" s="520" t="s">
        <v>103</v>
      </c>
      <c r="B38" s="520"/>
      <c r="C38" s="520"/>
      <c r="D38" s="466"/>
      <c r="F38" s="520" t="s">
        <v>104</v>
      </c>
      <c r="G38" s="520"/>
    </row>
  </sheetData>
  <mergeCells count="12">
    <mergeCell ref="E37:F37"/>
    <mergeCell ref="A38:C38"/>
    <mergeCell ref="F38:G38"/>
    <mergeCell ref="E1:G1"/>
    <mergeCell ref="E2:G2"/>
    <mergeCell ref="A4:G4"/>
    <mergeCell ref="B6:F6"/>
    <mergeCell ref="A7:A11"/>
    <mergeCell ref="B7:B11"/>
    <mergeCell ref="C7:D7"/>
    <mergeCell ref="E7:G7"/>
    <mergeCell ref="C8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тариф</vt:lpstr>
      <vt:lpstr>виробництво</vt:lpstr>
      <vt:lpstr>транспортування</vt:lpstr>
      <vt:lpstr>постачання</vt:lpstr>
      <vt:lpstr>Лист7</vt:lpstr>
      <vt:lpstr>Лист8</vt:lpstr>
    </vt:vector>
  </TitlesOfParts>
  <Company>PAO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Волкова Юлія Володимирівна</cp:lastModifiedBy>
  <cp:lastPrinted>2020-06-26T10:41:05Z</cp:lastPrinted>
  <dcterms:created xsi:type="dcterms:W3CDTF">2020-06-26T10:37:12Z</dcterms:created>
  <dcterms:modified xsi:type="dcterms:W3CDTF">2020-07-01T07:42:37Z</dcterms:modified>
</cp:coreProperties>
</file>