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915" activeTab="2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Коефіцієнти'!$A$1:$H$35</definedName>
    <definedName name="_xlnm.Print_Area" localSheetId="7">'6.2. Інша інфо_2'!$A$1:$AF$62</definedName>
    <definedName name="_xlnm.Print_Area" localSheetId="1">'I. Фін результат'!$A$1:$I$102</definedName>
    <definedName name="_xlnm.Print_Area" localSheetId="4">'IV. Кап. інвестиції'!$A$1:$H$21</definedName>
    <definedName name="_xlnm.Print_Area" localSheetId="2">'ІІ. Розр. з бюджетом'!$A$1:$H$49</definedName>
    <definedName name="_xlnm.Print_Area" localSheetId="3">'ІІІ. Рух грош. коштів'!$A$1:$H$76</definedName>
    <definedName name="_xlnm.Print_Area" localSheetId="0">'Осн. фін. пок.'!$A$1:$H$90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4519" fullCalcOnLoad="1" refMode="R1C1"/>
</workbook>
</file>

<file path=xl/calcChain.xml><?xml version="1.0" encoding="utf-8"?>
<calcChain xmlns="http://schemas.openxmlformats.org/spreadsheetml/2006/main">
  <c r="D14" i="11"/>
  <c r="C69" i="14" s="1"/>
  <c r="C28" i="10"/>
  <c r="C77" i="14"/>
  <c r="D74"/>
  <c r="C74"/>
  <c r="F42" i="2"/>
  <c r="E55"/>
  <c r="E42"/>
  <c r="E41"/>
  <c r="E40"/>
  <c r="E39"/>
  <c r="E36"/>
  <c r="E35"/>
  <c r="E34"/>
  <c r="E30"/>
  <c r="E29"/>
  <c r="E28"/>
  <c r="E27"/>
  <c r="E25"/>
  <c r="E21"/>
  <c r="F40"/>
  <c r="F35"/>
  <c r="F30"/>
  <c r="F28"/>
  <c r="F26"/>
  <c r="D55"/>
  <c r="F55" s="1"/>
  <c r="D42"/>
  <c r="D40"/>
  <c r="D36"/>
  <c r="F36" s="1"/>
  <c r="D35"/>
  <c r="D34"/>
  <c r="F34" s="1"/>
  <c r="D30"/>
  <c r="D29"/>
  <c r="F29" s="1"/>
  <c r="D28"/>
  <c r="D27"/>
  <c r="F27" s="1"/>
  <c r="D26"/>
  <c r="D20"/>
  <c r="D50"/>
  <c r="E20"/>
  <c r="E50"/>
  <c r="E39" i="14" s="1"/>
  <c r="C55" i="2"/>
  <c r="C42"/>
  <c r="C41"/>
  <c r="C40"/>
  <c r="C39"/>
  <c r="C36"/>
  <c r="C35"/>
  <c r="C34"/>
  <c r="C30"/>
  <c r="C29"/>
  <c r="C28"/>
  <c r="C27"/>
  <c r="C26"/>
  <c r="E16"/>
  <c r="E15"/>
  <c r="E14"/>
  <c r="E13"/>
  <c r="E12"/>
  <c r="E11"/>
  <c r="E10"/>
  <c r="E9"/>
  <c r="D16"/>
  <c r="D15"/>
  <c r="D14"/>
  <c r="D13"/>
  <c r="D12"/>
  <c r="D11"/>
  <c r="D10"/>
  <c r="D8" s="1"/>
  <c r="D9"/>
  <c r="C16"/>
  <c r="C15"/>
  <c r="C14"/>
  <c r="C13"/>
  <c r="C12"/>
  <c r="C11"/>
  <c r="C10"/>
  <c r="C9"/>
  <c r="F11" i="3"/>
  <c r="C8" i="2"/>
  <c r="C17" s="1"/>
  <c r="C20"/>
  <c r="C50"/>
  <c r="F15"/>
  <c r="F91" s="1"/>
  <c r="E91"/>
  <c r="E80"/>
  <c r="D91"/>
  <c r="D80"/>
  <c r="C80"/>
  <c r="E34" i="14"/>
  <c r="F18" i="2"/>
  <c r="F29" i="10"/>
  <c r="F28"/>
  <c r="I29"/>
  <c r="F11"/>
  <c r="C11"/>
  <c r="C29"/>
  <c r="C27"/>
  <c r="F38" i="19"/>
  <c r="H38" s="1"/>
  <c r="G38"/>
  <c r="F37"/>
  <c r="H37" s="1"/>
  <c r="F36"/>
  <c r="H36" s="1"/>
  <c r="F30"/>
  <c r="G30"/>
  <c r="H24"/>
  <c r="F24"/>
  <c r="G24" s="1"/>
  <c r="E92" i="2"/>
  <c r="E87"/>
  <c r="F16"/>
  <c r="F13"/>
  <c r="F90" s="1"/>
  <c r="F12"/>
  <c r="F89" s="1"/>
  <c r="F10"/>
  <c r="F11"/>
  <c r="F88"/>
  <c r="F9"/>
  <c r="F14"/>
  <c r="F87" s="1"/>
  <c r="E90"/>
  <c r="E89"/>
  <c r="E88"/>
  <c r="D92"/>
  <c r="F61"/>
  <c r="D87"/>
  <c r="D88"/>
  <c r="D90"/>
  <c r="D89"/>
  <c r="D86"/>
  <c r="D93" s="1"/>
  <c r="C18"/>
  <c r="D18"/>
  <c r="I28" i="10"/>
  <c r="F6" i="3"/>
  <c r="F64" i="14"/>
  <c r="E64"/>
  <c r="D6" i="3"/>
  <c r="D64" i="14"/>
  <c r="E17" i="11" s="1"/>
  <c r="C6" i="3"/>
  <c r="C64" i="14"/>
  <c r="E86" i="2"/>
  <c r="D39" i="14"/>
  <c r="C39"/>
  <c r="F22" i="10"/>
  <c r="F18"/>
  <c r="C22"/>
  <c r="C26" s="1"/>
  <c r="I27"/>
  <c r="I11"/>
  <c r="F17" i="11"/>
  <c r="D17"/>
  <c r="D77" i="14"/>
  <c r="D69"/>
  <c r="D17" i="18"/>
  <c r="C17"/>
  <c r="E8" i="2"/>
  <c r="E56" s="1"/>
  <c r="D20" i="19"/>
  <c r="D26"/>
  <c r="D39"/>
  <c r="E26"/>
  <c r="E39"/>
  <c r="F26"/>
  <c r="F39"/>
  <c r="C20"/>
  <c r="C26"/>
  <c r="C39" s="1"/>
  <c r="C55" i="14" s="1"/>
  <c r="F54"/>
  <c r="E54"/>
  <c r="D54"/>
  <c r="C54"/>
  <c r="F52"/>
  <c r="D52"/>
  <c r="C52"/>
  <c r="D51"/>
  <c r="C51"/>
  <c r="D8" i="19"/>
  <c r="C8"/>
  <c r="D50" i="14"/>
  <c r="C50"/>
  <c r="F81" i="2"/>
  <c r="E81"/>
  <c r="D81"/>
  <c r="C81"/>
  <c r="F43"/>
  <c r="F63"/>
  <c r="F76"/>
  <c r="E43"/>
  <c r="E63"/>
  <c r="E77"/>
  <c r="E61"/>
  <c r="E76"/>
  <c r="D43"/>
  <c r="D63"/>
  <c r="D76"/>
  <c r="C43"/>
  <c r="C63"/>
  <c r="C77" s="1"/>
  <c r="C76"/>
  <c r="F34" i="14"/>
  <c r="F38"/>
  <c r="F43"/>
  <c r="F44"/>
  <c r="E35"/>
  <c r="E37"/>
  <c r="E38"/>
  <c r="E43"/>
  <c r="E44"/>
  <c r="D34"/>
  <c r="D37"/>
  <c r="D43"/>
  <c r="D44"/>
  <c r="C34"/>
  <c r="C36" s="1"/>
  <c r="C35"/>
  <c r="C37"/>
  <c r="C38"/>
  <c r="C43"/>
  <c r="C44"/>
  <c r="F26" i="10"/>
  <c r="F27"/>
  <c r="T53" i="9"/>
  <c r="R53"/>
  <c r="P53"/>
  <c r="N46"/>
  <c r="N47"/>
  <c r="N48"/>
  <c r="N49"/>
  <c r="N50"/>
  <c r="N51"/>
  <c r="N52"/>
  <c r="N53"/>
  <c r="L53"/>
  <c r="J53"/>
  <c r="H53"/>
  <c r="F53"/>
  <c r="G72" i="14"/>
  <c r="H72"/>
  <c r="G73"/>
  <c r="H73"/>
  <c r="G74"/>
  <c r="H74"/>
  <c r="G75"/>
  <c r="G76"/>
  <c r="H76"/>
  <c r="G78"/>
  <c r="G79"/>
  <c r="H71"/>
  <c r="G71"/>
  <c r="Z36" i="9"/>
  <c r="V36"/>
  <c r="R36"/>
  <c r="N36"/>
  <c r="Y36"/>
  <c r="U36"/>
  <c r="Q36"/>
  <c r="M36"/>
  <c r="AD32"/>
  <c r="AD33"/>
  <c r="AD34"/>
  <c r="AD35"/>
  <c r="AD36"/>
  <c r="AC34"/>
  <c r="AE34"/>
  <c r="AC32"/>
  <c r="AC33"/>
  <c r="AC35"/>
  <c r="AC36"/>
  <c r="AE35"/>
  <c r="AE32"/>
  <c r="AB36"/>
  <c r="AA35"/>
  <c r="AA36"/>
  <c r="AB35"/>
  <c r="X36"/>
  <c r="W32"/>
  <c r="W33"/>
  <c r="W34"/>
  <c r="W35"/>
  <c r="W36"/>
  <c r="X23"/>
  <c r="U23"/>
  <c r="AA23" s="1"/>
  <c r="AD23"/>
  <c r="AA22"/>
  <c r="R23"/>
  <c r="X10"/>
  <c r="U10"/>
  <c r="AA10" s="1"/>
  <c r="AA9"/>
  <c r="R10"/>
  <c r="D78" i="10"/>
  <c r="N78" s="1"/>
  <c r="H78"/>
  <c r="L78"/>
  <c r="F78"/>
  <c r="J78"/>
  <c r="M48"/>
  <c r="J51"/>
  <c r="K51"/>
  <c r="L51"/>
  <c r="J48"/>
  <c r="D52"/>
  <c r="G52"/>
  <c r="N12"/>
  <c r="N13"/>
  <c r="N14"/>
  <c r="I18"/>
  <c r="N18" s="1"/>
  <c r="N19"/>
  <c r="N20"/>
  <c r="N21"/>
  <c r="N23"/>
  <c r="N24"/>
  <c r="N25"/>
  <c r="N27"/>
  <c r="N28"/>
  <c r="N29"/>
  <c r="N11"/>
  <c r="L12"/>
  <c r="L13"/>
  <c r="L14"/>
  <c r="L19"/>
  <c r="L20"/>
  <c r="L21"/>
  <c r="L23"/>
  <c r="L24"/>
  <c r="L25"/>
  <c r="L27"/>
  <c r="L28"/>
  <c r="L29"/>
  <c r="L11"/>
  <c r="C18"/>
  <c r="E77" i="14"/>
  <c r="G77"/>
  <c r="E69"/>
  <c r="F69"/>
  <c r="D57"/>
  <c r="E57"/>
  <c r="F57"/>
  <c r="D61"/>
  <c r="E61"/>
  <c r="F61"/>
  <c r="C61"/>
  <c r="C57"/>
  <c r="G18" i="11"/>
  <c r="E15"/>
  <c r="F15"/>
  <c r="G15"/>
  <c r="D15"/>
  <c r="E14"/>
  <c r="F14"/>
  <c r="G14"/>
  <c r="E82" i="2"/>
  <c r="F82"/>
  <c r="G7" i="3"/>
  <c r="G8"/>
  <c r="G9"/>
  <c r="G10"/>
  <c r="G11"/>
  <c r="H11"/>
  <c r="G12"/>
  <c r="E6"/>
  <c r="G6" s="1"/>
  <c r="G34" i="18"/>
  <c r="G36"/>
  <c r="G38"/>
  <c r="G40"/>
  <c r="G41"/>
  <c r="G42"/>
  <c r="G43"/>
  <c r="G54"/>
  <c r="G55"/>
  <c r="F16"/>
  <c r="F27"/>
  <c r="G27" s="1"/>
  <c r="F39"/>
  <c r="F37"/>
  <c r="F46"/>
  <c r="F44"/>
  <c r="E16"/>
  <c r="E27"/>
  <c r="E21"/>
  <c r="E13" s="1"/>
  <c r="G35"/>
  <c r="E39"/>
  <c r="G39"/>
  <c r="E37"/>
  <c r="G37"/>
  <c r="E46"/>
  <c r="E44"/>
  <c r="D27"/>
  <c r="D21"/>
  <c r="D39"/>
  <c r="D37"/>
  <c r="D46"/>
  <c r="D44"/>
  <c r="C27"/>
  <c r="C21"/>
  <c r="C39"/>
  <c r="C37"/>
  <c r="C46"/>
  <c r="C44"/>
  <c r="E51" i="14"/>
  <c r="G51" s="1"/>
  <c r="F51"/>
  <c r="E52"/>
  <c r="D53"/>
  <c r="E53"/>
  <c r="F53"/>
  <c r="C53"/>
  <c r="H21" i="19"/>
  <c r="H26"/>
  <c r="H30"/>
  <c r="H34"/>
  <c r="E8"/>
  <c r="E50" i="14" s="1"/>
  <c r="F8" i="19"/>
  <c r="F50" i="14" s="1"/>
  <c r="G50" s="1"/>
  <c r="G43"/>
  <c r="G46"/>
  <c r="H69"/>
  <c r="H61"/>
  <c r="H57"/>
  <c r="H52"/>
  <c r="H54"/>
  <c r="H34"/>
  <c r="D18" i="11"/>
  <c r="D82" i="2"/>
  <c r="C82"/>
  <c r="H88"/>
  <c r="E93"/>
  <c r="H9"/>
  <c r="H10"/>
  <c r="H11"/>
  <c r="H12"/>
  <c r="H13"/>
  <c r="H14"/>
  <c r="H15"/>
  <c r="H16"/>
  <c r="H28"/>
  <c r="H30"/>
  <c r="H35"/>
  <c r="H40"/>
  <c r="H41"/>
  <c r="H42"/>
  <c r="H66"/>
  <c r="H67"/>
  <c r="H69"/>
  <c r="H70"/>
  <c r="H7"/>
  <c r="G69" i="14"/>
  <c r="C93" i="2"/>
  <c r="G88"/>
  <c r="G61" i="14"/>
  <c r="G57"/>
  <c r="G52"/>
  <c r="G34"/>
  <c r="K62" i="10"/>
  <c r="G33" i="19"/>
  <c r="G32"/>
  <c r="G31"/>
  <c r="G26"/>
  <c r="G25"/>
  <c r="G23"/>
  <c r="G20"/>
  <c r="G12"/>
  <c r="G8"/>
  <c r="G82" i="2"/>
  <c r="G70"/>
  <c r="G69"/>
  <c r="G66"/>
  <c r="G63"/>
  <c r="G62"/>
  <c r="G61"/>
  <c r="G60"/>
  <c r="G57"/>
  <c r="G42"/>
  <c r="G41"/>
  <c r="G40"/>
  <c r="G35"/>
  <c r="G30"/>
  <c r="G28"/>
  <c r="G26"/>
  <c r="G16"/>
  <c r="G15"/>
  <c r="G14"/>
  <c r="G13"/>
  <c r="G12"/>
  <c r="G11"/>
  <c r="G10"/>
  <c r="G9"/>
  <c r="G7"/>
  <c r="G81"/>
  <c r="G38" i="14"/>
  <c r="G44" i="18"/>
  <c r="E60" i="14"/>
  <c r="E55"/>
  <c r="F55"/>
  <c r="E18" i="11"/>
  <c r="H77" i="14"/>
  <c r="D55"/>
  <c r="F21" i="18"/>
  <c r="L18" i="10"/>
  <c r="AE33" i="9"/>
  <c r="AE36" s="1"/>
  <c r="H76" i="2"/>
  <c r="G76"/>
  <c r="G21" i="18"/>
  <c r="F13"/>
  <c r="G52"/>
  <c r="F60" i="14"/>
  <c r="H39" i="19"/>
  <c r="G39"/>
  <c r="G60" i="14"/>
  <c r="H60"/>
  <c r="F58"/>
  <c r="E8" i="11"/>
  <c r="E13"/>
  <c r="G44" i="14"/>
  <c r="C60"/>
  <c r="H59"/>
  <c r="F62"/>
  <c r="G64"/>
  <c r="F18" i="11"/>
  <c r="H64" i="14"/>
  <c r="Q37" i="9"/>
  <c r="Y37"/>
  <c r="M37"/>
  <c r="U37"/>
  <c r="AC37"/>
  <c r="Z37"/>
  <c r="R37"/>
  <c r="N37"/>
  <c r="V37"/>
  <c r="AD37"/>
  <c r="H6" i="3"/>
  <c r="D13" i="11"/>
  <c r="D8"/>
  <c r="E58" i="14"/>
  <c r="G33" i="18"/>
  <c r="F13" i="11"/>
  <c r="F8"/>
  <c r="E62" i="14"/>
  <c r="G58"/>
  <c r="H58"/>
  <c r="G53" i="18"/>
  <c r="H62" i="14"/>
  <c r="G62"/>
  <c r="G56" i="18"/>
  <c r="G8" i="11"/>
  <c r="G13"/>
  <c r="G41" i="14"/>
  <c r="G42"/>
  <c r="D60"/>
  <c r="H55" l="1"/>
  <c r="E36"/>
  <c r="C40"/>
  <c r="C45" s="1"/>
  <c r="C47" s="1"/>
  <c r="D7" i="11"/>
  <c r="E65" i="2"/>
  <c r="E68" s="1"/>
  <c r="E79"/>
  <c r="E84" s="1"/>
  <c r="I22" i="10"/>
  <c r="H89" i="2"/>
  <c r="G89"/>
  <c r="F20"/>
  <c r="H27"/>
  <c r="G27"/>
  <c r="H29"/>
  <c r="G29"/>
  <c r="H34"/>
  <c r="G34"/>
  <c r="H36"/>
  <c r="G36"/>
  <c r="F86"/>
  <c r="H87"/>
  <c r="G87"/>
  <c r="H90"/>
  <c r="G90"/>
  <c r="E40" i="14"/>
  <c r="E45" s="1"/>
  <c r="E47" s="1"/>
  <c r="F7" i="11"/>
  <c r="F80" i="2"/>
  <c r="G17" i="11"/>
  <c r="H91" i="2"/>
  <c r="G91"/>
  <c r="D56"/>
  <c r="D17"/>
  <c r="F8"/>
  <c r="D77"/>
  <c r="D35" i="14"/>
  <c r="D36" s="1"/>
  <c r="F50" i="2"/>
  <c r="G55"/>
  <c r="H55"/>
  <c r="G37" i="19"/>
  <c r="E17" i="2"/>
  <c r="C56"/>
  <c r="G36" i="19"/>
  <c r="D40" i="14" l="1"/>
  <c r="D45" s="1"/>
  <c r="D47" s="1"/>
  <c r="E7" i="11"/>
  <c r="H50" i="2"/>
  <c r="G50"/>
  <c r="F39" i="14"/>
  <c r="G86" i="2"/>
  <c r="H86"/>
  <c r="L22" i="10"/>
  <c r="I26"/>
  <c r="N22"/>
  <c r="C66" i="14"/>
  <c r="D9" i="11"/>
  <c r="D10"/>
  <c r="C68" i="14" s="1"/>
  <c r="D11" i="11"/>
  <c r="C48" i="14" s="1"/>
  <c r="C67"/>
  <c r="C65" i="2"/>
  <c r="C68" s="1"/>
  <c r="C18" i="19" s="1"/>
  <c r="C79" i="2"/>
  <c r="C84" s="1"/>
  <c r="F17"/>
  <c r="F77"/>
  <c r="F35" i="14"/>
  <c r="G8" i="2"/>
  <c r="F56"/>
  <c r="H8"/>
  <c r="D65"/>
  <c r="D68" s="1"/>
  <c r="D18" i="19" s="1"/>
  <c r="F18" s="1"/>
  <c r="G18" s="1"/>
  <c r="D79" i="2"/>
  <c r="D84" s="1"/>
  <c r="H80"/>
  <c r="G80"/>
  <c r="F11" i="11"/>
  <c r="E48" i="14" s="1"/>
  <c r="E67"/>
  <c r="E66"/>
  <c r="E68"/>
  <c r="F9" i="11"/>
  <c r="F10"/>
  <c r="G20" i="2"/>
  <c r="F37" i="14"/>
  <c r="H20" i="2"/>
  <c r="F92"/>
  <c r="F65" l="1"/>
  <c r="F79"/>
  <c r="G56"/>
  <c r="H56"/>
  <c r="H35" i="14"/>
  <c r="G35"/>
  <c r="F36"/>
  <c r="H17" i="2"/>
  <c r="G17"/>
  <c r="H39" i="14"/>
  <c r="G39"/>
  <c r="D67"/>
  <c r="D68"/>
  <c r="E10" i="11"/>
  <c r="E11"/>
  <c r="D48" i="14" s="1"/>
  <c r="E9" i="11"/>
  <c r="D66" i="14"/>
  <c r="H92" i="2"/>
  <c r="G92"/>
  <c r="G37" i="14"/>
  <c r="H37"/>
  <c r="G77" i="2"/>
  <c r="H77"/>
  <c r="N26" i="10"/>
  <c r="L26"/>
  <c r="F93" i="2"/>
  <c r="F40" i="14" l="1"/>
  <c r="G7" i="11"/>
  <c r="G36" i="14"/>
  <c r="H36"/>
  <c r="G65" i="2"/>
  <c r="F68"/>
  <c r="H65"/>
  <c r="H93"/>
  <c r="G93"/>
  <c r="F84"/>
  <c r="G79"/>
  <c r="H79"/>
  <c r="H40" i="14" l="1"/>
  <c r="F45"/>
  <c r="G40"/>
  <c r="H84" i="2"/>
  <c r="G84"/>
  <c r="G68"/>
  <c r="H68"/>
  <c r="F47" i="14" l="1"/>
  <c r="G45"/>
  <c r="H45"/>
  <c r="G9" i="11" l="1"/>
  <c r="F68" i="14"/>
  <c r="G10" i="11"/>
  <c r="G11"/>
  <c r="F48" i="14" s="1"/>
  <c r="F67"/>
  <c r="H47"/>
  <c r="F66"/>
  <c r="G47"/>
  <c r="G67" l="1"/>
  <c r="H67"/>
  <c r="G66"/>
  <c r="H66"/>
  <c r="G48"/>
  <c r="H48"/>
  <c r="H68"/>
  <c r="G68"/>
</calcChain>
</file>

<file path=xl/sharedStrings.xml><?xml version="1.0" encoding="utf-8"?>
<sst xmlns="http://schemas.openxmlformats.org/spreadsheetml/2006/main" count="965" uniqueCount="428">
  <si>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</si>
  <si>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</si>
  <si>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</si>
  <si>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</si>
  <si>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</si>
  <si>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</si>
  <si>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</si>
  <si>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</si>
  <si>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</si>
  <si>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</si>
  <si>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</si>
  <si>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Галузь     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</si>
  <si>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</si>
  <si>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</si>
  <si>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</si>
  <si>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</si>
  <si>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</si>
  <si>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</si>
  <si>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</si>
  <si>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</si>
  <si>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</si>
  <si>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</si>
  <si>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</si>
  <si>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</si>
  <si>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</si>
  <si>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</si>
  <si>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</si>
  <si>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</si>
  <si>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</si>
  <si>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</si>
  <si>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</si>
  <si>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</si>
  <si>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</si>
  <si>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</si>
  <si>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</si>
  <si>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</si>
  <si>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</si>
  <si>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</si>
  <si>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</si>
  <si>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</si>
  <si>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</si>
  <si>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</si>
  <si>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</si>
  <si>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</si>
  <si>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</si>
  <si>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</si>
  <si>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</si>
  <si>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</si>
  <si>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</si>
  <si>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</si>
  <si>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</si>
  <si>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</si>
  <si>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</si>
  <si>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</si>
  <si>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</si>
  <si>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</si>
  <si>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</si>
  <si>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</si>
  <si>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</si>
  <si>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</si>
  <si>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</si>
  <si>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</si>
  <si>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</si>
  <si>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</si>
  <si>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</si>
  <si>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</si>
  <si>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</si>
  <si>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</si>
  <si>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</si>
  <si>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</si>
  <si>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</si>
  <si>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</si>
  <si>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</si>
  <si>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</si>
  <si>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</si>
  <si>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</si>
  <si>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</si>
  <si>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</si>
  <si>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</si>
  <si>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</si>
  <si>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</si>
  <si>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</si>
  <si>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</si>
  <si>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</si>
  <si>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</si>
  <si>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</si>
  <si>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</si>
  <si>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</si>
  <si>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</si>
  <si>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</si>
  <si>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</si>
  <si>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</si>
  <si>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</si>
  <si>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</si>
  <si>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</si>
  <si>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</si>
  <si>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</si>
  <si>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</si>
  <si>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</si>
  <si>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</si>
  <si>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</si>
  <si>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</si>
  <si>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</si>
  <si>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</si>
  <si>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</si>
  <si>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</si>
  <si>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</si>
  <si>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</si>
  <si>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</si>
  <si>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</si>
  <si>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</si>
  <si>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</si>
  <si>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</si>
  <si>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</si>
  <si>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</si>
  <si>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</si>
  <si>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</si>
  <si>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</si>
  <si>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</si>
  <si>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</si>
  <si>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</si>
  <si>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</si>
  <si>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</si>
  <si>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</si>
  <si>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</si>
  <si>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</si>
  <si>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</si>
  <si>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</si>
  <si>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</si>
  <si>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</si>
  <si>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</si>
  <si>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</si>
  <si>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</si>
  <si>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</si>
  <si>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</si>
  <si>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</si>
  <si>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</si>
  <si>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</si>
  <si>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</si>
  <si>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</si>
  <si>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</si>
  <si>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</si>
  <si>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</si>
  <si>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</si>
  <si>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</si>
  <si>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</si>
  <si>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</si>
  <si>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</si>
  <si>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</si>
  <si>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</si>
  <si>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</si>
  <si>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</si>
  <si>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</si>
  <si>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</si>
  <si>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</si>
  <si>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</si>
  <si>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</si>
  <si>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</si>
  <si>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</si>
  <si>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</si>
  <si>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</si>
  <si>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</si>
  <si>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</si>
  <si>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</si>
  <si>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</si>
  <si>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</si>
  <si>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</si>
  <si>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</si>
  <si>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</si>
  <si>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</si>
  <si>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        (підпис)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</si>
  <si>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</si>
  <si>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</si>
  <si>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</si>
  <si>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</si>
  <si>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</si>
  <si>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</si>
  <si>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</si>
  <si>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</si>
  <si>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</si>
  <si>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</si>
  <si>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</si>
  <si>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</si>
  <si>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</si>
  <si>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</si>
  <si>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</si>
  <si>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</si>
  <si>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</si>
  <si>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</si>
  <si>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</si>
  <si>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</si>
  <si>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</si>
  <si>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</si>
  <si>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</si>
  <si>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</si>
  <si>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</si>
  <si>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</si>
  <si>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</si>
  <si>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</si>
  <si>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</si>
  <si>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</si>
  <si>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</si>
  <si>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</si>
  <si>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</si>
  <si>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</si>
  <si>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</si>
  <si>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</si>
  <si>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</si>
  <si>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</si>
  <si>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</si>
  <si>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</si>
  <si>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</si>
  <si>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</si>
  <si>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</si>
  <si>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</si>
  <si>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</si>
  <si>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</si>
  <si>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</si>
  <si>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</si>
  <si>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</si>
  <si>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</si>
  <si>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</si>
  <si>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</si>
  <si>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</si>
  <si>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</si>
  <si>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</si>
  <si>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</si>
  <si>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капітальний ремонт</t>
  </si>
  <si>
    <t>Інші доходи, усього, у тому числі:</t>
  </si>
  <si>
    <t>Інші витрати, усього, у тому числі:</t>
  </si>
  <si>
    <t>податок на прибуток підприємств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</si>
  <si>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</si>
  <si>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</si>
  <si>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</si>
  <si>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Чистий рух коштів від операційної діяльності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</si>
  <si>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</si>
  <si>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</si>
  <si>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</si>
  <si>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</si>
  <si>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</si>
  <si>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</si>
  <si>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</si>
  <si>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</si>
  <si>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7. Витрати на оренду службових автомобілів (у складі адміністративних витрат, рядок 1032)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</si>
  <si>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</si>
  <si>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</si>
  <si>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</si>
  <si>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</si>
  <si>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Повернено залучених коштів за звітний період</t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</si>
  <si>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</si>
  <si>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</si>
  <si>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</si>
  <si>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</si>
  <si>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</si>
  <si>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</si>
  <si>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</si>
  <si>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</si>
  <si>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</si>
  <si>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</si>
  <si>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</si>
  <si>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</si>
  <si>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</si>
  <si>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</si>
  <si>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</si>
  <si>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Усього виплат на користь держави</t>
  </si>
  <si>
    <t>Звітний період (квартал, рік)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</si>
  <si>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</si>
  <si>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</si>
  <si>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</si>
  <si>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</si>
  <si>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державні гранти і субсидії</t>
  </si>
  <si>
    <t>У тому числі фінансові запозичення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</si>
  <si>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</si>
  <si>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</si>
  <si>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</si>
  <si>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</si>
  <si>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</si>
  <si>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</si>
  <si>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</si>
  <si>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</si>
  <si>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</si>
  <si>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</si>
  <si>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</si>
  <si>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</si>
  <si>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</si>
  <si>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</si>
  <si>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</si>
  <si>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</si>
  <si>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</si>
  <si>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</si>
  <si>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</si>
  <si>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</si>
  <si>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</si>
  <si>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</si>
  <si>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</si>
  <si>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</si>
  <si>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</si>
  <si>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</si>
  <si>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Територія                                                        м. Суми, пров. Громадянський, 5</t>
  </si>
  <si>
    <t>Підприємство                                                 КП ЕЗО "Міськсвітло"</t>
  </si>
  <si>
    <t>Організаційно-правова форма                   Комунальне  підприємство</t>
  </si>
  <si>
    <t>Вид економічної діяльності                        вуличне освітлення міста</t>
  </si>
  <si>
    <t>Форма власності                                           комунальна</t>
  </si>
  <si>
    <t>Місцезнаходження                                       м. Суми, пров. Громадянський, 5</t>
  </si>
  <si>
    <t>Телефон                                                          610-813</t>
  </si>
  <si>
    <t>03352461</t>
  </si>
  <si>
    <t>35.13</t>
  </si>
  <si>
    <t>-</t>
  </si>
  <si>
    <t xml:space="preserve">   </t>
  </si>
  <si>
    <t>--</t>
  </si>
  <si>
    <t>ПОГОДЖЕНО:</t>
  </si>
  <si>
    <t>Сумської міської ради</t>
  </si>
  <si>
    <t>Виконавець</t>
  </si>
  <si>
    <t>Гурська</t>
  </si>
  <si>
    <t xml:space="preserve"> службові потреби</t>
  </si>
  <si>
    <t>ГА-З110</t>
  </si>
  <si>
    <t>КП ЕЗО "Міськсвітло"</t>
  </si>
  <si>
    <t>_________________________Г.І. Яременко</t>
  </si>
  <si>
    <t>Директор департаменту інфраструктури міста</t>
  </si>
  <si>
    <t>Прізвище та ініціали керівника                    Велитченко Е.В.</t>
  </si>
  <si>
    <t>Е.В. Велитченко</t>
  </si>
  <si>
    <t xml:space="preserve">                        (підпис)</t>
  </si>
  <si>
    <t xml:space="preserve">                  (ініціали, прізвище)    </t>
  </si>
  <si>
    <t xml:space="preserve">              (ініціали, прізвище)    </t>
  </si>
  <si>
    <t xml:space="preserve">               Е.В. Велитченко</t>
  </si>
  <si>
    <t xml:space="preserve">                                  Е.В. Велитченко                                 </t>
  </si>
  <si>
    <t>Інші операційні доходи/витрати</t>
  </si>
  <si>
    <t>Доходи/витрати від фінансової та інвестиційної діяльності</t>
  </si>
  <si>
    <t>Інші доходи/витрати</t>
  </si>
  <si>
    <t>Витрати (дохід) з податку на прибуток</t>
  </si>
  <si>
    <t>Коефіцієнт рентабельності діяльності</t>
  </si>
  <si>
    <t>Дивіденти/відрахування частини чистого прибутку</t>
  </si>
  <si>
    <t>Податок на додану вартість нарахований / до відшкодування  (з мінусом)</t>
  </si>
  <si>
    <t>2120/2130</t>
  </si>
  <si>
    <t xml:space="preserve">Сплата інших податків, зборів, обов'язкових платежів до державного та місцевих бюджетів </t>
  </si>
  <si>
    <t xml:space="preserve">Єдиний внесок на загальнообов'язкове державне соціальне страхування               </t>
  </si>
  <si>
    <t>Грошові кошти на початок періоду</t>
  </si>
  <si>
    <t>Грошові кошти на кінець періоду</t>
  </si>
  <si>
    <t>Капітальні інвестиції</t>
  </si>
  <si>
    <t>Необоротні активи</t>
  </si>
  <si>
    <t>Оборотні активи</t>
  </si>
  <si>
    <t>у тому числі грошові кошти  та їх еквіваленти</t>
  </si>
  <si>
    <t>Інші операційні доходи (розшифрувати), у тому числі:</t>
  </si>
  <si>
    <t xml:space="preserve">Прибуток (збиток) від припиненої діяльності після оподаткування </t>
  </si>
  <si>
    <t>Доходи і витрати (узагальнені показники)</t>
  </si>
  <si>
    <t>Інші операційні доходи/витрати (ряд 1030- ряд 1080)</t>
  </si>
  <si>
    <t>Доходи / витрати від фінансової та інвестиційної діяльності (ряд 1110+ряд1120+ряд1130+ряд 1140)</t>
  </si>
  <si>
    <t>Інші доходи/ витрати  (ряд 1150+ ряд 1160)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</si>
  <si>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</si>
  <si>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</si>
  <si>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</si>
  <si>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мінус/плюс значні нетипові операційні доходи/витрати (розшифрувати)</t>
  </si>
  <si>
    <t>Відрахування частини чистого прибутку, усього, у тому числі: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</si>
  <si>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</si>
  <si>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Податок на прибуток підприємств</t>
  </si>
  <si>
    <t>Податок на додану вартість , нарахований до сплати до державного бюджету за підсумками звітного періоду</t>
  </si>
  <si>
    <t>Податок на додану вартість , що підлягає відшкодуванню з державного бюджету за підсумками звітного періоду</t>
  </si>
  <si>
    <t>Інші поточні податки, збори,  обов'язкові платежі до державного та місцевого бюджетів, у тому числі:</t>
  </si>
  <si>
    <t>плата за користування надрами</t>
  </si>
  <si>
    <t>погашення податкового боргу, у тому числі:</t>
  </si>
  <si>
    <t>2145/1</t>
  </si>
  <si>
    <t>неустойки (штрафи, пені)</t>
  </si>
  <si>
    <t>2145/2</t>
  </si>
  <si>
    <t>Місцеві податки та збори (розшифрувати)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</si>
  <si>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</si>
  <si>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</si>
  <si>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</si>
  <si>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</si>
  <si>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</si>
  <si>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</si>
  <si>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</si>
  <si>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</si>
  <si>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</si>
  <si>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</si>
  <si>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</si>
  <si>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</si>
  <si>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Виручка від реалізації основних фондів</t>
  </si>
  <si>
    <t xml:space="preserve">Виручка від реалізації нематеріальних активів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</si>
  <si>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</si>
  <si>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</si>
  <si>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</si>
  <si>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</si>
  <si>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Надходження 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</si>
  <si>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</si>
  <si>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</si>
  <si>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</si>
  <si>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</si>
  <si>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Надходження</t>
  </si>
  <si>
    <t>Власного капіталу </t>
  </si>
  <si>
    <t>Отримання коштів  за довгостроковими зобов'язаннями, у тому числі:</t>
  </si>
  <si>
    <t>Отримання коштів за короткостроковими зобов'язаннями, у тому числі:</t>
  </si>
  <si>
    <t>Цільове фінансування  (розшифрувати)</t>
  </si>
  <si>
    <t>Сплата дивідендів на державну частку/частини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</si>
  <si>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</si>
  <si>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</si>
  <si>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</si>
  <si>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Грошові кошти</t>
  </si>
  <si>
    <t>на початок періоду</t>
  </si>
  <si>
    <t xml:space="preserve">вплив зміни валютних курсів на залишок коштів </t>
  </si>
  <si>
    <t>на кінець періоду</t>
  </si>
  <si>
    <t>керівники</t>
  </si>
  <si>
    <t>професіонали</t>
  </si>
  <si>
    <t>технічні службовці</t>
  </si>
  <si>
    <t>робітники</t>
  </si>
  <si>
    <t>інші категорії</t>
  </si>
  <si>
    <t>6. Витрати, пов'язані з використанням власних службових автомобілів (у складі адміністративних витрат, рядок 1041)</t>
  </si>
  <si>
    <t>матеріальні витрати</t>
  </si>
  <si>
    <t>оплата праці</t>
  </si>
  <si>
    <t>У тому чисті за їх видами</t>
  </si>
  <si>
    <t>амортизація</t>
  </si>
  <si>
    <t>інші витрати</t>
  </si>
  <si>
    <t>Сума орендної плати</t>
  </si>
  <si>
    <t>усього на рік</t>
  </si>
  <si>
    <t>екологічний податок</t>
  </si>
  <si>
    <t>2146/1</t>
  </si>
  <si>
    <t>земельний податок, збір за воду</t>
  </si>
  <si>
    <t>інші платежі (податок на нерухоме майно)</t>
  </si>
  <si>
    <t xml:space="preserve">Єдиний внесок на загальнообов'язкове державне соціальне страхування </t>
  </si>
  <si>
    <t>фахівці</t>
  </si>
  <si>
    <t>ІІІ. Рух грошових коштів</t>
  </si>
  <si>
    <t>за І квартал 2017 рік</t>
  </si>
  <si>
    <t>до фінансового звіту за 1 квартал 2017 рік</t>
  </si>
  <si>
    <t>Середньооблікова кількість штатних працівників  53</t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</si>
  <si>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   Директор                           </t>
    </r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</si>
  <si>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Директор                           </t>
    </r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</si>
  <si>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 Директор                          </t>
    </r>
  </si>
  <si>
    <r>
      <t xml:space="preserve">Керівник           </t>
    </r>
    <r>
      <rPr>
        <b/>
        <u/>
        <sz val="14"/>
        <rFont val="Times New Roman"/>
        <family val="1"/>
        <charset val="204"/>
      </rPr>
      <t xml:space="preserve">     </t>
    </r>
    <r>
      <rPr>
        <u/>
        <sz val="14"/>
        <rFont val="Times New Roman"/>
        <family val="1"/>
        <charset val="204"/>
      </rPr>
      <t xml:space="preserve">          Директор           </t>
    </r>
    <r>
      <rPr>
        <sz val="14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        </t>
    </r>
  </si>
  <si>
    <t xml:space="preserve">  </t>
  </si>
</sst>
</file>

<file path=xl/styles.xml><?xml version="1.0" encoding="utf-8"?>
<styleSheet xmlns="http://schemas.openxmlformats.org/spreadsheetml/2006/main">
  <numFmts count="17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71" formatCode="_-* #,##0.00\ _г_р_н_._-;\-* #,##0.00\ _г_р_н_._-;_-* &quot;-&quot;??\ _г_р_н_._-;_-@_-"/>
    <numFmt numFmtId="179" formatCode="_-* #,##0.00_₴_-;\-* #,##0.00_₴_-;_-* &quot;-&quot;??_₴_-;_-@_-"/>
    <numFmt numFmtId="180" formatCode="0.0"/>
    <numFmt numFmtId="181" formatCode="#,##0.0"/>
    <numFmt numFmtId="186" formatCode="###\ ##0.000"/>
    <numFmt numFmtId="187" formatCode="_(&quot;$&quot;* #,##0.00_);_(&quot;$&quot;* \(#,##0.00\);_(&quot;$&quot;* &quot;-&quot;??_);_(@_)"/>
    <numFmt numFmtId="188" formatCode="_(* #,##0_);_(* \(#,##0\);_(* &quot;-&quot;_);_(@_)"/>
    <numFmt numFmtId="189" formatCode="_(* #,##0.00_);_(* \(#,##0.00\);_(* &quot;-&quot;??_);_(@_)"/>
    <numFmt numFmtId="190" formatCode="#,##0.0_ ;[Red]\-#,##0.0\ "/>
    <numFmt numFmtId="191" formatCode="0.0;\(0.0\);\ ;\-"/>
    <numFmt numFmtId="194" formatCode="_(* #,##0_);_(* \(#,##0\);_(* &quot;-&quot;??_);_(@_)"/>
    <numFmt numFmtId="195" formatCode="_(* #,##0.0_);_(* \(#,##0.0\);_(* &quot;-&quot;??_);_(@_)"/>
    <numFmt numFmtId="197" formatCode="_(* #,##0.0_);_(* \(#,##0.0\);_(* &quot;-&quot;_);_(@_)"/>
    <numFmt numFmtId="198" formatCode="_(* #,##0.00_);_(* \(#,##0.0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71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86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87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91" fontId="69" fillId="22" borderId="12" applyFill="0" applyBorder="0">
      <alignment horizontal="center" vertical="center" wrapText="1"/>
      <protection locked="0"/>
    </xf>
    <xf numFmtId="186" fontId="70" fillId="0" borderId="0">
      <alignment wrapText="1"/>
    </xf>
    <xf numFmtId="186" fontId="37" fillId="0" borderId="0">
      <alignment wrapText="1"/>
    </xf>
  </cellStyleXfs>
  <cellXfs count="37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180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81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8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81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88" fontId="5" fillId="0" borderId="3" xfId="0" applyNumberFormat="1" applyFont="1" applyFill="1" applyBorder="1" applyAlignment="1">
      <alignment horizontal="center" vertical="center" wrapText="1"/>
    </xf>
    <xf numFmtId="194" fontId="5" fillId="0" borderId="3" xfId="0" applyNumberFormat="1" applyFont="1" applyFill="1" applyBorder="1" applyAlignment="1">
      <alignment horizontal="center" vertical="center" wrapText="1"/>
    </xf>
    <xf numFmtId="195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8" xfId="182" applyFont="1" applyFill="1" applyBorder="1" applyAlignment="1">
      <alignment horizontal="left" vertical="center" wrapText="1"/>
      <protection locked="0"/>
    </xf>
    <xf numFmtId="188" fontId="5" fillId="0" borderId="18" xfId="0" applyNumberFormat="1" applyFont="1" applyFill="1" applyBorder="1" applyAlignment="1">
      <alignment horizontal="center" vertical="center" wrapText="1"/>
    </xf>
    <xf numFmtId="188" fontId="4" fillId="27" borderId="3" xfId="0" applyNumberFormat="1" applyFont="1" applyFill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197" fontId="5" fillId="0" borderId="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8" xfId="0" quotePrefix="1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5" xfId="0" quotePrefix="1" applyFont="1" applyFill="1" applyBorder="1" applyAlignment="1">
      <alignment horizontal="center" vertical="center"/>
    </xf>
    <xf numFmtId="194" fontId="4" fillId="0" borderId="3" xfId="0" applyNumberFormat="1" applyFont="1" applyFill="1" applyBorder="1" applyAlignment="1">
      <alignment horizontal="center" vertical="center" wrapText="1"/>
    </xf>
    <xf numFmtId="195" fontId="4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180" fontId="5" fillId="0" borderId="3" xfId="291" applyNumberFormat="1" applyFont="1" applyFill="1" applyBorder="1" applyAlignment="1">
      <alignment horizontal="right" vertical="center" wrapText="1"/>
    </xf>
    <xf numFmtId="188" fontId="5" fillId="29" borderId="3" xfId="0" applyNumberFormat="1" applyFont="1" applyFill="1" applyBorder="1" applyAlignment="1">
      <alignment horizontal="center" vertical="center" wrapText="1"/>
    </xf>
    <xf numFmtId="180" fontId="4" fillId="0" borderId="3" xfId="291" applyNumberFormat="1" applyFont="1" applyFill="1" applyBorder="1" applyAlignment="1">
      <alignment horizontal="right" vertical="center" wrapText="1"/>
    </xf>
    <xf numFmtId="188" fontId="4" fillId="29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right" vertical="center" wrapText="1"/>
    </xf>
    <xf numFmtId="181" fontId="4" fillId="0" borderId="18" xfId="0" applyNumberFormat="1" applyFont="1" applyFill="1" applyBorder="1" applyAlignment="1">
      <alignment horizontal="right" vertical="center" wrapText="1"/>
    </xf>
    <xf numFmtId="197" fontId="4" fillId="30" borderId="3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181" fontId="5" fillId="29" borderId="3" xfId="237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right" vertical="center" wrapText="1"/>
    </xf>
    <xf numFmtId="181" fontId="4" fillId="0" borderId="3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81" fontId="5" fillId="0" borderId="3" xfId="0" quotePrefix="1" applyNumberFormat="1" applyFont="1" applyFill="1" applyBorder="1" applyAlignment="1">
      <alignment horizontal="center" vertical="center" wrapText="1"/>
    </xf>
    <xf numFmtId="181" fontId="5" fillId="0" borderId="3" xfId="0" quotePrefix="1" applyNumberFormat="1" applyFont="1" applyFill="1" applyBorder="1" applyAlignment="1">
      <alignment vertical="center" wrapText="1"/>
    </xf>
    <xf numFmtId="197" fontId="5" fillId="29" borderId="3" xfId="0" applyNumberFormat="1" applyFont="1" applyFill="1" applyBorder="1" applyAlignment="1">
      <alignment horizontal="center" vertical="center" wrapText="1"/>
    </xf>
    <xf numFmtId="197" fontId="4" fillId="29" borderId="3" xfId="0" applyNumberFormat="1" applyFont="1" applyFill="1" applyBorder="1" applyAlignment="1">
      <alignment horizontal="center" vertical="center" wrapText="1"/>
    </xf>
    <xf numFmtId="197" fontId="4" fillId="27" borderId="3" xfId="0" applyNumberFormat="1" applyFont="1" applyFill="1" applyBorder="1" applyAlignment="1">
      <alignment horizontal="center" vertical="center" wrapText="1"/>
    </xf>
    <xf numFmtId="197" fontId="5" fillId="0" borderId="3" xfId="0" applyNumberFormat="1" applyFont="1" applyFill="1" applyBorder="1" applyAlignment="1">
      <alignment horizontal="left" vertical="center" wrapText="1"/>
    </xf>
    <xf numFmtId="197" fontId="4" fillId="0" borderId="3" xfId="0" applyNumberFormat="1" applyFont="1" applyFill="1" applyBorder="1" applyAlignment="1">
      <alignment horizontal="center" vertical="center" wrapText="1"/>
    </xf>
    <xf numFmtId="197" fontId="5" fillId="0" borderId="3" xfId="245" applyNumberFormat="1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vertical="center"/>
    </xf>
    <xf numFmtId="197" fontId="5" fillId="0" borderId="18" xfId="0" applyNumberFormat="1" applyFont="1" applyFill="1" applyBorder="1" applyAlignment="1">
      <alignment horizontal="center" vertical="center" wrapText="1"/>
    </xf>
    <xf numFmtId="197" fontId="5" fillId="0" borderId="15" xfId="0" applyNumberFormat="1" applyFont="1" applyFill="1" applyBorder="1" applyAlignment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98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237" applyNumberFormat="1" applyFont="1" applyFill="1" applyBorder="1" applyAlignment="1">
      <alignment horizontal="center" vertical="center" wrapText="1"/>
    </xf>
    <xf numFmtId="0" fontId="4" fillId="0" borderId="25" xfId="237" applyNumberFormat="1" applyFont="1" applyFill="1" applyBorder="1" applyAlignment="1">
      <alignment horizontal="center" vertical="center" wrapText="1"/>
    </xf>
    <xf numFmtId="0" fontId="4" fillId="0" borderId="23" xfId="237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181" fontId="5" fillId="0" borderId="0" xfId="0" quotePrefix="1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181" fontId="5" fillId="0" borderId="13" xfId="0" quotePrefix="1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81" fontId="5" fillId="0" borderId="13" xfId="0" quotePrefix="1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1" fontId="6" fillId="0" borderId="13" xfId="0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194" fontId="5" fillId="0" borderId="14" xfId="0" applyNumberFormat="1" applyFont="1" applyFill="1" applyBorder="1" applyAlignment="1">
      <alignment horizontal="center" vertical="center" wrapText="1"/>
    </xf>
    <xf numFmtId="194" fontId="5" fillId="0" borderId="16" xfId="0" applyNumberFormat="1" applyFont="1" applyFill="1" applyBorder="1" applyAlignment="1">
      <alignment horizontal="center" vertical="center" wrapText="1"/>
    </xf>
    <xf numFmtId="194" fontId="5" fillId="0" borderId="1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94" fontId="5" fillId="0" borderId="14" xfId="0" applyNumberFormat="1" applyFont="1" applyFill="1" applyBorder="1" applyAlignment="1">
      <alignment horizontal="left" vertical="center" wrapText="1"/>
    </xf>
    <xf numFmtId="194" fontId="5" fillId="0" borderId="16" xfId="0" applyNumberFormat="1" applyFont="1" applyFill="1" applyBorder="1" applyAlignment="1">
      <alignment horizontal="left" vertical="center" wrapText="1"/>
    </xf>
    <xf numFmtId="194" fontId="5" fillId="0" borderId="19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95" fontId="5" fillId="0" borderId="14" xfId="291" applyNumberFormat="1" applyFont="1" applyFill="1" applyBorder="1" applyAlignment="1">
      <alignment horizontal="right" vertical="center" wrapText="1"/>
    </xf>
    <xf numFmtId="195" fontId="5" fillId="0" borderId="19" xfId="291" applyNumberFormat="1" applyFont="1" applyFill="1" applyBorder="1" applyAlignment="1">
      <alignment horizontal="right" vertical="center" wrapText="1"/>
    </xf>
    <xf numFmtId="195" fontId="4" fillId="29" borderId="14" xfId="0" applyNumberFormat="1" applyFont="1" applyFill="1" applyBorder="1" applyAlignment="1">
      <alignment horizontal="center" vertical="center" wrapText="1"/>
    </xf>
    <xf numFmtId="195" fontId="4" fillId="29" borderId="16" xfId="0" applyNumberFormat="1" applyFont="1" applyFill="1" applyBorder="1" applyAlignment="1">
      <alignment horizontal="center" vertical="center" wrapText="1"/>
    </xf>
    <xf numFmtId="195" fontId="4" fillId="29" borderId="19" xfId="0" applyNumberFormat="1" applyFont="1" applyFill="1" applyBorder="1" applyAlignment="1">
      <alignment horizontal="center" vertical="center" wrapText="1"/>
    </xf>
    <xf numFmtId="195" fontId="5" fillId="29" borderId="14" xfId="0" applyNumberFormat="1" applyFont="1" applyFill="1" applyBorder="1" applyAlignment="1">
      <alignment horizontal="center" vertical="center" wrapText="1"/>
    </xf>
    <xf numFmtId="195" fontId="5" fillId="29" borderId="16" xfId="0" applyNumberFormat="1" applyFont="1" applyFill="1" applyBorder="1" applyAlignment="1">
      <alignment horizontal="center" vertical="center" wrapText="1"/>
    </xf>
    <xf numFmtId="195" fontId="5" fillId="29" borderId="19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95" fontId="4" fillId="29" borderId="14" xfId="0" applyNumberFormat="1" applyFont="1" applyFill="1" applyBorder="1" applyAlignment="1">
      <alignment horizontal="left" vertical="center" wrapText="1"/>
    </xf>
    <xf numFmtId="195" fontId="4" fillId="29" borderId="16" xfId="0" applyNumberFormat="1" applyFont="1" applyFill="1" applyBorder="1" applyAlignment="1">
      <alignment horizontal="left" vertical="center" wrapText="1"/>
    </xf>
    <xf numFmtId="195" fontId="4" fillId="29" borderId="19" xfId="0" applyNumberFormat="1" applyFont="1" applyFill="1" applyBorder="1" applyAlignment="1">
      <alignment horizontal="left" vertical="center" wrapText="1"/>
    </xf>
    <xf numFmtId="194" fontId="5" fillId="0" borderId="3" xfId="0" applyNumberFormat="1" applyFont="1" applyFill="1" applyBorder="1" applyAlignment="1">
      <alignment horizontal="center" vertical="center" wrapText="1"/>
    </xf>
    <xf numFmtId="195" fontId="5" fillId="29" borderId="14" xfId="0" applyNumberFormat="1" applyFont="1" applyFill="1" applyBorder="1" applyAlignment="1">
      <alignment horizontal="left" vertical="center" wrapText="1"/>
    </xf>
    <xf numFmtId="195" fontId="5" fillId="29" borderId="16" xfId="0" applyNumberFormat="1" applyFont="1" applyFill="1" applyBorder="1" applyAlignment="1">
      <alignment horizontal="left" vertical="center" wrapText="1"/>
    </xf>
    <xf numFmtId="195" fontId="5" fillId="29" borderId="19" xfId="0" applyNumberFormat="1" applyFont="1" applyFill="1" applyBorder="1" applyAlignment="1">
      <alignment horizontal="left" vertical="center" wrapText="1"/>
    </xf>
    <xf numFmtId="195" fontId="4" fillId="0" borderId="14" xfId="291" applyNumberFormat="1" applyFont="1" applyFill="1" applyBorder="1" applyAlignment="1">
      <alignment horizontal="right" vertical="center" wrapText="1"/>
    </xf>
    <xf numFmtId="195" fontId="4" fillId="0" borderId="19" xfId="291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19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 wrapText="1"/>
    </xf>
    <xf numFmtId="194" fontId="4" fillId="0" borderId="1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4" fontId="4" fillId="29" borderId="14" xfId="0" applyNumberFormat="1" applyFont="1" applyFill="1" applyBorder="1" applyAlignment="1">
      <alignment horizontal="left" vertical="center" wrapText="1"/>
    </xf>
    <xf numFmtId="194" fontId="4" fillId="29" borderId="16" xfId="0" applyNumberFormat="1" applyFont="1" applyFill="1" applyBorder="1" applyAlignment="1">
      <alignment horizontal="left" vertical="center" wrapText="1"/>
    </xf>
    <xf numFmtId="194" fontId="4" fillId="29" borderId="19" xfId="0" applyNumberFormat="1" applyFont="1" applyFill="1" applyBorder="1" applyAlignment="1">
      <alignment horizontal="left" vertical="center" wrapText="1"/>
    </xf>
    <xf numFmtId="194" fontId="4" fillId="29" borderId="14" xfId="0" applyNumberFormat="1" applyFont="1" applyFill="1" applyBorder="1" applyAlignment="1">
      <alignment horizontal="center" vertical="center" wrapText="1"/>
    </xf>
    <xf numFmtId="194" fontId="4" fillId="29" borderId="16" xfId="0" applyNumberFormat="1" applyFont="1" applyFill="1" applyBorder="1" applyAlignment="1">
      <alignment horizontal="center" vertical="center" wrapText="1"/>
    </xf>
    <xf numFmtId="194" fontId="4" fillId="29" borderId="19" xfId="0" applyNumberFormat="1" applyFont="1" applyFill="1" applyBorder="1" applyAlignment="1">
      <alignment horizontal="center" vertical="center" wrapText="1"/>
    </xf>
    <xf numFmtId="195" fontId="5" fillId="0" borderId="14" xfId="291" applyNumberFormat="1" applyFont="1" applyFill="1" applyBorder="1" applyAlignment="1">
      <alignment horizontal="center" vertical="center" wrapText="1"/>
    </xf>
    <xf numFmtId="195" fontId="5" fillId="0" borderId="19" xfId="29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4" fillId="0" borderId="19" xfId="0" applyNumberFormat="1" applyFont="1" applyFill="1" applyBorder="1" applyAlignment="1">
      <alignment horizontal="left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194" fontId="5" fillId="29" borderId="14" xfId="0" applyNumberFormat="1" applyFont="1" applyFill="1" applyBorder="1" applyAlignment="1">
      <alignment horizontal="center" vertical="center" wrapText="1"/>
    </xf>
    <xf numFmtId="194" fontId="5" fillId="29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9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/>
    </xf>
    <xf numFmtId="194" fontId="4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9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95" fontId="5" fillId="0" borderId="14" xfId="0" applyNumberFormat="1" applyFont="1" applyFill="1" applyBorder="1" applyAlignment="1">
      <alignment horizontal="center" vertical="center" wrapText="1"/>
    </xf>
    <xf numFmtId="195" fontId="5" fillId="0" borderId="16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center" wrapText="1"/>
    </xf>
    <xf numFmtId="194" fontId="5" fillId="0" borderId="14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 shrinkToFit="1"/>
    </xf>
    <xf numFmtId="18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95" fontId="4" fillId="0" borderId="14" xfId="0" applyNumberFormat="1" applyFont="1" applyFill="1" applyBorder="1" applyAlignment="1">
      <alignment horizontal="center" vertical="center" wrapText="1"/>
    </xf>
    <xf numFmtId="195" fontId="4" fillId="0" borderId="16" xfId="0" applyNumberFormat="1" applyFont="1" applyFill="1" applyBorder="1" applyAlignment="1">
      <alignment horizontal="center" vertical="center" wrapText="1"/>
    </xf>
    <xf numFmtId="195" fontId="4" fillId="0" borderId="19" xfId="0" applyNumberFormat="1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409"/>
  <sheetViews>
    <sheetView view="pageBreakPreview" zoomScale="65" zoomScaleNormal="70" zoomScaleSheetLayoutView="65" workbookViewId="0">
      <selection activeCell="J24" sqref="J24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A1" s="156" t="s">
        <v>310</v>
      </c>
      <c r="B1" s="22"/>
      <c r="C1" s="22"/>
      <c r="D1" s="22"/>
      <c r="E1" s="3"/>
      <c r="F1" s="181" t="s">
        <v>153</v>
      </c>
      <c r="G1" s="181"/>
      <c r="H1" s="181"/>
      <c r="I1" s="115"/>
      <c r="J1" s="115"/>
      <c r="K1" s="115"/>
      <c r="L1" s="115"/>
    </row>
    <row r="2" spans="1:12" ht="18.75" customHeight="1">
      <c r="A2" s="13"/>
      <c r="E2" s="3"/>
      <c r="F2" s="181" t="s">
        <v>85</v>
      </c>
      <c r="G2" s="181"/>
      <c r="H2" s="181"/>
      <c r="I2" s="115"/>
      <c r="J2" s="115"/>
      <c r="K2" s="115"/>
      <c r="L2" s="115"/>
    </row>
    <row r="3" spans="1:12" ht="18.75" customHeight="1">
      <c r="A3" s="157" t="s">
        <v>317</v>
      </c>
      <c r="E3" s="74"/>
      <c r="F3" s="181" t="s">
        <v>168</v>
      </c>
      <c r="G3" s="181"/>
      <c r="H3" s="181"/>
      <c r="I3" s="115"/>
      <c r="J3" s="115"/>
      <c r="K3" s="115"/>
      <c r="L3" s="115"/>
    </row>
    <row r="4" spans="1:12" ht="18.75" customHeight="1">
      <c r="A4" s="41" t="s">
        <v>318</v>
      </c>
      <c r="E4" s="74"/>
      <c r="F4" s="181" t="s">
        <v>169</v>
      </c>
      <c r="G4" s="181"/>
      <c r="H4" s="181"/>
      <c r="I4" s="115"/>
      <c r="J4" s="115"/>
      <c r="K4" s="115"/>
      <c r="L4" s="115"/>
    </row>
    <row r="5" spans="1:12" ht="18.75" customHeight="1">
      <c r="A5" s="41" t="s">
        <v>311</v>
      </c>
      <c r="E5" s="74"/>
      <c r="F5" s="107" t="s">
        <v>216</v>
      </c>
      <c r="G5" s="74"/>
      <c r="H5" s="74"/>
      <c r="I5" s="115"/>
      <c r="J5" s="115"/>
      <c r="K5" s="115"/>
      <c r="L5" s="115"/>
    </row>
    <row r="6" spans="1:12" ht="18.75" customHeight="1">
      <c r="A6" s="25"/>
      <c r="E6" s="74"/>
      <c r="F6" s="74"/>
      <c r="G6" s="74"/>
      <c r="H6" s="74"/>
      <c r="I6" s="115"/>
      <c r="J6" s="115"/>
      <c r="K6" s="115"/>
      <c r="L6" s="115"/>
    </row>
    <row r="7" spans="1:12" ht="18.75" customHeight="1">
      <c r="A7" s="25"/>
      <c r="E7" s="74"/>
      <c r="F7" s="74"/>
      <c r="G7" s="74"/>
      <c r="H7" s="74"/>
      <c r="I7" s="115"/>
      <c r="J7" s="115"/>
      <c r="K7" s="115"/>
      <c r="L7" s="115"/>
    </row>
    <row r="8" spans="1:12">
      <c r="B8" s="4"/>
      <c r="C8" s="4"/>
      <c r="D8" s="4"/>
      <c r="F8" s="107"/>
    </row>
    <row r="9" spans="1:12" ht="20.100000000000001" customHeight="1">
      <c r="A9" s="72"/>
      <c r="B9" s="176"/>
      <c r="C9" s="176"/>
      <c r="D9" s="176"/>
      <c r="E9" s="176"/>
      <c r="F9" s="154">
        <v>2016</v>
      </c>
      <c r="G9" s="40" t="s">
        <v>108</v>
      </c>
      <c r="H9" s="6" t="s">
        <v>171</v>
      </c>
    </row>
    <row r="10" spans="1:12" ht="20.100000000000001" customHeight="1">
      <c r="A10" s="75" t="s">
        <v>299</v>
      </c>
      <c r="B10" s="176"/>
      <c r="C10" s="176"/>
      <c r="D10" s="176"/>
      <c r="E10" s="176"/>
      <c r="F10" s="153" t="s">
        <v>305</v>
      </c>
      <c r="G10" s="15" t="s">
        <v>103</v>
      </c>
      <c r="H10" s="6"/>
    </row>
    <row r="11" spans="1:12" ht="20.100000000000001" customHeight="1">
      <c r="A11" s="72" t="s">
        <v>300</v>
      </c>
      <c r="B11" s="176"/>
      <c r="C11" s="176"/>
      <c r="D11" s="176"/>
      <c r="E11" s="176"/>
      <c r="F11" s="154">
        <v>150</v>
      </c>
      <c r="G11" s="15" t="s">
        <v>102</v>
      </c>
      <c r="H11" s="6"/>
    </row>
    <row r="12" spans="1:12" ht="20.100000000000001" customHeight="1">
      <c r="A12" s="72" t="s">
        <v>298</v>
      </c>
      <c r="B12" s="176"/>
      <c r="C12" s="176"/>
      <c r="D12" s="176"/>
      <c r="E12" s="176"/>
      <c r="F12" s="154">
        <v>5910136300</v>
      </c>
      <c r="G12" s="15" t="s">
        <v>101</v>
      </c>
      <c r="H12" s="6"/>
    </row>
    <row r="13" spans="1:12" ht="20.100000000000001" customHeight="1">
      <c r="A13" s="75" t="s">
        <v>59</v>
      </c>
      <c r="B13" s="176"/>
      <c r="C13" s="176"/>
      <c r="D13" s="176"/>
      <c r="E13" s="176"/>
      <c r="F13" s="152">
        <v>1007</v>
      </c>
      <c r="G13" s="15" t="s">
        <v>9</v>
      </c>
      <c r="H13" s="6"/>
    </row>
    <row r="14" spans="1:12" ht="20.100000000000001" customHeight="1">
      <c r="A14" s="75" t="s">
        <v>11</v>
      </c>
      <c r="B14" s="176"/>
      <c r="C14" s="176"/>
      <c r="D14" s="176"/>
      <c r="E14" s="176"/>
      <c r="F14" s="152">
        <v>90212</v>
      </c>
      <c r="G14" s="15" t="s">
        <v>8</v>
      </c>
      <c r="H14" s="6"/>
    </row>
    <row r="15" spans="1:12" ht="20.100000000000001" customHeight="1">
      <c r="A15" s="75" t="s">
        <v>301</v>
      </c>
      <c r="B15" s="176"/>
      <c r="C15" s="176"/>
      <c r="D15" s="176"/>
      <c r="E15" s="176"/>
      <c r="F15" s="152" t="s">
        <v>306</v>
      </c>
      <c r="G15" s="15" t="s">
        <v>10</v>
      </c>
      <c r="H15" s="6"/>
    </row>
    <row r="16" spans="1:12" ht="20.100000000000001" customHeight="1">
      <c r="A16" s="75" t="s">
        <v>268</v>
      </c>
      <c r="B16" s="176"/>
      <c r="C16" s="176"/>
      <c r="D16" s="176"/>
      <c r="E16" s="176"/>
      <c r="F16" s="176" t="s">
        <v>128</v>
      </c>
      <c r="G16" s="177"/>
      <c r="H16" s="12"/>
    </row>
    <row r="17" spans="1:8" ht="20.100000000000001" customHeight="1">
      <c r="A17" s="75" t="s">
        <v>302</v>
      </c>
      <c r="B17" s="176"/>
      <c r="C17" s="176"/>
      <c r="D17" s="176"/>
      <c r="E17" s="176"/>
      <c r="F17" s="176" t="s">
        <v>129</v>
      </c>
      <c r="G17" s="178"/>
      <c r="H17" s="12"/>
    </row>
    <row r="18" spans="1:8" ht="20.100000000000001" customHeight="1">
      <c r="A18" s="75" t="s">
        <v>422</v>
      </c>
      <c r="B18" s="176"/>
      <c r="C18" s="176"/>
      <c r="D18" s="176"/>
      <c r="E18" s="176"/>
      <c r="F18" s="76"/>
      <c r="G18" s="76"/>
      <c r="H18" s="76"/>
    </row>
    <row r="19" spans="1:8" ht="20.100000000000001" customHeight="1">
      <c r="A19" s="72" t="s">
        <v>303</v>
      </c>
      <c r="B19" s="176"/>
      <c r="C19" s="176"/>
      <c r="D19" s="176"/>
      <c r="E19" s="176"/>
      <c r="F19" s="73"/>
      <c r="G19" s="73"/>
      <c r="H19" s="73"/>
    </row>
    <row r="20" spans="1:8" ht="20.100000000000001" customHeight="1">
      <c r="A20" s="75" t="s">
        <v>304</v>
      </c>
      <c r="B20" s="176"/>
      <c r="C20" s="176"/>
      <c r="D20" s="176"/>
      <c r="E20" s="176"/>
      <c r="F20" s="76"/>
      <c r="G20" s="76"/>
      <c r="H20" s="76"/>
    </row>
    <row r="21" spans="1:8" ht="20.100000000000001" customHeight="1">
      <c r="A21" s="72" t="s">
        <v>319</v>
      </c>
      <c r="B21" s="176"/>
      <c r="C21" s="176"/>
      <c r="D21" s="176"/>
      <c r="E21" s="176"/>
      <c r="F21" s="73"/>
      <c r="G21" s="73"/>
      <c r="H21" s="73"/>
    </row>
    <row r="22" spans="1:8" ht="19.5" customHeight="1">
      <c r="A22" s="74"/>
      <c r="B22" s="3"/>
      <c r="C22" s="3"/>
      <c r="D22" s="3"/>
      <c r="E22" s="3"/>
      <c r="F22" s="3"/>
      <c r="G22" s="3"/>
      <c r="H22" s="3"/>
    </row>
    <row r="23" spans="1:8" ht="19.5" customHeight="1">
      <c r="A23" s="174" t="s">
        <v>154</v>
      </c>
      <c r="B23" s="174"/>
      <c r="C23" s="174"/>
      <c r="D23" s="174"/>
      <c r="E23" s="174"/>
      <c r="F23" s="174"/>
      <c r="G23" s="174"/>
      <c r="H23" s="174"/>
    </row>
    <row r="24" spans="1:8">
      <c r="A24" s="174" t="s">
        <v>155</v>
      </c>
      <c r="B24" s="174"/>
      <c r="C24" s="174"/>
      <c r="D24" s="174"/>
      <c r="E24" s="174"/>
      <c r="F24" s="174"/>
      <c r="G24" s="174"/>
      <c r="H24" s="174"/>
    </row>
    <row r="25" spans="1:8">
      <c r="A25" s="180" t="s">
        <v>420</v>
      </c>
      <c r="B25" s="174"/>
      <c r="C25" s="174"/>
      <c r="D25" s="174"/>
      <c r="E25" s="174"/>
      <c r="F25" s="174"/>
      <c r="G25" s="174"/>
      <c r="H25" s="174"/>
    </row>
    <row r="26" spans="1:8">
      <c r="A26" s="188" t="s">
        <v>156</v>
      </c>
      <c r="B26" s="188"/>
      <c r="C26" s="188"/>
      <c r="D26" s="188"/>
      <c r="E26" s="188"/>
      <c r="F26" s="188"/>
      <c r="G26" s="188"/>
      <c r="H26" s="188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174" t="s">
        <v>135</v>
      </c>
      <c r="B28" s="174"/>
      <c r="C28" s="174"/>
      <c r="D28" s="174"/>
      <c r="E28" s="174"/>
      <c r="F28" s="174"/>
      <c r="G28" s="174"/>
      <c r="H28" s="174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175" t="s">
        <v>187</v>
      </c>
      <c r="B30" s="179" t="s">
        <v>12</v>
      </c>
      <c r="C30" s="179" t="s">
        <v>151</v>
      </c>
      <c r="D30" s="179"/>
      <c r="E30" s="189" t="s">
        <v>265</v>
      </c>
      <c r="F30" s="189"/>
      <c r="G30" s="189"/>
      <c r="H30" s="189"/>
    </row>
    <row r="31" spans="1:8" ht="44.25" customHeight="1">
      <c r="A31" s="175"/>
      <c r="B31" s="179"/>
      <c r="C31" s="7" t="s">
        <v>174</v>
      </c>
      <c r="D31" s="7" t="s">
        <v>175</v>
      </c>
      <c r="E31" s="70" t="s">
        <v>176</v>
      </c>
      <c r="F31" s="70" t="s">
        <v>163</v>
      </c>
      <c r="G31" s="70" t="s">
        <v>182</v>
      </c>
      <c r="H31" s="70" t="s">
        <v>183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185" t="s">
        <v>78</v>
      </c>
      <c r="B33" s="186"/>
      <c r="C33" s="186"/>
      <c r="D33" s="186"/>
      <c r="E33" s="186"/>
      <c r="F33" s="186"/>
      <c r="G33" s="186"/>
      <c r="H33" s="187"/>
    </row>
    <row r="34" spans="1:8" s="5" customFormat="1" ht="20.100000000000001" customHeight="1">
      <c r="A34" s="116" t="s">
        <v>136</v>
      </c>
      <c r="B34" s="112">
        <v>1000</v>
      </c>
      <c r="C34" s="117">
        <f>'I. Фін результат'!C7</f>
        <v>933</v>
      </c>
      <c r="D34" s="117">
        <f>'I. Фін результат'!D7</f>
        <v>1397</v>
      </c>
      <c r="E34" s="120">
        <f>'I. Фін результат'!E7</f>
        <v>1725</v>
      </c>
      <c r="F34" s="117">
        <f>'I. Фін результат'!F7</f>
        <v>1397</v>
      </c>
      <c r="G34" s="117">
        <f>F34-E34</f>
        <v>-328</v>
      </c>
      <c r="H34" s="145">
        <f>(F34/E34)*100</f>
        <v>80.985507246376812</v>
      </c>
    </row>
    <row r="35" spans="1:8" s="5" customFormat="1" ht="20.100000000000001" customHeight="1">
      <c r="A35" s="81" t="s">
        <v>120</v>
      </c>
      <c r="B35" s="7">
        <v>1010</v>
      </c>
      <c r="C35" s="117">
        <f>'I. Фін результат'!C8</f>
        <v>855</v>
      </c>
      <c r="D35" s="117">
        <f>'I. Фін результат'!D8</f>
        <v>1256.4999999999998</v>
      </c>
      <c r="E35" s="117">
        <f>'I. Фін результат'!E8</f>
        <v>1538</v>
      </c>
      <c r="F35" s="117">
        <f>'I. Фін результат'!F8</f>
        <v>1256.4999999999998</v>
      </c>
      <c r="G35" s="109">
        <f>F35-E35</f>
        <v>-281.50000000000023</v>
      </c>
      <c r="H35" s="145">
        <f t="shared" ref="H35:H48" si="0">(F35/E35)*100</f>
        <v>81.697009102730803</v>
      </c>
    </row>
    <row r="36" spans="1:8" s="5" customFormat="1" ht="20.100000000000001" customHeight="1">
      <c r="A36" s="82" t="s">
        <v>177</v>
      </c>
      <c r="B36" s="7">
        <v>1020</v>
      </c>
      <c r="C36" s="118">
        <f>C34-C35</f>
        <v>78</v>
      </c>
      <c r="D36" s="118">
        <f>D34-D35</f>
        <v>140.50000000000023</v>
      </c>
      <c r="E36" s="118">
        <f>E34-E35</f>
        <v>187</v>
      </c>
      <c r="F36" s="118">
        <f>F34-F35</f>
        <v>140.50000000000023</v>
      </c>
      <c r="G36" s="119">
        <f t="shared" ref="G36:G48" si="1">F36-E36</f>
        <v>-46.499999999999773</v>
      </c>
      <c r="H36" s="146">
        <f t="shared" si="0"/>
        <v>75.133689839572313</v>
      </c>
    </row>
    <row r="37" spans="1:8" s="5" customFormat="1" ht="20.100000000000001" customHeight="1">
      <c r="A37" s="81" t="s">
        <v>146</v>
      </c>
      <c r="B37" s="9">
        <v>1040</v>
      </c>
      <c r="C37" s="117">
        <f>'I. Фін результат'!C20</f>
        <v>208.98000000000002</v>
      </c>
      <c r="D37" s="117">
        <f>'I. Фін результат'!D20</f>
        <v>190.89999999999995</v>
      </c>
      <c r="E37" s="117">
        <f>'I. Фін результат'!E20</f>
        <v>180.39999999999998</v>
      </c>
      <c r="F37" s="117">
        <f>'I. Фін результат'!F20</f>
        <v>190.89999999999995</v>
      </c>
      <c r="G37" s="109">
        <f t="shared" si="1"/>
        <v>10.499999999999972</v>
      </c>
      <c r="H37" s="145">
        <f t="shared" si="0"/>
        <v>105.82039911308203</v>
      </c>
    </row>
    <row r="38" spans="1:8" s="5" customFormat="1" ht="20.100000000000001" customHeight="1">
      <c r="A38" s="81" t="s">
        <v>109</v>
      </c>
      <c r="B38" s="7">
        <v>1070</v>
      </c>
      <c r="C38" s="117">
        <f>'I. Фін результат'!C43</f>
        <v>0</v>
      </c>
      <c r="D38" s="117" t="s">
        <v>308</v>
      </c>
      <c r="E38" s="117">
        <f>'I. Фін результат'!E43</f>
        <v>0</v>
      </c>
      <c r="F38" s="117">
        <f>'I. Фін результат'!F43</f>
        <v>0</v>
      </c>
      <c r="G38" s="109">
        <f t="shared" si="1"/>
        <v>0</v>
      </c>
      <c r="H38" s="145"/>
    </row>
    <row r="39" spans="1:8" s="5" customFormat="1" ht="20.100000000000001" customHeight="1">
      <c r="A39" s="8" t="s">
        <v>326</v>
      </c>
      <c r="B39" s="9">
        <v>1300</v>
      </c>
      <c r="C39" s="117">
        <f>('I. Фін результат'!C18+('I. Фін результат'!C50))</f>
        <v>5</v>
      </c>
      <c r="D39" s="117">
        <f>('I. Фін результат'!D18+('I. Фін результат'!D50))</f>
        <v>5</v>
      </c>
      <c r="E39" s="117">
        <f>('I. Фін результат'!E18-('I. Фін результат'!E50))</f>
        <v>-6</v>
      </c>
      <c r="F39" s="117">
        <f>('I. Фін результат'!F18+('I. Фін результат'!F50))</f>
        <v>5</v>
      </c>
      <c r="G39" s="109">
        <f t="shared" si="1"/>
        <v>11</v>
      </c>
      <c r="H39" s="145">
        <f t="shared" si="0"/>
        <v>-83.333333333333343</v>
      </c>
    </row>
    <row r="40" spans="1:8" s="5" customFormat="1" ht="20.100000000000001" customHeight="1">
      <c r="A40" s="10" t="s">
        <v>4</v>
      </c>
      <c r="B40" s="7">
        <v>1100</v>
      </c>
      <c r="C40" s="118">
        <f>C36-C37-C39</f>
        <v>-135.98000000000002</v>
      </c>
      <c r="D40" s="118">
        <f>D36-D37-D39</f>
        <v>-55.399999999999721</v>
      </c>
      <c r="E40" s="164">
        <f>E36-E37+E39</f>
        <v>0.60000000000002274</v>
      </c>
      <c r="F40" s="118">
        <f>F36-F37-F39</f>
        <v>-55.399999999999721</v>
      </c>
      <c r="G40" s="119">
        <f t="shared" si="1"/>
        <v>-55.999999999999744</v>
      </c>
      <c r="H40" s="146">
        <f t="shared" si="0"/>
        <v>-9233.3333333329356</v>
      </c>
    </row>
    <row r="41" spans="1:8" s="5" customFormat="1" ht="20.100000000000001" customHeight="1">
      <c r="A41" s="83" t="s">
        <v>110</v>
      </c>
      <c r="B41" s="7">
        <v>1410</v>
      </c>
      <c r="C41" s="119"/>
      <c r="D41" s="119"/>
      <c r="E41" s="166"/>
      <c r="F41" s="119"/>
      <c r="G41" s="119">
        <f t="shared" si="1"/>
        <v>0</v>
      </c>
      <c r="H41" s="146"/>
    </row>
    <row r="42" spans="1:8" s="5" customFormat="1">
      <c r="A42" s="84" t="s">
        <v>148</v>
      </c>
      <c r="B42" s="7">
        <v>5010</v>
      </c>
      <c r="C42" s="147"/>
      <c r="D42" s="147"/>
      <c r="E42" s="147"/>
      <c r="F42" s="147"/>
      <c r="G42" s="119">
        <f t="shared" si="1"/>
        <v>0</v>
      </c>
      <c r="H42" s="146"/>
    </row>
    <row r="43" spans="1:8" s="5" customFormat="1" ht="20.100000000000001" customHeight="1">
      <c r="A43" s="8" t="s">
        <v>327</v>
      </c>
      <c r="B43" s="9">
        <v>1310</v>
      </c>
      <c r="C43" s="117">
        <f>'I. Фін результат'!C60</f>
        <v>0</v>
      </c>
      <c r="D43" s="117">
        <f>'I. Фін результат'!D60</f>
        <v>0</v>
      </c>
      <c r="E43" s="169">
        <f>'I. Фін результат'!E60</f>
        <v>0</v>
      </c>
      <c r="F43" s="117">
        <f>'I. Фін результат'!F60</f>
        <v>0</v>
      </c>
      <c r="G43" s="109">
        <f t="shared" si="1"/>
        <v>0</v>
      </c>
      <c r="H43" s="145"/>
    </row>
    <row r="44" spans="1:8" s="5" customFormat="1" ht="20.100000000000001" customHeight="1">
      <c r="A44" s="8" t="s">
        <v>328</v>
      </c>
      <c r="B44" s="9">
        <v>1320</v>
      </c>
      <c r="C44" s="117">
        <f>'I. Фін результат'!C61</f>
        <v>4</v>
      </c>
      <c r="D44" s="117">
        <f>'I. Фін результат'!D61</f>
        <v>4</v>
      </c>
      <c r="E44" s="169">
        <f>'I. Фін результат'!E61</f>
        <v>0</v>
      </c>
      <c r="F44" s="117">
        <f>'I. Фін результат'!F61</f>
        <v>4</v>
      </c>
      <c r="G44" s="109">
        <f t="shared" si="1"/>
        <v>4</v>
      </c>
      <c r="H44" s="145"/>
    </row>
    <row r="45" spans="1:8" s="5" customFormat="1" ht="20.100000000000001" customHeight="1">
      <c r="A45" s="83" t="s">
        <v>77</v>
      </c>
      <c r="B45" s="113">
        <v>1170</v>
      </c>
      <c r="C45" s="118">
        <f>SUM(C40,C43:C44)</f>
        <v>-131.98000000000002</v>
      </c>
      <c r="D45" s="118">
        <f>SUM(D40,D43:D44)</f>
        <v>-51.399999999999721</v>
      </c>
      <c r="E45" s="164">
        <f>SUM(E40,E43:E44)</f>
        <v>0.60000000000002274</v>
      </c>
      <c r="F45" s="118">
        <f>SUM(F40,F43:F44)</f>
        <v>-51.399999999999721</v>
      </c>
      <c r="G45" s="119">
        <f t="shared" si="1"/>
        <v>-51.999999999999744</v>
      </c>
      <c r="H45" s="146">
        <f t="shared" si="0"/>
        <v>-8566.6666666662968</v>
      </c>
    </row>
    <row r="46" spans="1:8" s="5" customFormat="1" ht="20.100000000000001" customHeight="1">
      <c r="A46" s="8" t="s">
        <v>329</v>
      </c>
      <c r="B46" s="7">
        <v>1180</v>
      </c>
      <c r="C46" s="117"/>
      <c r="D46" s="117"/>
      <c r="E46" s="169"/>
      <c r="F46" s="117"/>
      <c r="G46" s="109">
        <f t="shared" si="1"/>
        <v>0</v>
      </c>
      <c r="H46" s="145"/>
    </row>
    <row r="47" spans="1:8" s="5" customFormat="1" ht="20.100000000000001" customHeight="1">
      <c r="A47" s="10" t="s">
        <v>235</v>
      </c>
      <c r="B47" s="9">
        <v>1200</v>
      </c>
      <c r="C47" s="118">
        <f>SUM(C45:C46)</f>
        <v>-131.98000000000002</v>
      </c>
      <c r="D47" s="118">
        <f>SUM(D45:D46)</f>
        <v>-51.399999999999721</v>
      </c>
      <c r="E47" s="164">
        <f>SUM(E45:E46)</f>
        <v>0.60000000000002274</v>
      </c>
      <c r="F47" s="118">
        <f>SUM(F45:F46)</f>
        <v>-51.399999999999721</v>
      </c>
      <c r="G47" s="119">
        <f t="shared" si="1"/>
        <v>-51.999999999999744</v>
      </c>
      <c r="H47" s="146">
        <f t="shared" si="0"/>
        <v>-8566.6666666662968</v>
      </c>
    </row>
    <row r="48" spans="1:8" s="5" customFormat="1" ht="20.100000000000001" customHeight="1" thickBot="1">
      <c r="A48" s="8" t="s">
        <v>330</v>
      </c>
      <c r="B48" s="6">
        <v>5040</v>
      </c>
      <c r="C48" s="117">
        <f>' V. Коефіцієнти'!D11</f>
        <v>-14.14576634512326</v>
      </c>
      <c r="D48" s="117">
        <f>' V. Коефіцієнти'!E11</f>
        <v>-3.6793128131710611</v>
      </c>
      <c r="E48" s="169">
        <f>' V. Коефіцієнти'!F11</f>
        <v>3.4782608695653493E-2</v>
      </c>
      <c r="F48" s="117">
        <f>' V. Коефіцієнти'!G11</f>
        <v>-3.6793128131710611</v>
      </c>
      <c r="G48" s="109">
        <f t="shared" si="1"/>
        <v>-3.7140954218667144</v>
      </c>
      <c r="H48" s="145">
        <f t="shared" si="0"/>
        <v>-10578.0243378664</v>
      </c>
    </row>
    <row r="49" spans="1:8" s="5" customFormat="1" ht="19.5" thickBot="1">
      <c r="A49" s="185" t="s">
        <v>113</v>
      </c>
      <c r="B49" s="186"/>
      <c r="C49" s="186"/>
      <c r="D49" s="186"/>
      <c r="E49" s="186"/>
      <c r="F49" s="186"/>
      <c r="G49" s="186"/>
      <c r="H49" s="187"/>
    </row>
    <row r="50" spans="1:8" s="5" customFormat="1" ht="29.25" customHeight="1">
      <c r="A50" s="46" t="s">
        <v>331</v>
      </c>
      <c r="B50" s="6">
        <v>2100</v>
      </c>
      <c r="C50" s="120">
        <f>'ІІ. Розр. з бюджетом'!C8</f>
        <v>0</v>
      </c>
      <c r="D50" s="120">
        <f>'ІІ. Розр. з бюджетом'!D8</f>
        <v>0</v>
      </c>
      <c r="E50" s="119">
        <f>'ІІ. Розр. з бюджетом'!E8</f>
        <v>0</v>
      </c>
      <c r="F50" s="119">
        <f>'ІІ. Розр. з бюджетом'!F8</f>
        <v>0</v>
      </c>
      <c r="G50" s="119">
        <f>F50-E50</f>
        <v>0</v>
      </c>
      <c r="H50" s="146"/>
    </row>
    <row r="51" spans="1:8" s="5" customFormat="1">
      <c r="A51" s="8" t="s">
        <v>230</v>
      </c>
      <c r="B51" s="6">
        <v>2110</v>
      </c>
      <c r="C51" s="109">
        <f>'ІІ. Розр. з бюджетом'!C23</f>
        <v>0</v>
      </c>
      <c r="D51" s="109">
        <f>'ІІ. Розр. з бюджетом'!D23</f>
        <v>0</v>
      </c>
      <c r="E51" s="109">
        <f>'ІІ. Розр. з бюджетом'!E20</f>
        <v>0</v>
      </c>
      <c r="F51" s="109">
        <f>'ІІ. Розр. з бюджетом'!F20</f>
        <v>0</v>
      </c>
      <c r="G51" s="109">
        <f>F51-E51</f>
        <v>0</v>
      </c>
      <c r="H51" s="145"/>
    </row>
    <row r="52" spans="1:8" s="5" customFormat="1" ht="27" customHeight="1">
      <c r="A52" s="8" t="s">
        <v>332</v>
      </c>
      <c r="B52" s="6" t="s">
        <v>333</v>
      </c>
      <c r="C52" s="109">
        <f>'ІІ. Розр. з бюджетом'!C24</f>
        <v>80</v>
      </c>
      <c r="D52" s="109">
        <f>'ІІ. Розр. з бюджетом'!D24</f>
        <v>250</v>
      </c>
      <c r="E52" s="109">
        <f>'ІІ. Розр. з бюджетом'!E24</f>
        <v>345</v>
      </c>
      <c r="F52" s="109">
        <f>'ІІ. Розр. з бюджетом'!F24</f>
        <v>250</v>
      </c>
      <c r="G52" s="109">
        <f>F52-E52</f>
        <v>-95</v>
      </c>
      <c r="H52" s="145">
        <f t="shared" ref="H52:H69" si="2">(F52/E52)*100</f>
        <v>72.463768115942031</v>
      </c>
    </row>
    <row r="53" spans="1:8" s="5" customFormat="1" ht="42.75" customHeight="1">
      <c r="A53" s="46" t="s">
        <v>334</v>
      </c>
      <c r="B53" s="7">
        <v>2140</v>
      </c>
      <c r="C53" s="109" t="str">
        <f>'ІІ. Розр. з бюджетом'!C22</f>
        <v>(    )</v>
      </c>
      <c r="D53" s="109" t="str">
        <f>'ІІ. Розр. з бюджетом'!D22</f>
        <v>(    )</v>
      </c>
      <c r="E53" s="109" t="str">
        <f>'ІІ. Розр. з бюджетом'!E22</f>
        <v>(    )</v>
      </c>
      <c r="F53" s="109" t="str">
        <f>'ІІ. Розр. з бюджетом'!F22</f>
        <v>(    )</v>
      </c>
      <c r="G53" s="109"/>
      <c r="H53" s="145"/>
    </row>
    <row r="54" spans="1:8" s="5" customFormat="1" ht="37.5">
      <c r="A54" s="84" t="s">
        <v>335</v>
      </c>
      <c r="B54" s="7">
        <v>2150</v>
      </c>
      <c r="C54" s="109">
        <f>'ІІ. Розр. з бюджетом'!C38</f>
        <v>126</v>
      </c>
      <c r="D54" s="109">
        <f>'ІІ. Розр. з бюджетом'!D38</f>
        <v>174.2</v>
      </c>
      <c r="E54" s="109">
        <f>'ІІ. Розр. з бюджетом'!E38</f>
        <v>171</v>
      </c>
      <c r="F54" s="109">
        <f>'ІІ. Розр. з бюджетом'!F38</f>
        <v>174.2</v>
      </c>
      <c r="G54" s="109"/>
      <c r="H54" s="145">
        <f t="shared" si="2"/>
        <v>101.87134502923976</v>
      </c>
    </row>
    <row r="55" spans="1:8" s="5" customFormat="1" ht="22.5" customHeight="1" thickBot="1">
      <c r="A55" s="83" t="s">
        <v>264</v>
      </c>
      <c r="B55" s="7">
        <v>2200</v>
      </c>
      <c r="C55" s="128">
        <f>'ІІ. Розр. з бюджетом'!C39</f>
        <v>313.3</v>
      </c>
      <c r="D55" s="128">
        <f>'ІІ. Розр. з бюджетом'!D39</f>
        <v>509.4</v>
      </c>
      <c r="E55" s="128">
        <f>'ІІ. Розр. з бюджетом'!E39</f>
        <v>670.25</v>
      </c>
      <c r="F55" s="128">
        <f>'ІІ. Розр. з бюджетом'!F39</f>
        <v>509.4</v>
      </c>
      <c r="G55" s="119"/>
      <c r="H55" s="146">
        <f t="shared" si="2"/>
        <v>76.001491980604257</v>
      </c>
    </row>
    <row r="56" spans="1:8" s="5" customFormat="1" ht="19.5" thickBot="1">
      <c r="A56" s="185" t="s">
        <v>240</v>
      </c>
      <c r="B56" s="186"/>
      <c r="C56" s="186"/>
      <c r="D56" s="186"/>
      <c r="E56" s="186"/>
      <c r="F56" s="186"/>
      <c r="G56" s="186"/>
      <c r="H56" s="187"/>
    </row>
    <row r="57" spans="1:8" s="5" customFormat="1" ht="20.100000000000001" customHeight="1">
      <c r="A57" s="121" t="s">
        <v>336</v>
      </c>
      <c r="B57" s="9">
        <v>3600</v>
      </c>
      <c r="C57" s="128">
        <f>'ІІІ. Рух грош. коштів'!C54</f>
        <v>0</v>
      </c>
      <c r="D57" s="128">
        <f>'ІІІ. Рух грош. коштів'!D54</f>
        <v>0</v>
      </c>
      <c r="E57" s="128">
        <f>'ІІІ. Рух грош. коштів'!E54</f>
        <v>0</v>
      </c>
      <c r="F57" s="128">
        <f>'ІІІ. Рух грош. коштів'!F54</f>
        <v>0</v>
      </c>
      <c r="G57" s="119">
        <f t="shared" ref="G57:G62" si="3">F57-E57</f>
        <v>0</v>
      </c>
      <c r="H57" s="146" t="e">
        <f t="shared" si="2"/>
        <v>#DIV/0!</v>
      </c>
    </row>
    <row r="58" spans="1:8" s="5" customFormat="1">
      <c r="A58" s="84" t="s">
        <v>234</v>
      </c>
      <c r="B58" s="132">
        <v>3090</v>
      </c>
      <c r="C58" s="120"/>
      <c r="D58" s="2"/>
      <c r="E58" s="117">
        <f>'ІІІ. Рух грош. коштів'!E33</f>
        <v>0</v>
      </c>
      <c r="F58" s="117">
        <f>'ІІІ. Рух грош. коштів'!F33</f>
        <v>0</v>
      </c>
      <c r="G58" s="109">
        <f t="shared" si="3"/>
        <v>0</v>
      </c>
      <c r="H58" s="145" t="e">
        <f t="shared" si="2"/>
        <v>#DIV/0!</v>
      </c>
    </row>
    <row r="59" spans="1:8">
      <c r="A59" s="84" t="s">
        <v>114</v>
      </c>
      <c r="B59" s="132">
        <v>3320</v>
      </c>
      <c r="C59" s="117"/>
      <c r="D59" s="117"/>
      <c r="E59" s="117"/>
      <c r="F59" s="117"/>
      <c r="G59" s="109"/>
      <c r="H59" s="145" t="e">
        <f t="shared" si="2"/>
        <v>#DIV/0!</v>
      </c>
    </row>
    <row r="60" spans="1:8" s="5" customFormat="1">
      <c r="A60" s="84" t="s">
        <v>239</v>
      </c>
      <c r="B60" s="9">
        <v>3580</v>
      </c>
      <c r="C60" s="117">
        <f>'ІІІ. Рух грош. коштів'!C52</f>
        <v>0</v>
      </c>
      <c r="D60" s="117">
        <f>'ІІІ. Рух грош. коштів'!D52</f>
        <v>0</v>
      </c>
      <c r="E60" s="117">
        <f>'ІІІ. Рух грош. коштів'!E52</f>
        <v>0</v>
      </c>
      <c r="F60" s="117">
        <f>'ІІІ. Рух грош. коштів'!F52</f>
        <v>0</v>
      </c>
      <c r="G60" s="109">
        <f t="shared" si="3"/>
        <v>0</v>
      </c>
      <c r="H60" s="145" t="e">
        <f t="shared" si="2"/>
        <v>#DIV/0!</v>
      </c>
    </row>
    <row r="61" spans="1:8" s="5" customFormat="1">
      <c r="A61" s="84" t="s">
        <v>117</v>
      </c>
      <c r="B61" s="9">
        <v>3610</v>
      </c>
      <c r="C61" s="117">
        <f>'ІІІ. Рух грош. коштів'!C55</f>
        <v>0</v>
      </c>
      <c r="D61" s="117">
        <f>'ІІІ. Рух грош. коштів'!D55</f>
        <v>0</v>
      </c>
      <c r="E61" s="117">
        <f>'ІІІ. Рух грош. коштів'!E55</f>
        <v>0</v>
      </c>
      <c r="F61" s="117">
        <f>'ІІІ. Рух грош. коштів'!F55</f>
        <v>0</v>
      </c>
      <c r="G61" s="109">
        <f t="shared" si="3"/>
        <v>0</v>
      </c>
      <c r="H61" s="145" t="e">
        <f t="shared" si="2"/>
        <v>#DIV/0!</v>
      </c>
    </row>
    <row r="62" spans="1:8" s="5" customFormat="1" ht="19.5" thickBot="1">
      <c r="A62" s="122" t="s">
        <v>337</v>
      </c>
      <c r="B62" s="9">
        <v>3415</v>
      </c>
      <c r="C62" s="168"/>
      <c r="D62" s="15"/>
      <c r="E62" s="119">
        <f>SUM(E57,E58:E61)</f>
        <v>0</v>
      </c>
      <c r="F62" s="119">
        <f>SUM(F57,F58:F61)</f>
        <v>0</v>
      </c>
      <c r="G62" s="119">
        <f t="shared" si="3"/>
        <v>0</v>
      </c>
      <c r="H62" s="146" t="e">
        <f t="shared" si="2"/>
        <v>#DIV/0!</v>
      </c>
    </row>
    <row r="63" spans="1:8" s="5" customFormat="1" ht="19.5" thickBot="1">
      <c r="A63" s="190" t="s">
        <v>241</v>
      </c>
      <c r="B63" s="191"/>
      <c r="C63" s="191"/>
      <c r="D63" s="191"/>
      <c r="E63" s="191"/>
      <c r="F63" s="191"/>
      <c r="G63" s="191"/>
      <c r="H63" s="192"/>
    </row>
    <row r="64" spans="1:8" s="5" customFormat="1" ht="20.100000000000001" customHeight="1">
      <c r="A64" s="121" t="s">
        <v>338</v>
      </c>
      <c r="B64" s="123">
        <v>4000</v>
      </c>
      <c r="C64" s="128">
        <f>'IV. Кап. інвестиції'!C6</f>
        <v>45</v>
      </c>
      <c r="D64" s="128">
        <f>'IV. Кап. інвестиції'!D6</f>
        <v>13</v>
      </c>
      <c r="E64" s="128">
        <f>'IV. Кап. інвестиції'!E8</f>
        <v>0</v>
      </c>
      <c r="F64" s="128">
        <f>'IV. Кап. інвестиції'!F6</f>
        <v>13</v>
      </c>
      <c r="G64" s="119">
        <f>F64-E64</f>
        <v>13</v>
      </c>
      <c r="H64" s="146" t="e">
        <f t="shared" si="2"/>
        <v>#DIV/0!</v>
      </c>
    </row>
    <row r="65" spans="1:8" s="5" customFormat="1" ht="19.5" thickBot="1">
      <c r="A65" s="182" t="s">
        <v>141</v>
      </c>
      <c r="B65" s="183"/>
      <c r="C65" s="183"/>
      <c r="D65" s="183"/>
      <c r="E65" s="183"/>
      <c r="F65" s="183"/>
      <c r="G65" s="183"/>
      <c r="H65" s="184"/>
    </row>
    <row r="66" spans="1:8" s="5" customFormat="1">
      <c r="A66" s="124" t="s">
        <v>245</v>
      </c>
      <c r="B66" s="125">
        <v>5040</v>
      </c>
      <c r="C66" s="169">
        <f>(C47/C34)*100</f>
        <v>-14.14576634512326</v>
      </c>
      <c r="D66" s="169">
        <f>(D47/D34)*100</f>
        <v>-3.6793128131710611</v>
      </c>
      <c r="E66" s="169">
        <f>(E47/E34)*100</f>
        <v>3.4782608695653493E-2</v>
      </c>
      <c r="F66" s="169">
        <f>(F47/F34)*100</f>
        <v>-3.6793128131710611</v>
      </c>
      <c r="G66" s="120">
        <f>F66-E66</f>
        <v>-3.7140954218667144</v>
      </c>
      <c r="H66" s="145">
        <f t="shared" si="2"/>
        <v>-10578.0243378664</v>
      </c>
    </row>
    <row r="67" spans="1:8" s="5" customFormat="1">
      <c r="A67" s="124" t="s">
        <v>246</v>
      </c>
      <c r="B67" s="125">
        <v>5020</v>
      </c>
      <c r="C67" s="169">
        <f>(C47/C74)*100</f>
        <v>-0.90160742709194386</v>
      </c>
      <c r="D67" s="169">
        <f>(D47/D74)*100</f>
        <v>-0.36706420052845617</v>
      </c>
      <c r="E67" s="169" t="e">
        <f>(E47/E74)*100</f>
        <v>#DIV/0!</v>
      </c>
      <c r="F67" s="169" t="e">
        <f>(F47/F74)*100</f>
        <v>#VALUE!</v>
      </c>
      <c r="G67" s="120" t="e">
        <f>F67-E67</f>
        <v>#VALUE!</v>
      </c>
      <c r="H67" s="145" t="e">
        <f t="shared" si="2"/>
        <v>#VALUE!</v>
      </c>
    </row>
    <row r="68" spans="1:8" s="5" customFormat="1">
      <c r="A68" s="84" t="s">
        <v>247</v>
      </c>
      <c r="B68" s="6">
        <v>5030</v>
      </c>
      <c r="C68" s="120">
        <f>' V. Коефіцієнти'!D10</f>
        <v>-0.92680631728264162</v>
      </c>
      <c r="D68" s="120">
        <f>(D47/C80)*100</f>
        <v>-0.36094745194974631</v>
      </c>
      <c r="E68" s="120" t="e">
        <f>(E47/E80)*100</f>
        <v>#DIV/0!</v>
      </c>
      <c r="F68" s="120" t="e">
        <f>(F47/F80)*100</f>
        <v>#VALUE!</v>
      </c>
      <c r="G68" s="120" t="e">
        <f>F68-E68</f>
        <v>#VALUE!</v>
      </c>
      <c r="H68" s="145" t="e">
        <f t="shared" si="2"/>
        <v>#VALUE!</v>
      </c>
    </row>
    <row r="69" spans="1:8" s="5" customFormat="1" ht="19.5" thickBot="1">
      <c r="A69" s="126" t="s">
        <v>149</v>
      </c>
      <c r="B69" s="127">
        <v>5110</v>
      </c>
      <c r="C69" s="170">
        <f>' V. Коефіцієнти'!D14</f>
        <v>35.788640361899972</v>
      </c>
      <c r="D69" s="170">
        <f>C80/D77</f>
        <v>120.68050847457627</v>
      </c>
      <c r="E69" s="170" t="e">
        <f>E80/E77</f>
        <v>#DIV/0!</v>
      </c>
      <c r="F69" s="170" t="e">
        <f>F80/F77</f>
        <v>#VALUE!</v>
      </c>
      <c r="G69" s="120" t="e">
        <f>F69-E69</f>
        <v>#VALUE!</v>
      </c>
      <c r="H69" s="145" t="e">
        <f t="shared" si="2"/>
        <v>#VALUE!</v>
      </c>
    </row>
    <row r="70" spans="1:8" s="5" customFormat="1" ht="19.5" thickBot="1">
      <c r="A70" s="185" t="s">
        <v>242</v>
      </c>
      <c r="B70" s="186"/>
      <c r="C70" s="186"/>
      <c r="D70" s="186"/>
      <c r="E70" s="186"/>
      <c r="F70" s="186"/>
      <c r="G70" s="186"/>
      <c r="H70" s="187"/>
    </row>
    <row r="71" spans="1:8" s="5" customFormat="1" ht="20.100000000000001" customHeight="1">
      <c r="A71" s="124" t="s">
        <v>339</v>
      </c>
      <c r="B71" s="125">
        <v>6000</v>
      </c>
      <c r="C71" s="117">
        <v>13458</v>
      </c>
      <c r="D71" s="117">
        <v>13148</v>
      </c>
      <c r="E71" s="117"/>
      <c r="F71" s="85" t="s">
        <v>267</v>
      </c>
      <c r="G71" s="109">
        <f>D71-C71</f>
        <v>-310</v>
      </c>
      <c r="H71" s="145">
        <f>(D71/C71)*100</f>
        <v>97.696537375538711</v>
      </c>
    </row>
    <row r="72" spans="1:8" s="5" customFormat="1" ht="20.100000000000001" customHeight="1">
      <c r="A72" s="84" t="s">
        <v>340</v>
      </c>
      <c r="B72" s="6">
        <v>6010</v>
      </c>
      <c r="C72" s="117">
        <v>1180.3</v>
      </c>
      <c r="D72" s="117">
        <v>855</v>
      </c>
      <c r="E72" s="117"/>
      <c r="F72" s="85" t="s">
        <v>267</v>
      </c>
      <c r="G72" s="109">
        <f t="shared" ref="G72:G79" si="4">D72-C72</f>
        <v>-325.29999999999995</v>
      </c>
      <c r="H72" s="145">
        <f t="shared" ref="H72:H77" si="5">(D72/C72)*100</f>
        <v>72.439210370244851</v>
      </c>
    </row>
    <row r="73" spans="1:8" s="5" customFormat="1">
      <c r="A73" s="84" t="s">
        <v>341</v>
      </c>
      <c r="B73" s="6">
        <v>6020</v>
      </c>
      <c r="C73" s="117">
        <v>621.70000000000005</v>
      </c>
      <c r="D73" s="117">
        <v>256</v>
      </c>
      <c r="E73" s="117"/>
      <c r="F73" s="85" t="s">
        <v>267</v>
      </c>
      <c r="G73" s="109">
        <f t="shared" si="4"/>
        <v>-365.70000000000005</v>
      </c>
      <c r="H73" s="145">
        <f t="shared" si="5"/>
        <v>41.177416760495412</v>
      </c>
    </row>
    <row r="74" spans="1:8" s="5" customFormat="1" ht="20.100000000000001" customHeight="1">
      <c r="A74" s="83" t="s">
        <v>178</v>
      </c>
      <c r="B74" s="6">
        <v>6030</v>
      </c>
      <c r="C74" s="128">
        <f>SUM(C71:C72)</f>
        <v>14638.3</v>
      </c>
      <c r="D74" s="128">
        <f>SUM(D71:D72)</f>
        <v>14003</v>
      </c>
      <c r="E74" s="128">
        <v>0</v>
      </c>
      <c r="F74" s="85" t="s">
        <v>267</v>
      </c>
      <c r="G74" s="119">
        <f t="shared" si="4"/>
        <v>-635.29999999999927</v>
      </c>
      <c r="H74" s="146">
        <f t="shared" si="5"/>
        <v>95.660015165695484</v>
      </c>
    </row>
    <row r="75" spans="1:8" s="5" customFormat="1" ht="20.100000000000001" customHeight="1">
      <c r="A75" s="84" t="s">
        <v>118</v>
      </c>
      <c r="B75" s="6">
        <v>6040</v>
      </c>
      <c r="C75" s="117"/>
      <c r="D75" s="117"/>
      <c r="E75" s="117"/>
      <c r="F75" s="85" t="s">
        <v>267</v>
      </c>
      <c r="G75" s="109">
        <f t="shared" si="4"/>
        <v>0</v>
      </c>
      <c r="H75" s="145"/>
    </row>
    <row r="76" spans="1:8" s="5" customFormat="1" ht="20.100000000000001" customHeight="1">
      <c r="A76" s="84" t="s">
        <v>119</v>
      </c>
      <c r="B76" s="6">
        <v>6050</v>
      </c>
      <c r="C76" s="117">
        <v>397.9</v>
      </c>
      <c r="D76" s="117">
        <v>118</v>
      </c>
      <c r="E76" s="117"/>
      <c r="F76" s="85" t="s">
        <v>267</v>
      </c>
      <c r="G76" s="109">
        <f t="shared" si="4"/>
        <v>-279.89999999999998</v>
      </c>
      <c r="H76" s="145">
        <f t="shared" si="5"/>
        <v>29.655692385021364</v>
      </c>
    </row>
    <row r="77" spans="1:8" s="5" customFormat="1" ht="20.100000000000001" customHeight="1">
      <c r="A77" s="83" t="s">
        <v>179</v>
      </c>
      <c r="B77" s="6">
        <v>6060</v>
      </c>
      <c r="C77" s="119">
        <f>SUM(C75:C76)</f>
        <v>397.9</v>
      </c>
      <c r="D77" s="119">
        <f>SUM(D75:D76)</f>
        <v>118</v>
      </c>
      <c r="E77" s="119">
        <f>SUM(E75:E76)</f>
        <v>0</v>
      </c>
      <c r="F77" s="85" t="s">
        <v>267</v>
      </c>
      <c r="G77" s="119">
        <f t="shared" si="4"/>
        <v>-279.89999999999998</v>
      </c>
      <c r="H77" s="146">
        <f t="shared" si="5"/>
        <v>29.655692385021364</v>
      </c>
    </row>
    <row r="78" spans="1:8" s="5" customFormat="1" ht="20.100000000000001" customHeight="1">
      <c r="A78" s="84" t="s">
        <v>270</v>
      </c>
      <c r="B78" s="6">
        <v>6070</v>
      </c>
      <c r="C78" s="117"/>
      <c r="D78" s="117"/>
      <c r="E78" s="117"/>
      <c r="F78" s="85" t="s">
        <v>267</v>
      </c>
      <c r="G78" s="109">
        <f t="shared" si="4"/>
        <v>0</v>
      </c>
      <c r="H78" s="145"/>
    </row>
    <row r="79" spans="1:8" s="5" customFormat="1">
      <c r="A79" s="84" t="s">
        <v>271</v>
      </c>
      <c r="B79" s="6">
        <v>6080</v>
      </c>
      <c r="C79" s="117"/>
      <c r="D79" s="117"/>
      <c r="E79" s="117"/>
      <c r="F79" s="85" t="s">
        <v>267</v>
      </c>
      <c r="G79" s="109">
        <f t="shared" si="4"/>
        <v>0</v>
      </c>
      <c r="H79" s="145"/>
    </row>
    <row r="80" spans="1:8" s="5" customFormat="1" ht="20.100000000000001" customHeight="1">
      <c r="A80" s="83" t="s">
        <v>111</v>
      </c>
      <c r="B80" s="6">
        <v>6090</v>
      </c>
      <c r="C80" s="128">
        <v>14240.3</v>
      </c>
      <c r="D80" s="173">
        <v>13885</v>
      </c>
      <c r="E80" s="128">
        <v>0</v>
      </c>
      <c r="F80" s="85" t="s">
        <v>267</v>
      </c>
      <c r="G80" s="119"/>
      <c r="H80" s="146"/>
    </row>
    <row r="81" spans="1:9" s="5" customFormat="1" ht="20.100000000000001" customHeight="1">
      <c r="A81" s="28"/>
      <c r="B81" s="141"/>
      <c r="C81" s="142"/>
      <c r="D81" s="142"/>
      <c r="E81" s="143"/>
      <c r="F81" s="143"/>
      <c r="G81" s="143"/>
      <c r="H81" s="144"/>
    </row>
    <row r="82" spans="1:9" s="5" customFormat="1" ht="20.100000000000001" customHeight="1">
      <c r="A82" s="28"/>
      <c r="B82" s="141"/>
      <c r="C82" s="142"/>
      <c r="D82" s="142"/>
      <c r="E82" s="143"/>
      <c r="F82" s="143"/>
      <c r="G82" s="143"/>
      <c r="H82" s="144"/>
    </row>
    <row r="83" spans="1:9">
      <c r="A83" s="67"/>
    </row>
    <row r="84" spans="1:9">
      <c r="A84" s="58" t="s">
        <v>423</v>
      </c>
      <c r="B84" s="1"/>
      <c r="C84" s="194" t="s">
        <v>84</v>
      </c>
      <c r="D84" s="195"/>
      <c r="E84" s="195"/>
      <c r="F84" s="195"/>
      <c r="G84" s="196" t="s">
        <v>320</v>
      </c>
      <c r="H84" s="197"/>
      <c r="I84" s="197"/>
    </row>
    <row r="85" spans="1:9" s="2" customFormat="1" ht="20.100000000000001" customHeight="1">
      <c r="A85" s="74" t="s">
        <v>249</v>
      </c>
      <c r="B85" s="3"/>
      <c r="C85" s="188" t="s">
        <v>65</v>
      </c>
      <c r="D85" s="188"/>
      <c r="E85" s="188"/>
      <c r="F85" s="188"/>
      <c r="G85" s="193" t="s">
        <v>323</v>
      </c>
      <c r="H85" s="193"/>
      <c r="I85" s="4"/>
    </row>
    <row r="86" spans="1:9">
      <c r="A86" s="67"/>
    </row>
    <row r="87" spans="1:9">
      <c r="A87" s="158" t="s">
        <v>312</v>
      </c>
    </row>
    <row r="88" spans="1:9">
      <c r="A88" s="158" t="s">
        <v>313</v>
      </c>
    </row>
    <row r="89" spans="1:9">
      <c r="A89" s="67"/>
    </row>
    <row r="90" spans="1:9">
      <c r="A90" s="67"/>
    </row>
    <row r="91" spans="1:9">
      <c r="A91" s="67"/>
    </row>
    <row r="92" spans="1:9">
      <c r="A92" s="67"/>
    </row>
    <row r="93" spans="1:9">
      <c r="A93" s="67"/>
    </row>
    <row r="94" spans="1:9">
      <c r="A94" s="67"/>
    </row>
    <row r="95" spans="1:9">
      <c r="A95" s="67"/>
    </row>
    <row r="96" spans="1:9">
      <c r="A96" s="67"/>
    </row>
    <row r="97" spans="1:1">
      <c r="A97" s="67"/>
    </row>
    <row r="98" spans="1:1">
      <c r="A98" s="67"/>
    </row>
    <row r="99" spans="1:1">
      <c r="A99" s="67"/>
    </row>
    <row r="100" spans="1:1">
      <c r="A100" s="67"/>
    </row>
    <row r="101" spans="1:1">
      <c r="A101" s="67"/>
    </row>
    <row r="102" spans="1:1">
      <c r="A102" s="67"/>
    </row>
    <row r="103" spans="1:1">
      <c r="A103" s="67"/>
    </row>
    <row r="104" spans="1:1">
      <c r="A104" s="67"/>
    </row>
    <row r="105" spans="1:1">
      <c r="A105" s="67"/>
    </row>
    <row r="106" spans="1:1">
      <c r="A106" s="67"/>
    </row>
    <row r="107" spans="1:1">
      <c r="A107" s="67"/>
    </row>
    <row r="108" spans="1:1">
      <c r="A108" s="67"/>
    </row>
    <row r="109" spans="1:1">
      <c r="A109" s="67"/>
    </row>
    <row r="110" spans="1:1">
      <c r="A110" s="67"/>
    </row>
    <row r="111" spans="1:1">
      <c r="A111" s="67"/>
    </row>
    <row r="112" spans="1:1">
      <c r="A112" s="67"/>
    </row>
    <row r="113" spans="1:1">
      <c r="A113" s="67"/>
    </row>
    <row r="114" spans="1:1">
      <c r="A114" s="67"/>
    </row>
    <row r="115" spans="1:1">
      <c r="A115" s="67"/>
    </row>
    <row r="116" spans="1:1">
      <c r="A116" s="67"/>
    </row>
    <row r="117" spans="1:1">
      <c r="A117" s="67"/>
    </row>
    <row r="118" spans="1:1">
      <c r="A118" s="67"/>
    </row>
    <row r="119" spans="1:1">
      <c r="A119" s="67"/>
    </row>
    <row r="120" spans="1:1">
      <c r="A120" s="67"/>
    </row>
    <row r="121" spans="1:1">
      <c r="A121" s="67"/>
    </row>
    <row r="122" spans="1:1">
      <c r="A122" s="67"/>
    </row>
    <row r="123" spans="1:1">
      <c r="A123" s="67"/>
    </row>
    <row r="124" spans="1:1">
      <c r="A124" s="67"/>
    </row>
    <row r="125" spans="1:1">
      <c r="A125" s="67"/>
    </row>
    <row r="126" spans="1:1">
      <c r="A126" s="67"/>
    </row>
    <row r="127" spans="1:1">
      <c r="A127" s="67"/>
    </row>
    <row r="128" spans="1:1">
      <c r="A128" s="67"/>
    </row>
    <row r="129" spans="1:1">
      <c r="A129" s="67"/>
    </row>
    <row r="130" spans="1:1">
      <c r="A130" s="67"/>
    </row>
    <row r="131" spans="1:1">
      <c r="A131" s="67"/>
    </row>
    <row r="132" spans="1:1">
      <c r="A132" s="67"/>
    </row>
    <row r="133" spans="1:1">
      <c r="A133" s="67"/>
    </row>
    <row r="134" spans="1:1">
      <c r="A134" s="67"/>
    </row>
    <row r="135" spans="1:1">
      <c r="A135" s="67"/>
    </row>
    <row r="136" spans="1:1">
      <c r="A136" s="67"/>
    </row>
    <row r="137" spans="1:1">
      <c r="A137" s="67"/>
    </row>
    <row r="138" spans="1:1">
      <c r="A138" s="67"/>
    </row>
    <row r="139" spans="1:1">
      <c r="A139" s="67"/>
    </row>
    <row r="140" spans="1:1">
      <c r="A140" s="67"/>
    </row>
    <row r="141" spans="1:1">
      <c r="A141" s="67"/>
    </row>
    <row r="142" spans="1:1">
      <c r="A142" s="67"/>
    </row>
    <row r="143" spans="1:1">
      <c r="A143" s="67"/>
    </row>
    <row r="144" spans="1:1">
      <c r="A144" s="67"/>
    </row>
    <row r="145" spans="1:1">
      <c r="A145" s="67"/>
    </row>
    <row r="146" spans="1:1">
      <c r="A146" s="67"/>
    </row>
    <row r="147" spans="1:1">
      <c r="A147" s="67"/>
    </row>
    <row r="148" spans="1:1">
      <c r="A148" s="67"/>
    </row>
    <row r="149" spans="1:1">
      <c r="A149" s="67"/>
    </row>
    <row r="150" spans="1:1">
      <c r="A150" s="67"/>
    </row>
    <row r="151" spans="1:1">
      <c r="A151" s="67"/>
    </row>
    <row r="152" spans="1:1">
      <c r="A152" s="67"/>
    </row>
    <row r="153" spans="1:1">
      <c r="A153" s="67"/>
    </row>
    <row r="154" spans="1:1">
      <c r="A154" s="67"/>
    </row>
    <row r="155" spans="1:1">
      <c r="A155" s="67"/>
    </row>
    <row r="156" spans="1:1">
      <c r="A156" s="67"/>
    </row>
    <row r="157" spans="1:1">
      <c r="A157" s="67"/>
    </row>
    <row r="158" spans="1:1">
      <c r="A158" s="67"/>
    </row>
    <row r="159" spans="1:1">
      <c r="A159" s="67"/>
    </row>
    <row r="160" spans="1:1">
      <c r="A160" s="67"/>
    </row>
    <row r="161" spans="1:1">
      <c r="A161" s="67"/>
    </row>
    <row r="162" spans="1:1">
      <c r="A162" s="67"/>
    </row>
    <row r="163" spans="1:1">
      <c r="A163" s="67"/>
    </row>
    <row r="164" spans="1:1">
      <c r="A164" s="67"/>
    </row>
    <row r="165" spans="1:1">
      <c r="A165" s="67"/>
    </row>
    <row r="166" spans="1:1">
      <c r="A166" s="67"/>
    </row>
    <row r="167" spans="1:1">
      <c r="A167" s="67"/>
    </row>
    <row r="168" spans="1:1">
      <c r="A168" s="67"/>
    </row>
    <row r="169" spans="1:1">
      <c r="A169" s="67"/>
    </row>
    <row r="170" spans="1:1">
      <c r="A170" s="67"/>
    </row>
    <row r="171" spans="1:1">
      <c r="A171" s="67"/>
    </row>
    <row r="172" spans="1:1">
      <c r="A172" s="67"/>
    </row>
    <row r="173" spans="1:1">
      <c r="A173" s="67"/>
    </row>
    <row r="174" spans="1:1">
      <c r="A174" s="67"/>
    </row>
    <row r="175" spans="1:1">
      <c r="A175" s="67"/>
    </row>
    <row r="176" spans="1:1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  <row r="186" spans="1:1">
      <c r="A186" s="67"/>
    </row>
    <row r="187" spans="1:1">
      <c r="A187" s="67"/>
    </row>
    <row r="188" spans="1:1">
      <c r="A188" s="67"/>
    </row>
    <row r="189" spans="1:1">
      <c r="A189" s="67"/>
    </row>
    <row r="190" spans="1:1">
      <c r="A190" s="67"/>
    </row>
    <row r="191" spans="1:1">
      <c r="A191" s="67"/>
    </row>
    <row r="192" spans="1:1">
      <c r="A192" s="67"/>
    </row>
    <row r="193" spans="1:1">
      <c r="A193" s="67"/>
    </row>
    <row r="194" spans="1:1">
      <c r="A194" s="67"/>
    </row>
    <row r="195" spans="1:1">
      <c r="A195" s="67"/>
    </row>
    <row r="196" spans="1:1">
      <c r="A196" s="67"/>
    </row>
    <row r="197" spans="1:1">
      <c r="A197" s="67"/>
    </row>
    <row r="198" spans="1:1">
      <c r="A198" s="67"/>
    </row>
    <row r="199" spans="1:1">
      <c r="A199" s="67"/>
    </row>
    <row r="200" spans="1:1">
      <c r="A200" s="67"/>
    </row>
    <row r="201" spans="1:1">
      <c r="A201" s="67"/>
    </row>
    <row r="202" spans="1:1">
      <c r="A202" s="67"/>
    </row>
    <row r="203" spans="1:1">
      <c r="A203" s="67"/>
    </row>
    <row r="204" spans="1:1">
      <c r="A204" s="67"/>
    </row>
    <row r="205" spans="1:1">
      <c r="A205" s="67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</sheetData>
  <mergeCells count="38">
    <mergeCell ref="B14:E14"/>
    <mergeCell ref="B15:E15"/>
    <mergeCell ref="B18:E18"/>
    <mergeCell ref="B19:E19"/>
    <mergeCell ref="G85:H85"/>
    <mergeCell ref="C84:F84"/>
    <mergeCell ref="C85:F85"/>
    <mergeCell ref="G84:I84"/>
    <mergeCell ref="A33:H33"/>
    <mergeCell ref="A49:H49"/>
    <mergeCell ref="A56:H56"/>
    <mergeCell ref="A63:H63"/>
    <mergeCell ref="B9:E9"/>
    <mergeCell ref="B10:E10"/>
    <mergeCell ref="B11:E11"/>
    <mergeCell ref="A23:H23"/>
    <mergeCell ref="B12:E12"/>
    <mergeCell ref="B13:E13"/>
    <mergeCell ref="F1:H1"/>
    <mergeCell ref="F2:H2"/>
    <mergeCell ref="F3:H3"/>
    <mergeCell ref="F4:H4"/>
    <mergeCell ref="A65:H65"/>
    <mergeCell ref="A70:H70"/>
    <mergeCell ref="A26:H26"/>
    <mergeCell ref="A28:H28"/>
    <mergeCell ref="C30:D30"/>
    <mergeCell ref="E30:H30"/>
    <mergeCell ref="A24:H24"/>
    <mergeCell ref="A30:A31"/>
    <mergeCell ref="F16:G16"/>
    <mergeCell ref="B16:E16"/>
    <mergeCell ref="F17:G17"/>
    <mergeCell ref="B30:B31"/>
    <mergeCell ref="A25:H25"/>
    <mergeCell ref="B20:E20"/>
    <mergeCell ref="B17:E17"/>
    <mergeCell ref="B21:E21"/>
  </mergeCells>
  <phoneticPr fontId="3" type="noConversion"/>
  <pageMargins left="0.9" right="0.17" top="0.78740157480314965" bottom="0.78740157480314965" header="0.31496062992125984" footer="0.19685039370078741"/>
  <pageSetup paperSize="9" scale="50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1" manualBreakCount="1">
    <brk id="48" max="7" man="1"/>
  </rowBreaks>
  <ignoredErrors>
    <ignoredError sqref="H76:H77 G66 C67:D67 H67 H34:H36 G57 G58 H54 G44 C66:D66 G69 H47:H48 G41 G68 E67:F67 H55 H58:H62 H66 E68:F68 H64 H37 G60:G62 H71 E66:F66 H39 H52 H40 E69:F69 H68 H57 H69 D68 G42 G43 G67 H45 H72:H7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323"/>
  <sheetViews>
    <sheetView view="pageBreakPreview" zoomScale="75" zoomScaleNormal="75" zoomScaleSheetLayoutView="75" workbookViewId="0">
      <pane xSplit="2" ySplit="6" topLeftCell="C91" activePane="bottomRight" state="frozen"/>
      <selection activeCell="A67" sqref="A67"/>
      <selection pane="topRight" activeCell="A67" sqref="A67"/>
      <selection pane="bottomLeft" activeCell="A67" sqref="A67"/>
      <selection pane="bottomRight" activeCell="A97" sqref="A97:A98"/>
    </sheetView>
  </sheetViews>
  <sheetFormatPr defaultRowHeight="18.75"/>
  <cols>
    <col min="1" max="1" width="92.85546875" style="3" customWidth="1"/>
    <col min="2" max="2" width="14.85546875" style="25" customWidth="1"/>
    <col min="3" max="7" width="22.42578125" style="25" customWidth="1"/>
    <col min="8" max="8" width="23.42578125" style="25" customWidth="1"/>
    <col min="9" max="9" width="31.28515625" style="25" customWidth="1"/>
    <col min="10" max="16384" width="9.140625" style="3"/>
  </cols>
  <sheetData>
    <row r="1" spans="1:9">
      <c r="A1" s="199" t="s">
        <v>78</v>
      </c>
      <c r="B1" s="199"/>
      <c r="C1" s="199"/>
      <c r="D1" s="199"/>
      <c r="E1" s="199"/>
      <c r="F1" s="199"/>
      <c r="G1" s="199"/>
      <c r="H1" s="199"/>
      <c r="I1" s="199"/>
    </row>
    <row r="2" spans="1:9" ht="12.75" customHeight="1">
      <c r="A2" s="44"/>
      <c r="B2" s="54"/>
      <c r="C2" s="54"/>
      <c r="D2" s="54"/>
      <c r="E2" s="54"/>
      <c r="F2" s="54"/>
      <c r="G2" s="54"/>
      <c r="H2" s="54"/>
      <c r="I2" s="54"/>
    </row>
    <row r="3" spans="1:9" ht="39" customHeight="1">
      <c r="A3" s="175" t="s">
        <v>187</v>
      </c>
      <c r="B3" s="179" t="s">
        <v>12</v>
      </c>
      <c r="C3" s="179" t="s">
        <v>250</v>
      </c>
      <c r="D3" s="179"/>
      <c r="E3" s="175" t="s">
        <v>265</v>
      </c>
      <c r="F3" s="175"/>
      <c r="G3" s="175"/>
      <c r="H3" s="175"/>
      <c r="I3" s="175"/>
    </row>
    <row r="4" spans="1:9" ht="93.75">
      <c r="A4" s="175"/>
      <c r="B4" s="179"/>
      <c r="C4" s="7" t="s">
        <v>174</v>
      </c>
      <c r="D4" s="7" t="s">
        <v>175</v>
      </c>
      <c r="E4" s="7" t="s">
        <v>176</v>
      </c>
      <c r="F4" s="7" t="s">
        <v>163</v>
      </c>
      <c r="G4" s="70" t="s">
        <v>182</v>
      </c>
      <c r="H4" s="70" t="s">
        <v>183</v>
      </c>
      <c r="I4" s="7" t="s">
        <v>181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135">
        <v>7</v>
      </c>
      <c r="H5" s="7">
        <v>8</v>
      </c>
      <c r="I5" s="6">
        <v>9</v>
      </c>
    </row>
    <row r="6" spans="1:9" s="5" customFormat="1" ht="24.95" customHeight="1">
      <c r="A6" s="203" t="s">
        <v>180</v>
      </c>
      <c r="B6" s="203"/>
      <c r="C6" s="203"/>
      <c r="D6" s="203"/>
      <c r="E6" s="203"/>
      <c r="F6" s="203"/>
      <c r="G6" s="203"/>
      <c r="H6" s="203"/>
      <c r="I6" s="203"/>
    </row>
    <row r="7" spans="1:9" s="5" customFormat="1" ht="20.100000000000001" customHeight="1">
      <c r="A7" s="8" t="s">
        <v>136</v>
      </c>
      <c r="B7" s="9">
        <v>1000</v>
      </c>
      <c r="C7" s="120">
        <v>933</v>
      </c>
      <c r="D7" s="109">
        <v>1397</v>
      </c>
      <c r="E7" s="120">
        <v>1725</v>
      </c>
      <c r="F7" s="109">
        <v>1397</v>
      </c>
      <c r="G7" s="120">
        <f>F7-E7</f>
        <v>-328</v>
      </c>
      <c r="H7" s="137">
        <f t="shared" ref="H7:H17" si="0">(F7/E7)*100</f>
        <v>80.985507246376812</v>
      </c>
      <c r="I7" s="90"/>
    </row>
    <row r="8" spans="1:9" ht="20.100000000000001" customHeight="1">
      <c r="A8" s="8" t="s">
        <v>120</v>
      </c>
      <c r="B8" s="9">
        <v>1010</v>
      </c>
      <c r="C8" s="162">
        <f>SUM(C9:C16)</f>
        <v>855</v>
      </c>
      <c r="D8" s="138">
        <f>SUM(D9:D16)</f>
        <v>1256.4999999999998</v>
      </c>
      <c r="E8" s="162">
        <f>SUM(E9:E16)</f>
        <v>1538</v>
      </c>
      <c r="F8" s="138">
        <f t="shared" ref="F8:F14" si="1">D8</f>
        <v>1256.4999999999998</v>
      </c>
      <c r="G8" s="120">
        <f>F8-E8</f>
        <v>-281.50000000000023</v>
      </c>
      <c r="H8" s="137">
        <f t="shared" si="0"/>
        <v>81.697009102730803</v>
      </c>
      <c r="I8" s="90"/>
    </row>
    <row r="9" spans="1:9" s="2" customFormat="1" ht="20.100000000000001" customHeight="1">
      <c r="A9" s="8" t="s">
        <v>272</v>
      </c>
      <c r="B9" s="7">
        <v>1011</v>
      </c>
      <c r="C9" s="109">
        <f>-(-87.8)</f>
        <v>87.8</v>
      </c>
      <c r="D9" s="109">
        <f>-(-227)</f>
        <v>227</v>
      </c>
      <c r="E9" s="120">
        <f>-(-655)</f>
        <v>655</v>
      </c>
      <c r="F9" s="109">
        <f t="shared" si="1"/>
        <v>227</v>
      </c>
      <c r="G9" s="120">
        <f t="shared" ref="G9:G55" si="2">F9-E9</f>
        <v>-428</v>
      </c>
      <c r="H9" s="137">
        <f t="shared" si="0"/>
        <v>34.656488549618317</v>
      </c>
      <c r="I9" s="89"/>
    </row>
    <row r="10" spans="1:9" s="2" customFormat="1" ht="20.100000000000001" customHeight="1">
      <c r="A10" s="8" t="s">
        <v>273</v>
      </c>
      <c r="B10" s="7">
        <v>1012</v>
      </c>
      <c r="C10" s="109">
        <f>-(-68.5)</f>
        <v>68.5</v>
      </c>
      <c r="D10" s="109">
        <f>-(-120.4)</f>
        <v>120.4</v>
      </c>
      <c r="E10" s="120">
        <f>-(-41)</f>
        <v>41</v>
      </c>
      <c r="F10" s="109">
        <f t="shared" si="1"/>
        <v>120.4</v>
      </c>
      <c r="G10" s="120">
        <f t="shared" si="2"/>
        <v>79.400000000000006</v>
      </c>
      <c r="H10" s="137">
        <f t="shared" si="0"/>
        <v>293.65853658536582</v>
      </c>
      <c r="I10" s="89"/>
    </row>
    <row r="11" spans="1:9" s="2" customFormat="1" ht="20.100000000000001" customHeight="1">
      <c r="A11" s="8" t="s">
        <v>274</v>
      </c>
      <c r="B11" s="7">
        <v>1013</v>
      </c>
      <c r="C11" s="109">
        <f>-(-24.8)</f>
        <v>24.8</v>
      </c>
      <c r="D11" s="109">
        <f>-(-37.7)</f>
        <v>37.700000000000003</v>
      </c>
      <c r="E11" s="120">
        <f>-(-8)</f>
        <v>8</v>
      </c>
      <c r="F11" s="109">
        <f t="shared" si="1"/>
        <v>37.700000000000003</v>
      </c>
      <c r="G11" s="120">
        <f t="shared" si="2"/>
        <v>29.700000000000003</v>
      </c>
      <c r="H11" s="137">
        <f t="shared" si="0"/>
        <v>471.25000000000006</v>
      </c>
      <c r="I11" s="89"/>
    </row>
    <row r="12" spans="1:9" s="2" customFormat="1" ht="20.100000000000001" customHeight="1">
      <c r="A12" s="8" t="s">
        <v>5</v>
      </c>
      <c r="B12" s="7">
        <v>1014</v>
      </c>
      <c r="C12" s="109">
        <f>-(-461.1)</f>
        <v>461.1</v>
      </c>
      <c r="D12" s="109">
        <f>-(-658.2)</f>
        <v>658.2</v>
      </c>
      <c r="E12" s="120">
        <f>-(-655)</f>
        <v>655</v>
      </c>
      <c r="F12" s="109">
        <f t="shared" si="1"/>
        <v>658.2</v>
      </c>
      <c r="G12" s="120">
        <f t="shared" si="2"/>
        <v>3.2000000000000455</v>
      </c>
      <c r="H12" s="137">
        <f t="shared" si="0"/>
        <v>100.4885496183206</v>
      </c>
      <c r="I12" s="89"/>
    </row>
    <row r="13" spans="1:9" s="2" customFormat="1" ht="20.100000000000001" customHeight="1">
      <c r="A13" s="8" t="s">
        <v>6</v>
      </c>
      <c r="B13" s="7">
        <v>1015</v>
      </c>
      <c r="C13" s="109">
        <f>-(-101.3)</f>
        <v>101.3</v>
      </c>
      <c r="D13" s="109">
        <f>-(-143.3)</f>
        <v>143.30000000000001</v>
      </c>
      <c r="E13" s="120">
        <f>-(-145)</f>
        <v>145</v>
      </c>
      <c r="F13" s="109">
        <f t="shared" si="1"/>
        <v>143.30000000000001</v>
      </c>
      <c r="G13" s="120">
        <f t="shared" si="2"/>
        <v>-1.6999999999999886</v>
      </c>
      <c r="H13" s="137">
        <f t="shared" si="0"/>
        <v>98.827586206896555</v>
      </c>
      <c r="I13" s="89"/>
    </row>
    <row r="14" spans="1:9" s="2" customFormat="1" ht="37.5">
      <c r="A14" s="8" t="s">
        <v>275</v>
      </c>
      <c r="B14" s="7">
        <v>1016</v>
      </c>
      <c r="C14" s="109">
        <f>-(-5.9)</f>
        <v>5.9</v>
      </c>
      <c r="D14" s="109">
        <f>-(-29.6)</f>
        <v>29.6</v>
      </c>
      <c r="E14" s="120">
        <f>-(-9)</f>
        <v>9</v>
      </c>
      <c r="F14" s="109">
        <f t="shared" si="1"/>
        <v>29.6</v>
      </c>
      <c r="G14" s="120">
        <f t="shared" si="2"/>
        <v>20.6</v>
      </c>
      <c r="H14" s="137">
        <f t="shared" si="0"/>
        <v>328.88888888888891</v>
      </c>
      <c r="I14" s="89"/>
    </row>
    <row r="15" spans="1:9" s="2" customFormat="1" ht="20.100000000000001" customHeight="1">
      <c r="A15" s="8" t="s">
        <v>276</v>
      </c>
      <c r="B15" s="7">
        <v>1017</v>
      </c>
      <c r="C15" s="109">
        <f>-(-25.1)</f>
        <v>25.1</v>
      </c>
      <c r="D15" s="109">
        <f>-(-21.3)</f>
        <v>21.3</v>
      </c>
      <c r="E15" s="120">
        <f>-(-12)</f>
        <v>12</v>
      </c>
      <c r="F15" s="109">
        <f>D15</f>
        <v>21.3</v>
      </c>
      <c r="G15" s="120">
        <f t="shared" si="2"/>
        <v>9.3000000000000007</v>
      </c>
      <c r="H15" s="137">
        <f t="shared" si="0"/>
        <v>177.5</v>
      </c>
      <c r="I15" s="89"/>
    </row>
    <row r="16" spans="1:9" s="2" customFormat="1" ht="20.100000000000001" customHeight="1">
      <c r="A16" s="8" t="s">
        <v>277</v>
      </c>
      <c r="B16" s="7">
        <v>1018</v>
      </c>
      <c r="C16" s="109">
        <f>-(-80.5)</f>
        <v>80.5</v>
      </c>
      <c r="D16" s="109">
        <f>-(-19)</f>
        <v>19</v>
      </c>
      <c r="E16" s="120">
        <f>-(-13)</f>
        <v>13</v>
      </c>
      <c r="F16" s="109">
        <f>D16</f>
        <v>19</v>
      </c>
      <c r="G16" s="120">
        <f t="shared" si="2"/>
        <v>6</v>
      </c>
      <c r="H16" s="137">
        <f t="shared" si="0"/>
        <v>146.15384615384613</v>
      </c>
      <c r="I16" s="89"/>
    </row>
    <row r="17" spans="1:9" s="5" customFormat="1" ht="20.100000000000001" customHeight="1">
      <c r="A17" s="10" t="s">
        <v>16</v>
      </c>
      <c r="B17" s="11">
        <v>1020</v>
      </c>
      <c r="C17" s="164">
        <f>C7-C8</f>
        <v>78</v>
      </c>
      <c r="D17" s="164">
        <f>D7-D8</f>
        <v>140.50000000000023</v>
      </c>
      <c r="E17" s="164">
        <f>E7-E8</f>
        <v>187</v>
      </c>
      <c r="F17" s="164">
        <f>F7-F8</f>
        <v>140.50000000000023</v>
      </c>
      <c r="G17" s="119">
        <f t="shared" si="2"/>
        <v>-46.499999999999773</v>
      </c>
      <c r="H17" s="139">
        <f t="shared" si="0"/>
        <v>75.133689839572313</v>
      </c>
      <c r="I17" s="91"/>
    </row>
    <row r="18" spans="1:9" s="5" customFormat="1" ht="20.100000000000001" customHeight="1">
      <c r="A18" s="8" t="s">
        <v>342</v>
      </c>
      <c r="B18" s="9">
        <v>1030</v>
      </c>
      <c r="C18" s="163">
        <f>C19</f>
        <v>0</v>
      </c>
      <c r="D18" s="163">
        <f>D19</f>
        <v>0</v>
      </c>
      <c r="E18" s="163">
        <v>1</v>
      </c>
      <c r="F18" s="163">
        <f>F19</f>
        <v>0</v>
      </c>
      <c r="G18" s="119"/>
      <c r="H18" s="139"/>
      <c r="I18" s="91"/>
    </row>
    <row r="19" spans="1:9" s="5" customFormat="1" ht="20.100000000000001" customHeight="1">
      <c r="A19" s="8" t="s">
        <v>143</v>
      </c>
      <c r="B19" s="9">
        <v>1031</v>
      </c>
      <c r="C19" s="119">
        <v>0</v>
      </c>
      <c r="D19" s="119">
        <v>0</v>
      </c>
      <c r="E19" s="119"/>
      <c r="F19" s="119">
        <v>0</v>
      </c>
      <c r="G19" s="119"/>
      <c r="H19" s="139"/>
      <c r="I19" s="91"/>
    </row>
    <row r="20" spans="1:9" ht="20.100000000000001" customHeight="1">
      <c r="A20" s="8" t="s">
        <v>146</v>
      </c>
      <c r="B20" s="9">
        <v>1040</v>
      </c>
      <c r="C20" s="162">
        <f>SUM(C21:C40,C42)</f>
        <v>208.98000000000002</v>
      </c>
      <c r="D20" s="162">
        <f>SUM(D21:D40,D42)</f>
        <v>190.89999999999995</v>
      </c>
      <c r="E20" s="162">
        <f>SUM(E21:E40,E42)</f>
        <v>180.39999999999998</v>
      </c>
      <c r="F20" s="162">
        <f>SUM(F21:F40,F42)</f>
        <v>190.89999999999995</v>
      </c>
      <c r="G20" s="109">
        <f t="shared" si="2"/>
        <v>10.499999999999972</v>
      </c>
      <c r="H20" s="137">
        <f>(F20/E20)*100</f>
        <v>105.82039911308203</v>
      </c>
      <c r="I20" s="90"/>
    </row>
    <row r="21" spans="1:9" ht="20.100000000000001" customHeight="1">
      <c r="A21" s="8" t="s">
        <v>86</v>
      </c>
      <c r="B21" s="9">
        <v>1041</v>
      </c>
      <c r="C21" s="109" t="s">
        <v>225</v>
      </c>
      <c r="D21" s="109"/>
      <c r="E21" s="120">
        <f>-(-3)</f>
        <v>3</v>
      </c>
      <c r="F21" s="109" t="s">
        <v>225</v>
      </c>
      <c r="G21" s="109"/>
      <c r="H21" s="137"/>
      <c r="I21" s="90"/>
    </row>
    <row r="22" spans="1:9" ht="20.100000000000001" customHeight="1">
      <c r="A22" s="8" t="s">
        <v>138</v>
      </c>
      <c r="B22" s="9">
        <v>1042</v>
      </c>
      <c r="C22" s="109" t="s">
        <v>225</v>
      </c>
      <c r="D22" s="109" t="s">
        <v>225</v>
      </c>
      <c r="E22" s="120"/>
      <c r="F22" s="109" t="s">
        <v>225</v>
      </c>
      <c r="G22" s="109"/>
      <c r="H22" s="137"/>
      <c r="I22" s="90"/>
    </row>
    <row r="23" spans="1:9" ht="20.100000000000001" customHeight="1">
      <c r="A23" s="8" t="s">
        <v>50</v>
      </c>
      <c r="B23" s="9">
        <v>1043</v>
      </c>
      <c r="C23" s="109" t="s">
        <v>225</v>
      </c>
      <c r="D23" s="109" t="s">
        <v>225</v>
      </c>
      <c r="E23" s="109" t="s">
        <v>225</v>
      </c>
      <c r="F23" s="109" t="s">
        <v>225</v>
      </c>
      <c r="G23" s="109"/>
      <c r="H23" s="137"/>
      <c r="I23" s="90"/>
    </row>
    <row r="24" spans="1:9" ht="20.100000000000001" customHeight="1">
      <c r="A24" s="8" t="s">
        <v>14</v>
      </c>
      <c r="B24" s="9">
        <v>1044</v>
      </c>
      <c r="C24" s="109" t="s">
        <v>225</v>
      </c>
      <c r="D24" s="109" t="s">
        <v>225</v>
      </c>
      <c r="E24" s="109" t="s">
        <v>225</v>
      </c>
      <c r="F24" s="109" t="s">
        <v>225</v>
      </c>
      <c r="G24" s="109"/>
      <c r="H24" s="137"/>
      <c r="I24" s="90"/>
    </row>
    <row r="25" spans="1:9" ht="20.100000000000001" customHeight="1">
      <c r="A25" s="8" t="s">
        <v>15</v>
      </c>
      <c r="B25" s="9">
        <v>1045</v>
      </c>
      <c r="C25" s="109" t="s">
        <v>225</v>
      </c>
      <c r="D25" s="109" t="s">
        <v>225</v>
      </c>
      <c r="E25" s="120">
        <f>-(-1)</f>
        <v>1</v>
      </c>
      <c r="F25" s="109" t="s">
        <v>225</v>
      </c>
      <c r="G25" s="109"/>
      <c r="H25" s="137"/>
      <c r="I25" s="90"/>
    </row>
    <row r="26" spans="1:9" s="2" customFormat="1" ht="20.100000000000001" customHeight="1">
      <c r="A26" s="8" t="s">
        <v>26</v>
      </c>
      <c r="B26" s="9">
        <v>1046</v>
      </c>
      <c r="C26" s="120">
        <f>-(-0.6)</f>
        <v>0.6</v>
      </c>
      <c r="D26" s="120">
        <f>-(-2.4)</f>
        <v>2.4</v>
      </c>
      <c r="E26" s="120"/>
      <c r="F26" s="120">
        <f>D26</f>
        <v>2.4</v>
      </c>
      <c r="G26" s="109">
        <f t="shared" si="2"/>
        <v>2.4</v>
      </c>
      <c r="H26" s="137"/>
      <c r="I26" s="90"/>
    </row>
    <row r="27" spans="1:9" s="2" customFormat="1" ht="20.100000000000001" customHeight="1">
      <c r="A27" s="8" t="s">
        <v>27</v>
      </c>
      <c r="B27" s="9">
        <v>1047</v>
      </c>
      <c r="C27" s="172">
        <f>-(-1.98)</f>
        <v>1.98</v>
      </c>
      <c r="D27" s="120">
        <f>-(-1.8)</f>
        <v>1.8</v>
      </c>
      <c r="E27" s="120">
        <f>-(-1.8)</f>
        <v>1.8</v>
      </c>
      <c r="F27" s="120">
        <f>D27</f>
        <v>1.8</v>
      </c>
      <c r="G27" s="109">
        <f t="shared" si="2"/>
        <v>0</v>
      </c>
      <c r="H27" s="137">
        <f>(F27/E27)*100</f>
        <v>100</v>
      </c>
      <c r="I27" s="90"/>
    </row>
    <row r="28" spans="1:9" s="2" customFormat="1" ht="20.100000000000001" customHeight="1">
      <c r="A28" s="8" t="s">
        <v>28</v>
      </c>
      <c r="B28" s="9">
        <v>1048</v>
      </c>
      <c r="C28" s="109">
        <f>-(-112.2)</f>
        <v>112.2</v>
      </c>
      <c r="D28" s="120">
        <f>-(-131.1)</f>
        <v>131.1</v>
      </c>
      <c r="E28" s="120">
        <f>-(-118.1)</f>
        <v>118.1</v>
      </c>
      <c r="F28" s="120">
        <f>D28</f>
        <v>131.1</v>
      </c>
      <c r="G28" s="109">
        <f t="shared" si="2"/>
        <v>13</v>
      </c>
      <c r="H28" s="137">
        <f>(F28/E28)*100</f>
        <v>111.00762066045723</v>
      </c>
      <c r="I28" s="90"/>
    </row>
    <row r="29" spans="1:9" s="2" customFormat="1" ht="20.100000000000001" customHeight="1">
      <c r="A29" s="8" t="s">
        <v>29</v>
      </c>
      <c r="B29" s="9">
        <v>1049</v>
      </c>
      <c r="C29" s="109">
        <f>-(-24.8)</f>
        <v>24.8</v>
      </c>
      <c r="D29" s="120">
        <f>-(-30.2)</f>
        <v>30.2</v>
      </c>
      <c r="E29" s="120">
        <f>-(-26)</f>
        <v>26</v>
      </c>
      <c r="F29" s="120">
        <f>D29</f>
        <v>30.2</v>
      </c>
      <c r="G29" s="109">
        <f t="shared" si="2"/>
        <v>4.1999999999999993</v>
      </c>
      <c r="H29" s="137">
        <f>(F29/E29)*100</f>
        <v>116.15384615384615</v>
      </c>
      <c r="I29" s="90"/>
    </row>
    <row r="30" spans="1:9" s="2" customFormat="1" ht="42.75" customHeight="1">
      <c r="A30" s="8" t="s">
        <v>30</v>
      </c>
      <c r="B30" s="9">
        <v>1050</v>
      </c>
      <c r="C30" s="109">
        <f>-(-8.9)</f>
        <v>8.9</v>
      </c>
      <c r="D30" s="120">
        <f>-(-1.2)</f>
        <v>1.2</v>
      </c>
      <c r="E30" s="120">
        <f>-(-2.4)</f>
        <v>2.4</v>
      </c>
      <c r="F30" s="120">
        <f>D30</f>
        <v>1.2</v>
      </c>
      <c r="G30" s="109">
        <f t="shared" si="2"/>
        <v>-1.2</v>
      </c>
      <c r="H30" s="137">
        <f>(F30/E30)*100</f>
        <v>50</v>
      </c>
      <c r="I30" s="90"/>
    </row>
    <row r="31" spans="1:9" s="2" customFormat="1" ht="42.75" customHeight="1">
      <c r="A31" s="8" t="s">
        <v>31</v>
      </c>
      <c r="B31" s="9">
        <v>1051</v>
      </c>
      <c r="C31" s="109" t="s">
        <v>225</v>
      </c>
      <c r="D31" s="109" t="s">
        <v>225</v>
      </c>
      <c r="E31" s="109" t="s">
        <v>225</v>
      </c>
      <c r="F31" s="109" t="s">
        <v>225</v>
      </c>
      <c r="G31" s="109"/>
      <c r="H31" s="137"/>
      <c r="I31" s="90"/>
    </row>
    <row r="32" spans="1:9" s="2" customFormat="1" ht="20.100000000000001" customHeight="1">
      <c r="A32" s="8" t="s">
        <v>32</v>
      </c>
      <c r="B32" s="9">
        <v>1052</v>
      </c>
      <c r="C32" s="109" t="s">
        <v>225</v>
      </c>
      <c r="D32" s="109" t="s">
        <v>225</v>
      </c>
      <c r="E32" s="109"/>
      <c r="F32" s="109" t="s">
        <v>225</v>
      </c>
      <c r="G32" s="109"/>
      <c r="H32" s="137"/>
      <c r="I32" s="90"/>
    </row>
    <row r="33" spans="1:9" s="2" customFormat="1" ht="20.100000000000001" customHeight="1">
      <c r="A33" s="8" t="s">
        <v>33</v>
      </c>
      <c r="B33" s="9">
        <v>1053</v>
      </c>
      <c r="C33" s="109" t="s">
        <v>225</v>
      </c>
      <c r="D33" s="109" t="s">
        <v>225</v>
      </c>
      <c r="E33" s="109" t="s">
        <v>225</v>
      </c>
      <c r="F33" s="109" t="s">
        <v>225</v>
      </c>
      <c r="G33" s="109"/>
      <c r="H33" s="137"/>
      <c r="I33" s="90"/>
    </row>
    <row r="34" spans="1:9" s="2" customFormat="1" ht="20.100000000000001" customHeight="1">
      <c r="A34" s="8" t="s">
        <v>34</v>
      </c>
      <c r="B34" s="9">
        <v>1054</v>
      </c>
      <c r="C34" s="109">
        <f>-(-2.2)</f>
        <v>2.2000000000000002</v>
      </c>
      <c r="D34" s="120">
        <f>-(-2.7)</f>
        <v>2.7</v>
      </c>
      <c r="E34" s="120">
        <f>-(-3)</f>
        <v>3</v>
      </c>
      <c r="F34" s="120">
        <f>D34</f>
        <v>2.7</v>
      </c>
      <c r="G34" s="120">
        <f t="shared" si="2"/>
        <v>-0.29999999999999982</v>
      </c>
      <c r="H34" s="137">
        <f>(F34/E34)*100</f>
        <v>90</v>
      </c>
      <c r="I34" s="90"/>
    </row>
    <row r="35" spans="1:9" s="2" customFormat="1" ht="20.100000000000001" customHeight="1">
      <c r="A35" s="8" t="s">
        <v>52</v>
      </c>
      <c r="B35" s="9">
        <v>1055</v>
      </c>
      <c r="C35" s="109">
        <f>-(-15.4)</f>
        <v>15.4</v>
      </c>
      <c r="D35" s="120">
        <f>-(-4.4)</f>
        <v>4.4000000000000004</v>
      </c>
      <c r="E35" s="120">
        <f>-(-9.7)</f>
        <v>9.6999999999999993</v>
      </c>
      <c r="F35" s="120">
        <f>D35</f>
        <v>4.4000000000000004</v>
      </c>
      <c r="G35" s="120">
        <f t="shared" si="2"/>
        <v>-5.2999999999999989</v>
      </c>
      <c r="H35" s="137">
        <f>(F35/E35)*100</f>
        <v>45.360824742268044</v>
      </c>
      <c r="I35" s="90"/>
    </row>
    <row r="36" spans="1:9" s="2" customFormat="1" ht="20.100000000000001" customHeight="1">
      <c r="A36" s="8" t="s">
        <v>35</v>
      </c>
      <c r="B36" s="9">
        <v>1056</v>
      </c>
      <c r="C36" s="109">
        <f>-(-6.8)</f>
        <v>6.8</v>
      </c>
      <c r="D36" s="120">
        <f>-(-1.9)</f>
        <v>1.9</v>
      </c>
      <c r="E36" s="120">
        <f>-(-5.4)</f>
        <v>5.4</v>
      </c>
      <c r="F36" s="120">
        <f>D36</f>
        <v>1.9</v>
      </c>
      <c r="G36" s="120">
        <f t="shared" si="2"/>
        <v>-3.5000000000000004</v>
      </c>
      <c r="H36" s="137">
        <f>(F36/E36)*100</f>
        <v>35.185185185185183</v>
      </c>
      <c r="I36" s="90"/>
    </row>
    <row r="37" spans="1:9" s="2" customFormat="1" ht="20.100000000000001" customHeight="1">
      <c r="A37" s="8" t="s">
        <v>36</v>
      </c>
      <c r="B37" s="9">
        <v>1057</v>
      </c>
      <c r="C37" s="109" t="s">
        <v>225</v>
      </c>
      <c r="D37" s="109" t="s">
        <v>225</v>
      </c>
      <c r="E37" s="109" t="s">
        <v>225</v>
      </c>
      <c r="F37" s="109" t="s">
        <v>225</v>
      </c>
      <c r="G37" s="109"/>
      <c r="H37" s="137"/>
      <c r="I37" s="90"/>
    </row>
    <row r="38" spans="1:9" s="2" customFormat="1" ht="20.100000000000001" customHeight="1">
      <c r="A38" s="8" t="s">
        <v>37</v>
      </c>
      <c r="B38" s="9">
        <v>1058</v>
      </c>
      <c r="C38" s="109" t="s">
        <v>225</v>
      </c>
      <c r="D38" s="109" t="s">
        <v>225</v>
      </c>
      <c r="E38" s="109" t="s">
        <v>225</v>
      </c>
      <c r="F38" s="109" t="s">
        <v>225</v>
      </c>
      <c r="G38" s="109"/>
      <c r="H38" s="137"/>
      <c r="I38" s="90"/>
    </row>
    <row r="39" spans="1:9" s="2" customFormat="1" ht="20.100000000000001" customHeight="1">
      <c r="A39" s="8" t="s">
        <v>38</v>
      </c>
      <c r="B39" s="9">
        <v>1059</v>
      </c>
      <c r="C39" s="109">
        <f>-(-0.6)</f>
        <v>0.6</v>
      </c>
      <c r="D39" s="109"/>
      <c r="E39" s="120">
        <f>-(-1)</f>
        <v>1</v>
      </c>
      <c r="F39" s="109" t="s">
        <v>307</v>
      </c>
      <c r="G39" s="109"/>
      <c r="H39" s="137"/>
      <c r="I39" s="90"/>
    </row>
    <row r="40" spans="1:9" s="2" customFormat="1" ht="42.75" customHeight="1">
      <c r="A40" s="8" t="s">
        <v>63</v>
      </c>
      <c r="B40" s="9">
        <v>1060</v>
      </c>
      <c r="C40" s="109">
        <f>-(-14)</f>
        <v>14</v>
      </c>
      <c r="D40" s="120">
        <f>-(-10.7)</f>
        <v>10.7</v>
      </c>
      <c r="E40" s="120">
        <f>-(-2)</f>
        <v>2</v>
      </c>
      <c r="F40" s="120">
        <f>D40</f>
        <v>10.7</v>
      </c>
      <c r="G40" s="109">
        <f t="shared" si="2"/>
        <v>8.6999999999999993</v>
      </c>
      <c r="H40" s="137">
        <f>(F40/E40)*100</f>
        <v>535</v>
      </c>
      <c r="I40" s="90"/>
    </row>
    <row r="41" spans="1:9" s="2" customFormat="1" ht="20.100000000000001" customHeight="1">
      <c r="A41" s="8" t="s">
        <v>39</v>
      </c>
      <c r="B41" s="6">
        <v>1061</v>
      </c>
      <c r="C41" s="109">
        <f>-(-11.7)</f>
        <v>11.7</v>
      </c>
      <c r="D41" s="109"/>
      <c r="E41" s="120">
        <f>-(-2)</f>
        <v>2</v>
      </c>
      <c r="F41" s="109"/>
      <c r="G41" s="109">
        <f t="shared" si="2"/>
        <v>-2</v>
      </c>
      <c r="H41" s="137">
        <f>(F41/E41)*100</f>
        <v>0</v>
      </c>
      <c r="I41" s="90"/>
    </row>
    <row r="42" spans="1:9" s="2" customFormat="1" ht="20.100000000000001" customHeight="1">
      <c r="A42" s="8" t="s">
        <v>89</v>
      </c>
      <c r="B42" s="9">
        <v>1062</v>
      </c>
      <c r="C42" s="109">
        <f>-(-21.5)</f>
        <v>21.5</v>
      </c>
      <c r="D42" s="120">
        <f>-(-4.5)</f>
        <v>4.5</v>
      </c>
      <c r="E42" s="120">
        <f>-(-7)</f>
        <v>7</v>
      </c>
      <c r="F42" s="120">
        <f>-(-4.5)</f>
        <v>4.5</v>
      </c>
      <c r="G42" s="109">
        <f t="shared" si="2"/>
        <v>-2.5</v>
      </c>
      <c r="H42" s="137">
        <f>(F42/E42)*100</f>
        <v>64.285714285714292</v>
      </c>
      <c r="I42" s="90"/>
    </row>
    <row r="43" spans="1:9" ht="20.100000000000001" customHeight="1">
      <c r="A43" s="8" t="s">
        <v>147</v>
      </c>
      <c r="B43" s="9">
        <v>1070</v>
      </c>
      <c r="C43" s="138">
        <f>SUM(C44:C49)</f>
        <v>0</v>
      </c>
      <c r="D43" s="138">
        <f>SUM(D44:D49)</f>
        <v>0</v>
      </c>
      <c r="E43" s="138">
        <f>SUM(E44:E49)</f>
        <v>0</v>
      </c>
      <c r="F43" s="162">
        <f>SUM(F44:F49)</f>
        <v>0</v>
      </c>
      <c r="G43" s="109"/>
      <c r="H43" s="137"/>
      <c r="I43" s="90"/>
    </row>
    <row r="44" spans="1:9" s="2" customFormat="1" ht="20.100000000000001" customHeight="1">
      <c r="A44" s="8" t="s">
        <v>123</v>
      </c>
      <c r="B44" s="9">
        <v>1071</v>
      </c>
      <c r="C44" s="109" t="s">
        <v>225</v>
      </c>
      <c r="D44" s="109" t="s">
        <v>225</v>
      </c>
      <c r="E44" s="109" t="s">
        <v>225</v>
      </c>
      <c r="F44" s="120" t="s">
        <v>225</v>
      </c>
      <c r="G44" s="109"/>
      <c r="H44" s="137"/>
      <c r="I44" s="90"/>
    </row>
    <row r="45" spans="1:9" s="2" customFormat="1" ht="20.100000000000001" customHeight="1">
      <c r="A45" s="8" t="s">
        <v>124</v>
      </c>
      <c r="B45" s="9">
        <v>1072</v>
      </c>
      <c r="C45" s="109" t="s">
        <v>225</v>
      </c>
      <c r="D45" s="109" t="s">
        <v>225</v>
      </c>
      <c r="E45" s="109" t="s">
        <v>225</v>
      </c>
      <c r="F45" s="120" t="s">
        <v>225</v>
      </c>
      <c r="G45" s="109"/>
      <c r="H45" s="137"/>
      <c r="I45" s="90"/>
    </row>
    <row r="46" spans="1:9" s="2" customFormat="1" ht="20.100000000000001" customHeight="1">
      <c r="A46" s="8" t="s">
        <v>28</v>
      </c>
      <c r="B46" s="9">
        <v>1073</v>
      </c>
      <c r="C46" s="109" t="s">
        <v>225</v>
      </c>
      <c r="D46" s="109" t="s">
        <v>225</v>
      </c>
      <c r="E46" s="109" t="s">
        <v>225</v>
      </c>
      <c r="F46" s="120" t="s">
        <v>225</v>
      </c>
      <c r="G46" s="109"/>
      <c r="H46" s="137"/>
      <c r="I46" s="90"/>
    </row>
    <row r="47" spans="1:9" s="2" customFormat="1" ht="20.100000000000001" customHeight="1">
      <c r="A47" s="8" t="s">
        <v>51</v>
      </c>
      <c r="B47" s="9">
        <v>1074</v>
      </c>
      <c r="C47" s="109" t="s">
        <v>225</v>
      </c>
      <c r="D47" s="109" t="s">
        <v>225</v>
      </c>
      <c r="E47" s="109" t="s">
        <v>225</v>
      </c>
      <c r="F47" s="120" t="s">
        <v>225</v>
      </c>
      <c r="G47" s="109"/>
      <c r="H47" s="137"/>
      <c r="I47" s="90"/>
    </row>
    <row r="48" spans="1:9" s="2" customFormat="1" ht="20.100000000000001" customHeight="1">
      <c r="A48" s="8" t="s">
        <v>66</v>
      </c>
      <c r="B48" s="9">
        <v>1075</v>
      </c>
      <c r="C48" s="109" t="s">
        <v>225</v>
      </c>
      <c r="D48" s="109" t="s">
        <v>225</v>
      </c>
      <c r="E48" s="109" t="s">
        <v>225</v>
      </c>
      <c r="F48" s="120" t="s">
        <v>225</v>
      </c>
      <c r="G48" s="109"/>
      <c r="H48" s="137"/>
      <c r="I48" s="90"/>
    </row>
    <row r="49" spans="1:9" s="2" customFormat="1" ht="20.100000000000001" customHeight="1">
      <c r="A49" s="8" t="s">
        <v>97</v>
      </c>
      <c r="B49" s="9">
        <v>1076</v>
      </c>
      <c r="C49" s="109" t="s">
        <v>225</v>
      </c>
      <c r="D49" s="109" t="s">
        <v>225</v>
      </c>
      <c r="E49" s="109" t="s">
        <v>225</v>
      </c>
      <c r="F49" s="120" t="s">
        <v>225</v>
      </c>
      <c r="G49" s="109"/>
      <c r="H49" s="137"/>
      <c r="I49" s="90"/>
    </row>
    <row r="50" spans="1:9" s="2" customFormat="1" ht="20.100000000000001" customHeight="1">
      <c r="A50" s="86" t="s">
        <v>67</v>
      </c>
      <c r="B50" s="9">
        <v>1080</v>
      </c>
      <c r="C50" s="162">
        <f>SUM(C52:C55)</f>
        <v>5</v>
      </c>
      <c r="D50" s="138">
        <f>SUM(D52:D55)</f>
        <v>5</v>
      </c>
      <c r="E50" s="138">
        <f>SUM(E52:E55)</f>
        <v>7</v>
      </c>
      <c r="F50" s="162">
        <f>SUM(F52:F55)</f>
        <v>5</v>
      </c>
      <c r="G50" s="109">
        <f t="shared" si="2"/>
        <v>-2</v>
      </c>
      <c r="H50" s="137">
        <f>(F50/E50)*100</f>
        <v>71.428571428571431</v>
      </c>
      <c r="I50" s="90"/>
    </row>
    <row r="51" spans="1:9" s="2" customFormat="1" ht="20.100000000000001" customHeight="1">
      <c r="A51" s="8" t="s">
        <v>58</v>
      </c>
      <c r="B51" s="9">
        <v>1081</v>
      </c>
      <c r="C51" s="138"/>
      <c r="D51" s="138"/>
      <c r="E51" s="138"/>
      <c r="F51" s="138"/>
      <c r="G51" s="109"/>
      <c r="H51" s="137"/>
      <c r="I51" s="90"/>
    </row>
    <row r="52" spans="1:9" s="2" customFormat="1" ht="20.100000000000001" customHeight="1">
      <c r="A52" s="8" t="s">
        <v>40</v>
      </c>
      <c r="B52" s="9">
        <v>1082</v>
      </c>
      <c r="C52" s="109">
        <v>0</v>
      </c>
      <c r="D52" s="109">
        <v>0</v>
      </c>
      <c r="E52" s="109">
        <v>0</v>
      </c>
      <c r="F52" s="109">
        <v>0</v>
      </c>
      <c r="G52" s="109"/>
      <c r="H52" s="137"/>
      <c r="I52" s="90"/>
    </row>
    <row r="53" spans="1:9" s="2" customFormat="1" ht="20.100000000000001" customHeight="1">
      <c r="A53" s="8" t="s">
        <v>49</v>
      </c>
      <c r="B53" s="9">
        <v>1083</v>
      </c>
      <c r="C53" s="109" t="s">
        <v>225</v>
      </c>
      <c r="D53" s="109" t="s">
        <v>225</v>
      </c>
      <c r="E53" s="109" t="s">
        <v>225</v>
      </c>
      <c r="F53" s="109" t="s">
        <v>225</v>
      </c>
      <c r="G53" s="109"/>
      <c r="H53" s="137"/>
      <c r="I53" s="90"/>
    </row>
    <row r="54" spans="1:9" s="2" customFormat="1" ht="20.100000000000001" customHeight="1">
      <c r="A54" s="8" t="s">
        <v>143</v>
      </c>
      <c r="B54" s="4">
        <v>1084</v>
      </c>
      <c r="C54" s="109" t="s">
        <v>225</v>
      </c>
      <c r="D54" s="109" t="s">
        <v>225</v>
      </c>
      <c r="E54" s="109" t="s">
        <v>225</v>
      </c>
      <c r="F54" s="109" t="s">
        <v>225</v>
      </c>
      <c r="G54" s="109"/>
      <c r="H54" s="137"/>
      <c r="I54" s="90"/>
    </row>
    <row r="55" spans="1:9" s="2" customFormat="1" ht="20.100000000000001" customHeight="1">
      <c r="A55" s="8" t="s">
        <v>172</v>
      </c>
      <c r="B55" s="9">
        <v>1085</v>
      </c>
      <c r="C55" s="120">
        <f>-(-5)</f>
        <v>5</v>
      </c>
      <c r="D55" s="109">
        <f>-(-5)</f>
        <v>5</v>
      </c>
      <c r="E55" s="109">
        <f>-(-7)</f>
        <v>7</v>
      </c>
      <c r="F55" s="120">
        <f>D55</f>
        <v>5</v>
      </c>
      <c r="G55" s="109">
        <f t="shared" si="2"/>
        <v>-2</v>
      </c>
      <c r="H55" s="137">
        <f>(F55/E55)*100</f>
        <v>71.428571428571431</v>
      </c>
      <c r="I55" s="90"/>
    </row>
    <row r="56" spans="1:9" s="5" customFormat="1" ht="20.100000000000001" customHeight="1">
      <c r="A56" s="10" t="s">
        <v>4</v>
      </c>
      <c r="B56" s="11">
        <v>1100</v>
      </c>
      <c r="C56" s="164">
        <f>C7-C8+C18-C20-C50</f>
        <v>-135.98000000000002</v>
      </c>
      <c r="D56" s="164">
        <f>D7-D8+D18-D20-D50</f>
        <v>-55.399999999999721</v>
      </c>
      <c r="E56" s="164">
        <f>E7-E8+E18-E20-E50</f>
        <v>0.60000000000002274</v>
      </c>
      <c r="F56" s="164">
        <f>F7-F8+F18-F20-F50</f>
        <v>-55.399999999999721</v>
      </c>
      <c r="G56" s="119">
        <f t="shared" ref="G56:G70" si="3">F56-E56</f>
        <v>-55.999999999999744</v>
      </c>
      <c r="H56" s="139">
        <f>(F56/E56)*100</f>
        <v>-9233.3333333329356</v>
      </c>
      <c r="I56" s="91"/>
    </row>
    <row r="57" spans="1:9" ht="20.100000000000001" customHeight="1">
      <c r="A57" s="8" t="s">
        <v>87</v>
      </c>
      <c r="B57" s="9">
        <v>1110</v>
      </c>
      <c r="C57" s="109"/>
      <c r="D57" s="109"/>
      <c r="E57" s="109"/>
      <c r="F57" s="109"/>
      <c r="G57" s="109">
        <f t="shared" si="3"/>
        <v>0</v>
      </c>
      <c r="H57" s="137"/>
      <c r="I57" s="90"/>
    </row>
    <row r="58" spans="1:9" ht="20.100000000000001" customHeight="1">
      <c r="A58" s="8" t="s">
        <v>88</v>
      </c>
      <c r="B58" s="9">
        <v>1120</v>
      </c>
      <c r="C58" s="109"/>
      <c r="D58" s="109"/>
      <c r="E58" s="109"/>
      <c r="F58" s="109"/>
      <c r="G58" s="109"/>
      <c r="H58" s="137"/>
      <c r="I58" s="90"/>
    </row>
    <row r="59" spans="1:9" ht="20.100000000000001" customHeight="1">
      <c r="A59" s="8" t="s">
        <v>91</v>
      </c>
      <c r="B59" s="9">
        <v>1130</v>
      </c>
      <c r="C59" s="109" t="s">
        <v>225</v>
      </c>
      <c r="D59" s="109" t="s">
        <v>225</v>
      </c>
      <c r="E59" s="109" t="s">
        <v>225</v>
      </c>
      <c r="F59" s="109" t="s">
        <v>225</v>
      </c>
      <c r="G59" s="109"/>
      <c r="H59" s="137"/>
      <c r="I59" s="90"/>
    </row>
    <row r="60" spans="1:9" ht="20.100000000000001" customHeight="1">
      <c r="A60" s="8" t="s">
        <v>90</v>
      </c>
      <c r="B60" s="9">
        <v>1140</v>
      </c>
      <c r="C60" s="109"/>
      <c r="D60" s="109"/>
      <c r="E60" s="109"/>
      <c r="F60" s="109"/>
      <c r="G60" s="109">
        <f t="shared" si="3"/>
        <v>0</v>
      </c>
      <c r="H60" s="137"/>
      <c r="I60" s="90"/>
    </row>
    <row r="61" spans="1:9" ht="20.100000000000001" customHeight="1">
      <c r="A61" s="8" t="s">
        <v>228</v>
      </c>
      <c r="B61" s="9">
        <v>1150</v>
      </c>
      <c r="C61" s="162">
        <v>4</v>
      </c>
      <c r="D61" s="162">
        <v>4</v>
      </c>
      <c r="E61" s="138">
        <f>SUM(E62:E62)</f>
        <v>0</v>
      </c>
      <c r="F61" s="138">
        <f>D61</f>
        <v>4</v>
      </c>
      <c r="G61" s="109">
        <f t="shared" si="3"/>
        <v>4</v>
      </c>
      <c r="H61" s="137"/>
      <c r="I61" s="90"/>
    </row>
    <row r="62" spans="1:9" ht="20.100000000000001" customHeight="1">
      <c r="A62" s="8" t="s">
        <v>143</v>
      </c>
      <c r="B62" s="9">
        <v>1151</v>
      </c>
      <c r="C62" s="120"/>
      <c r="D62" s="120"/>
      <c r="E62" s="109"/>
      <c r="F62" s="109"/>
      <c r="G62" s="109">
        <f t="shared" si="3"/>
        <v>0</v>
      </c>
      <c r="H62" s="137"/>
      <c r="I62" s="90"/>
    </row>
    <row r="63" spans="1:9" ht="20.100000000000001" customHeight="1">
      <c r="A63" s="8" t="s">
        <v>229</v>
      </c>
      <c r="B63" s="9">
        <v>1160</v>
      </c>
      <c r="C63" s="138">
        <f>SUM(C64:C64)</f>
        <v>0</v>
      </c>
      <c r="D63" s="138">
        <f>SUM(D64:D64)</f>
        <v>0</v>
      </c>
      <c r="E63" s="138">
        <f>SUM(E64:E64)</f>
        <v>0</v>
      </c>
      <c r="F63" s="138">
        <f>SUM(F64:F64)</f>
        <v>0</v>
      </c>
      <c r="G63" s="109">
        <f t="shared" si="3"/>
        <v>0</v>
      </c>
      <c r="H63" s="137"/>
      <c r="I63" s="90"/>
    </row>
    <row r="64" spans="1:9" ht="20.100000000000001" customHeight="1">
      <c r="A64" s="8" t="s">
        <v>143</v>
      </c>
      <c r="B64" s="9">
        <v>1161</v>
      </c>
      <c r="C64" s="109" t="s">
        <v>225</v>
      </c>
      <c r="D64" s="109" t="s">
        <v>225</v>
      </c>
      <c r="E64" s="109" t="s">
        <v>225</v>
      </c>
      <c r="F64" s="109" t="s">
        <v>225</v>
      </c>
      <c r="G64" s="109"/>
      <c r="H64" s="137"/>
      <c r="I64" s="90"/>
    </row>
    <row r="65" spans="1:9" s="5" customFormat="1" ht="20.100000000000001" customHeight="1">
      <c r="A65" s="10" t="s">
        <v>77</v>
      </c>
      <c r="B65" s="11">
        <v>1170</v>
      </c>
      <c r="C65" s="164">
        <f>SUM(C56,C57,C59,C60,C61,C63)</f>
        <v>-131.98000000000002</v>
      </c>
      <c r="D65" s="164">
        <f>SUM(D56,D57,D59,D60,D61,D63)</f>
        <v>-51.399999999999721</v>
      </c>
      <c r="E65" s="164">
        <f>SUM(E56,E57,E59,E60,E61,E63)</f>
        <v>0.60000000000002274</v>
      </c>
      <c r="F65" s="164">
        <f>SUM(F56,F57,F59,F60,F61,F63)</f>
        <v>-51.399999999999721</v>
      </c>
      <c r="G65" s="119">
        <f t="shared" si="3"/>
        <v>-51.999999999999744</v>
      </c>
      <c r="H65" s="139">
        <f>(F65/E65)*100</f>
        <v>-8566.6666666662968</v>
      </c>
      <c r="I65" s="91"/>
    </row>
    <row r="66" spans="1:9" ht="20.100000000000001" customHeight="1">
      <c r="A66" s="8" t="s">
        <v>329</v>
      </c>
      <c r="B66" s="7">
        <v>1180</v>
      </c>
      <c r="C66" s="120" t="s">
        <v>225</v>
      </c>
      <c r="D66" s="120" t="s">
        <v>225</v>
      </c>
      <c r="E66" s="120" t="s">
        <v>225</v>
      </c>
      <c r="F66" s="120" t="s">
        <v>225</v>
      </c>
      <c r="G66" s="109" t="e">
        <f t="shared" si="3"/>
        <v>#VALUE!</v>
      </c>
      <c r="H66" s="137" t="e">
        <f t="shared" ref="H66:H93" si="4">(F66/E66)*100</f>
        <v>#VALUE!</v>
      </c>
      <c r="I66" s="90"/>
    </row>
    <row r="67" spans="1:9" ht="20.100000000000001" customHeight="1">
      <c r="A67" s="8" t="s">
        <v>343</v>
      </c>
      <c r="B67" s="9">
        <v>1190</v>
      </c>
      <c r="C67" s="120"/>
      <c r="D67" s="120"/>
      <c r="E67" s="120"/>
      <c r="F67" s="120"/>
      <c r="G67" s="109"/>
      <c r="H67" s="137" t="e">
        <f t="shared" si="4"/>
        <v>#DIV/0!</v>
      </c>
      <c r="I67" s="90"/>
    </row>
    <row r="68" spans="1:9" s="5" customFormat="1" ht="20.100000000000001" customHeight="1">
      <c r="A68" s="10" t="s">
        <v>233</v>
      </c>
      <c r="B68" s="11">
        <v>1200</v>
      </c>
      <c r="C68" s="164">
        <f>SUM(C65,C66,C67)</f>
        <v>-131.98000000000002</v>
      </c>
      <c r="D68" s="164">
        <f>SUM(D65,D66,D67)</f>
        <v>-51.399999999999721</v>
      </c>
      <c r="E68" s="164">
        <f>SUM(E65,E66,E67,)</f>
        <v>0.60000000000002274</v>
      </c>
      <c r="F68" s="164">
        <f>SUM(F65,F66,F67,)</f>
        <v>-51.399999999999721</v>
      </c>
      <c r="G68" s="119">
        <f t="shared" si="3"/>
        <v>-51.999999999999744</v>
      </c>
      <c r="H68" s="139">
        <f t="shared" si="4"/>
        <v>-8566.6666666662968</v>
      </c>
      <c r="I68" s="91"/>
    </row>
    <row r="69" spans="1:9" ht="20.100000000000001" customHeight="1">
      <c r="A69" s="8" t="s">
        <v>17</v>
      </c>
      <c r="B69" s="6">
        <v>1201</v>
      </c>
      <c r="C69" s="109"/>
      <c r="D69" s="109"/>
      <c r="E69" s="109"/>
      <c r="F69" s="109" t="s">
        <v>308</v>
      </c>
      <c r="G69" s="109" t="e">
        <f t="shared" si="3"/>
        <v>#VALUE!</v>
      </c>
      <c r="H69" s="137" t="e">
        <f t="shared" si="4"/>
        <v>#VALUE!</v>
      </c>
      <c r="I69" s="89"/>
    </row>
    <row r="70" spans="1:9" ht="20.100000000000001" customHeight="1">
      <c r="A70" s="8" t="s">
        <v>18</v>
      </c>
      <c r="B70" s="6">
        <v>1202</v>
      </c>
      <c r="C70" s="109" t="s">
        <v>225</v>
      </c>
      <c r="D70" s="109" t="s">
        <v>225</v>
      </c>
      <c r="E70" s="109" t="s">
        <v>225</v>
      </c>
      <c r="F70" s="109" t="s">
        <v>225</v>
      </c>
      <c r="G70" s="109" t="e">
        <f t="shared" si="3"/>
        <v>#VALUE!</v>
      </c>
      <c r="H70" s="137" t="e">
        <f t="shared" si="4"/>
        <v>#VALUE!</v>
      </c>
      <c r="I70" s="89"/>
    </row>
    <row r="71" spans="1:9" ht="20.100000000000001" customHeight="1">
      <c r="A71" s="8" t="s">
        <v>173</v>
      </c>
      <c r="B71" s="6">
        <v>1210</v>
      </c>
      <c r="C71" s="109"/>
      <c r="D71" s="109"/>
      <c r="E71" s="109"/>
      <c r="F71" s="109"/>
      <c r="G71" s="109"/>
      <c r="H71" s="137"/>
      <c r="I71" s="89"/>
    </row>
    <row r="72" spans="1:9" ht="20.100000000000001" customHeight="1">
      <c r="A72" s="200" t="s">
        <v>344</v>
      </c>
      <c r="B72" s="201"/>
      <c r="C72" s="201"/>
      <c r="D72" s="201"/>
      <c r="E72" s="201"/>
      <c r="F72" s="201"/>
      <c r="G72" s="201"/>
      <c r="H72" s="201"/>
      <c r="I72" s="202"/>
    </row>
    <row r="73" spans="1:9" ht="20.100000000000001" customHeight="1">
      <c r="A73" s="8" t="s">
        <v>345</v>
      </c>
      <c r="B73" s="6">
        <v>1300</v>
      </c>
      <c r="C73" s="109"/>
      <c r="D73" s="109"/>
      <c r="E73" s="109"/>
      <c r="F73" s="109"/>
      <c r="G73" s="109"/>
      <c r="H73" s="137"/>
      <c r="I73" s="89"/>
    </row>
    <row r="74" spans="1:9" ht="38.25" customHeight="1">
      <c r="A74" s="8" t="s">
        <v>346</v>
      </c>
      <c r="B74" s="6">
        <v>1310</v>
      </c>
      <c r="C74" s="109"/>
      <c r="D74" s="109"/>
      <c r="E74" s="109"/>
      <c r="F74" s="109"/>
      <c r="G74" s="109"/>
      <c r="H74" s="137"/>
      <c r="I74" s="89"/>
    </row>
    <row r="75" spans="1:9" ht="20.100000000000001" customHeight="1">
      <c r="A75" s="8" t="s">
        <v>347</v>
      </c>
      <c r="B75" s="6">
        <v>1320</v>
      </c>
      <c r="C75" s="109">
        <v>0</v>
      </c>
      <c r="D75" s="109"/>
      <c r="E75" s="109"/>
      <c r="F75" s="109"/>
      <c r="G75" s="109"/>
      <c r="H75" s="137"/>
      <c r="I75" s="89"/>
    </row>
    <row r="76" spans="1:9" ht="20.100000000000001" customHeight="1">
      <c r="A76" s="10" t="s">
        <v>13</v>
      </c>
      <c r="B76" s="9">
        <v>1330</v>
      </c>
      <c r="C76" s="166">
        <f>SUM(C7,C57,C60,C61,C67)</f>
        <v>937</v>
      </c>
      <c r="D76" s="166">
        <f>SUM(D7,D57,D60,D61,D67)</f>
        <v>1401</v>
      </c>
      <c r="E76" s="119">
        <f>SUM(E7,E57,E60,E61,E67)</f>
        <v>1725</v>
      </c>
      <c r="F76" s="119">
        <f>SUM(F7,F57,F60,F61,F67)</f>
        <v>1401</v>
      </c>
      <c r="G76" s="119">
        <f>F76-E76</f>
        <v>-324</v>
      </c>
      <c r="H76" s="139">
        <f t="shared" si="4"/>
        <v>81.217391304347828</v>
      </c>
      <c r="I76" s="90"/>
    </row>
    <row r="77" spans="1:9" ht="20.100000000000001" customHeight="1">
      <c r="A77" s="10" t="s">
        <v>94</v>
      </c>
      <c r="B77" s="9">
        <v>1340</v>
      </c>
      <c r="C77" s="166">
        <f>SUM(C8,C20,C43,C50,C59,C63,C66)</f>
        <v>1068.98</v>
      </c>
      <c r="D77" s="166">
        <f>SUM(D8,D20,D43,D50,D59,D63,D66)</f>
        <v>1452.3999999999996</v>
      </c>
      <c r="E77" s="166">
        <f>SUM(E8,E20,E43,E50,E59,E63,E66)</f>
        <v>1725.4</v>
      </c>
      <c r="F77" s="119">
        <f>SUM(F8,F20,F43,F50,F59,F63,F66,)</f>
        <v>1452.3999999999996</v>
      </c>
      <c r="G77" s="119">
        <f>F77-E77</f>
        <v>-273.00000000000045</v>
      </c>
      <c r="H77" s="139">
        <f t="shared" si="4"/>
        <v>84.177582009968674</v>
      </c>
      <c r="I77" s="90"/>
    </row>
    <row r="78" spans="1:9" ht="24.95" customHeight="1">
      <c r="A78" s="204" t="s">
        <v>116</v>
      </c>
      <c r="B78" s="204"/>
      <c r="C78" s="204"/>
      <c r="D78" s="204"/>
      <c r="E78" s="204"/>
      <c r="F78" s="204"/>
      <c r="G78" s="204"/>
      <c r="H78" s="204"/>
      <c r="I78" s="204"/>
    </row>
    <row r="79" spans="1:9" ht="20.100000000000001" customHeight="1">
      <c r="A79" s="8" t="s">
        <v>184</v>
      </c>
      <c r="B79" s="9">
        <v>1400</v>
      </c>
      <c r="C79" s="138">
        <f>C56</f>
        <v>-135.98000000000002</v>
      </c>
      <c r="D79" s="138">
        <f>D56</f>
        <v>-55.399999999999721</v>
      </c>
      <c r="E79" s="138">
        <f>E56</f>
        <v>0.60000000000002274</v>
      </c>
      <c r="F79" s="138">
        <f>F56</f>
        <v>-55.399999999999721</v>
      </c>
      <c r="G79" s="109">
        <f t="shared" ref="G79:G84" si="5">F79-E79</f>
        <v>-55.999999999999744</v>
      </c>
      <c r="H79" s="137">
        <f t="shared" si="4"/>
        <v>-9233.3333333329356</v>
      </c>
      <c r="I79" s="90"/>
    </row>
    <row r="80" spans="1:9" ht="20.100000000000001" customHeight="1">
      <c r="A80" s="8" t="s">
        <v>348</v>
      </c>
      <c r="B80" s="9">
        <v>1401</v>
      </c>
      <c r="C80" s="138">
        <f>C91</f>
        <v>34</v>
      </c>
      <c r="D80" s="138">
        <f>D91</f>
        <v>-22.5</v>
      </c>
      <c r="E80" s="138">
        <f>E91</f>
        <v>-14.4</v>
      </c>
      <c r="F80" s="138">
        <f>F91</f>
        <v>-22.5</v>
      </c>
      <c r="G80" s="109">
        <f t="shared" si="5"/>
        <v>-8.1</v>
      </c>
      <c r="H80" s="137">
        <f t="shared" si="4"/>
        <v>156.25</v>
      </c>
      <c r="I80" s="90"/>
    </row>
    <row r="81" spans="1:9" ht="20.100000000000001" customHeight="1">
      <c r="A81" s="8" t="s">
        <v>349</v>
      </c>
      <c r="B81" s="9">
        <v>1402</v>
      </c>
      <c r="C81" s="109">
        <f>C19</f>
        <v>0</v>
      </c>
      <c r="D81" s="109">
        <f>D19</f>
        <v>0</v>
      </c>
      <c r="E81" s="109">
        <f>E19</f>
        <v>0</v>
      </c>
      <c r="F81" s="109">
        <f>F19</f>
        <v>0</v>
      </c>
      <c r="G81" s="109">
        <f t="shared" si="5"/>
        <v>0</v>
      </c>
      <c r="H81" s="137"/>
      <c r="I81" s="90"/>
    </row>
    <row r="82" spans="1:9" ht="20.100000000000001" customHeight="1">
      <c r="A82" s="8" t="s">
        <v>350</v>
      </c>
      <c r="B82" s="9">
        <v>1403</v>
      </c>
      <c r="C82" s="109">
        <f>C52</f>
        <v>0</v>
      </c>
      <c r="D82" s="109">
        <f>D52</f>
        <v>0</v>
      </c>
      <c r="E82" s="109">
        <f>E52</f>
        <v>0</v>
      </c>
      <c r="F82" s="109">
        <f>F52</f>
        <v>0</v>
      </c>
      <c r="G82" s="109">
        <f t="shared" si="5"/>
        <v>0</v>
      </c>
      <c r="H82" s="137"/>
      <c r="I82" s="90"/>
    </row>
    <row r="83" spans="1:9" ht="20.100000000000001" customHeight="1">
      <c r="A83" s="8" t="s">
        <v>351</v>
      </c>
      <c r="B83" s="9">
        <v>1404</v>
      </c>
      <c r="C83" s="109"/>
      <c r="D83" s="109"/>
      <c r="E83" s="109"/>
      <c r="F83" s="109"/>
      <c r="G83" s="109"/>
      <c r="H83" s="137"/>
      <c r="I83" s="90"/>
    </row>
    <row r="84" spans="1:9" s="5" customFormat="1" ht="20.100000000000001" customHeight="1">
      <c r="A84" s="10" t="s">
        <v>110</v>
      </c>
      <c r="B84" s="11">
        <v>1310</v>
      </c>
      <c r="C84" s="119">
        <f>C79+C80-C81-C82-C83</f>
        <v>-101.98000000000002</v>
      </c>
      <c r="D84" s="119">
        <f>D79+D80-D81-D82-D83</f>
        <v>-77.899999999999721</v>
      </c>
      <c r="E84" s="119">
        <f>E79+E80-E81-E82-E83</f>
        <v>-13.799999999999978</v>
      </c>
      <c r="F84" s="119">
        <f>F79+F80-F81-F82-F83</f>
        <v>-77.899999999999721</v>
      </c>
      <c r="G84" s="119">
        <f t="shared" si="5"/>
        <v>-64.099999999999739</v>
      </c>
      <c r="H84" s="139">
        <f t="shared" si="4"/>
        <v>564.49275362318735</v>
      </c>
      <c r="I84" s="91"/>
    </row>
    <row r="85" spans="1:9" s="5" customFormat="1" ht="20.100000000000001" customHeight="1">
      <c r="A85" s="200" t="s">
        <v>150</v>
      </c>
      <c r="B85" s="201"/>
      <c r="C85" s="201"/>
      <c r="D85" s="201"/>
      <c r="E85" s="201"/>
      <c r="F85" s="201"/>
      <c r="G85" s="201"/>
      <c r="H85" s="201"/>
      <c r="I85" s="202"/>
    </row>
    <row r="86" spans="1:9" s="5" customFormat="1" ht="20.100000000000001" customHeight="1">
      <c r="A86" s="8" t="s">
        <v>185</v>
      </c>
      <c r="B86" s="9">
        <v>1500</v>
      </c>
      <c r="C86" s="109">
        <v>278</v>
      </c>
      <c r="D86" s="109">
        <f>SUM(D87:D88)</f>
        <v>-414.70000000000005</v>
      </c>
      <c r="E86" s="109">
        <f>SUM(E87:E88)</f>
        <v>-713</v>
      </c>
      <c r="F86" s="109">
        <f>SUM(F87:F88)</f>
        <v>-414.70000000000005</v>
      </c>
      <c r="G86" s="109">
        <f t="shared" ref="G86:G93" si="6">F86-E86</f>
        <v>298.29999999999995</v>
      </c>
      <c r="H86" s="137">
        <f t="shared" si="4"/>
        <v>58.162692847124831</v>
      </c>
      <c r="I86" s="90"/>
    </row>
    <row r="87" spans="1:9" s="5" customFormat="1" ht="20.100000000000001" customHeight="1">
      <c r="A87" s="8" t="s">
        <v>186</v>
      </c>
      <c r="B87" s="39">
        <v>1501</v>
      </c>
      <c r="C87" s="109">
        <v>127.2</v>
      </c>
      <c r="D87" s="109">
        <f>-(D9+D14)</f>
        <v>-256.60000000000002</v>
      </c>
      <c r="E87" s="109">
        <f>-(E9+E14)</f>
        <v>-664</v>
      </c>
      <c r="F87" s="109">
        <f>-(F9+F14)</f>
        <v>-256.60000000000002</v>
      </c>
      <c r="G87" s="109">
        <f t="shared" si="6"/>
        <v>407.4</v>
      </c>
      <c r="H87" s="137">
        <f t="shared" si="4"/>
        <v>38.644578313253014</v>
      </c>
      <c r="I87" s="89"/>
    </row>
    <row r="88" spans="1:9" s="5" customFormat="1" ht="20.100000000000001" customHeight="1">
      <c r="A88" s="8" t="s">
        <v>20</v>
      </c>
      <c r="B88" s="39">
        <v>1502</v>
      </c>
      <c r="C88" s="109">
        <v>151.4</v>
      </c>
      <c r="D88" s="109">
        <f>-(D10+D11)</f>
        <v>-158.10000000000002</v>
      </c>
      <c r="E88" s="109">
        <f>-(E10+E11)</f>
        <v>-49</v>
      </c>
      <c r="F88" s="109">
        <f>-(F10+F11)</f>
        <v>-158.10000000000002</v>
      </c>
      <c r="G88" s="109">
        <f t="shared" si="6"/>
        <v>-109.10000000000002</v>
      </c>
      <c r="H88" s="137">
        <f t="shared" si="4"/>
        <v>322.65306122448982</v>
      </c>
      <c r="I88" s="89"/>
    </row>
    <row r="89" spans="1:9" s="5" customFormat="1" ht="20.100000000000001" customHeight="1">
      <c r="A89" s="8" t="s">
        <v>5</v>
      </c>
      <c r="B89" s="14">
        <v>1510</v>
      </c>
      <c r="C89" s="109">
        <v>573.9</v>
      </c>
      <c r="D89" s="109">
        <f>-(D28+D12)</f>
        <v>-789.30000000000007</v>
      </c>
      <c r="E89" s="109">
        <f>-(E12+E28)</f>
        <v>-773.1</v>
      </c>
      <c r="F89" s="109">
        <f>-(F12+F28)</f>
        <v>-789.30000000000007</v>
      </c>
      <c r="G89" s="109">
        <f t="shared" si="6"/>
        <v>-16.200000000000045</v>
      </c>
      <c r="H89" s="137">
        <f t="shared" si="4"/>
        <v>102.0954598370198</v>
      </c>
      <c r="I89" s="90"/>
    </row>
    <row r="90" spans="1:9" s="5" customFormat="1" ht="20.100000000000001" customHeight="1">
      <c r="A90" s="8" t="s">
        <v>6</v>
      </c>
      <c r="B90" s="14">
        <v>1520</v>
      </c>
      <c r="C90" s="109">
        <v>125.6</v>
      </c>
      <c r="D90" s="109">
        <f>-(D29+D13)</f>
        <v>-173.5</v>
      </c>
      <c r="E90" s="109">
        <f>-(E13+E29)</f>
        <v>-171</v>
      </c>
      <c r="F90" s="109">
        <f>-(F13+F29)</f>
        <v>-173.5</v>
      </c>
      <c r="G90" s="109">
        <f t="shared" si="6"/>
        <v>-2.5</v>
      </c>
      <c r="H90" s="137">
        <f t="shared" si="4"/>
        <v>101.46198830409357</v>
      </c>
      <c r="I90" s="90"/>
    </row>
    <row r="91" spans="1:9" s="5" customFormat="1" ht="20.100000000000001" customHeight="1">
      <c r="A91" s="8" t="s">
        <v>7</v>
      </c>
      <c r="B91" s="14">
        <v>1530</v>
      </c>
      <c r="C91" s="109">
        <v>34</v>
      </c>
      <c r="D91" s="109">
        <f>-(D15+D30)</f>
        <v>-22.5</v>
      </c>
      <c r="E91" s="109">
        <f>-(E15+E30)</f>
        <v>-14.4</v>
      </c>
      <c r="F91" s="109">
        <f>-(F15+F30)</f>
        <v>-22.5</v>
      </c>
      <c r="G91" s="109">
        <f t="shared" si="6"/>
        <v>-8.1</v>
      </c>
      <c r="H91" s="137">
        <f t="shared" si="4"/>
        <v>156.25</v>
      </c>
      <c r="I91" s="90"/>
    </row>
    <row r="92" spans="1:9" s="5" customFormat="1" ht="20.100000000000001" customHeight="1">
      <c r="A92" s="8" t="s">
        <v>21</v>
      </c>
      <c r="B92" s="14">
        <v>1540</v>
      </c>
      <c r="C92" s="109">
        <v>57.2</v>
      </c>
      <c r="D92" s="109">
        <f>-(D16+D21+D26+D27+D34+D35+D36+D39+D40+D41+D42+D50)</f>
        <v>-52.399999999999991</v>
      </c>
      <c r="E92" s="109">
        <f>-(E16+E21+E22+E25+E26+E27+E32+E35+E34+E36+E39+E40+E42+E50)</f>
        <v>-53.9</v>
      </c>
      <c r="F92" s="109">
        <f>-(F16+F26+F27+F34+F35+F36+F40+F42+F50)</f>
        <v>-52.399999999999991</v>
      </c>
      <c r="G92" s="109">
        <f t="shared" si="6"/>
        <v>1.5000000000000071</v>
      </c>
      <c r="H92" s="137">
        <f t="shared" si="4"/>
        <v>97.217068645640055</v>
      </c>
      <c r="I92" s="90"/>
    </row>
    <row r="93" spans="1:9" s="5" customFormat="1">
      <c r="A93" s="10" t="s">
        <v>45</v>
      </c>
      <c r="B93" s="50">
        <v>1550</v>
      </c>
      <c r="C93" s="140">
        <f>SUM(C86,C89:C92)</f>
        <v>1068.7</v>
      </c>
      <c r="D93" s="163">
        <f>SUM(D86,D89:D92)</f>
        <v>-1452.4</v>
      </c>
      <c r="E93" s="163">
        <f>SUM(E86,E89:E92)</f>
        <v>-1725.4</v>
      </c>
      <c r="F93" s="140">
        <f>SUM(F86,F89:F92)</f>
        <v>-1452.4</v>
      </c>
      <c r="G93" s="119">
        <f t="shared" si="6"/>
        <v>273</v>
      </c>
      <c r="H93" s="139">
        <f t="shared" si="4"/>
        <v>84.177582009968702</v>
      </c>
      <c r="I93" s="91"/>
    </row>
    <row r="94" spans="1:9" s="5" customFormat="1">
      <c r="A94" s="58"/>
      <c r="B94" s="68"/>
      <c r="C94" s="68"/>
      <c r="D94" s="68"/>
      <c r="E94" s="68"/>
      <c r="F94" s="68"/>
      <c r="G94" s="68"/>
      <c r="H94" s="68"/>
      <c r="I94" s="68"/>
    </row>
    <row r="95" spans="1:9" s="5" customFormat="1">
      <c r="A95" s="58"/>
      <c r="B95" s="68"/>
      <c r="C95" s="68"/>
      <c r="D95" s="68"/>
      <c r="E95" s="68"/>
      <c r="F95" s="68"/>
      <c r="G95" s="68"/>
      <c r="H95" s="68"/>
      <c r="I95" s="68"/>
    </row>
    <row r="96" spans="1:9">
      <c r="A96" s="28"/>
    </row>
    <row r="97" spans="1:9" ht="27.75" customHeight="1">
      <c r="A97" s="58" t="s">
        <v>424</v>
      </c>
      <c r="B97" s="1"/>
      <c r="C97" s="198"/>
      <c r="D97" s="198"/>
      <c r="E97" s="77"/>
      <c r="F97" s="196" t="s">
        <v>320</v>
      </c>
      <c r="G97" s="197"/>
      <c r="H97" s="197"/>
      <c r="I97" s="3"/>
    </row>
    <row r="98" spans="1:9" s="2" customFormat="1">
      <c r="A98" s="74" t="s">
        <v>207</v>
      </c>
      <c r="B98" s="3"/>
      <c r="C98" s="181" t="s">
        <v>321</v>
      </c>
      <c r="D98" s="181"/>
      <c r="E98" s="3"/>
      <c r="F98" s="193" t="s">
        <v>80</v>
      </c>
      <c r="G98" s="193"/>
      <c r="H98" s="193"/>
    </row>
    <row r="99" spans="1:9">
      <c r="A99" s="28"/>
    </row>
    <row r="100" spans="1:9">
      <c r="A100" s="158" t="s">
        <v>312</v>
      </c>
    </row>
    <row r="101" spans="1:9">
      <c r="A101" s="158" t="s">
        <v>313</v>
      </c>
    </row>
    <row r="102" spans="1:9">
      <c r="A102" s="28"/>
    </row>
    <row r="103" spans="1:9">
      <c r="A103" s="28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</sheetData>
  <mergeCells count="13">
    <mergeCell ref="A6:I6"/>
    <mergeCell ref="A78:I78"/>
    <mergeCell ref="A72:I72"/>
    <mergeCell ref="C98:D98"/>
    <mergeCell ref="F98:H98"/>
    <mergeCell ref="C97:D97"/>
    <mergeCell ref="F97:H97"/>
    <mergeCell ref="A1:I1"/>
    <mergeCell ref="A85:I85"/>
    <mergeCell ref="C3:D3"/>
    <mergeCell ref="E3:I3"/>
    <mergeCell ref="B3:B4"/>
    <mergeCell ref="A3:A4"/>
  </mergeCells>
  <phoneticPr fontId="0" type="noConversion"/>
  <pageMargins left="1.2598425196850394" right="0.23622047244094491" top="0.59055118110236227" bottom="0.15748031496062992" header="0.19685039370078741" footer="0.11811023622047245"/>
  <pageSetup paperSize="9" scale="46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rowBreaks count="1" manualBreakCount="1">
    <brk id="51" max="8" man="1"/>
  </rowBreaks>
  <ignoredErrors>
    <ignoredError sqref="H86:H93 G68:H70 G65:G66 G9:G17 H8:H17 G82:G83 H76:H77 G60:G63 G40:G42 G84:H84 H50 H65:H67 H80 H20 G20 G26:G30 H27:H30 H34:H36 G34:G36 H40:H42 G55:G57 H55:H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4"/>
  <sheetViews>
    <sheetView tabSelected="1" view="pageBreakPreview" zoomScale="75" zoomScaleNormal="75" zoomScaleSheetLayoutView="7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C43" sqref="C43:D43"/>
    </sheetView>
  </sheetViews>
  <sheetFormatPr defaultRowHeight="18.75"/>
  <cols>
    <col min="1" max="1" width="86.85546875" style="45" customWidth="1"/>
    <col min="2" max="2" width="15.28515625" style="48" customWidth="1"/>
    <col min="3" max="7" width="18.7109375" style="48" customWidth="1"/>
    <col min="8" max="8" width="18" style="48" customWidth="1"/>
    <col min="9" max="9" width="10" style="45" customWidth="1"/>
    <col min="10" max="10" width="9.5703125" style="45" customWidth="1"/>
    <col min="11" max="16384" width="9.140625" style="45"/>
  </cols>
  <sheetData>
    <row r="1" spans="1:8">
      <c r="A1" s="205" t="s">
        <v>113</v>
      </c>
      <c r="B1" s="205"/>
      <c r="C1" s="205"/>
      <c r="D1" s="205"/>
      <c r="E1" s="205"/>
      <c r="F1" s="205"/>
      <c r="G1" s="205"/>
      <c r="H1" s="205"/>
    </row>
    <row r="2" spans="1:8">
      <c r="A2" s="205"/>
      <c r="B2" s="205"/>
      <c r="C2" s="205"/>
      <c r="D2" s="205"/>
      <c r="E2" s="205"/>
      <c r="F2" s="205"/>
      <c r="G2" s="205"/>
      <c r="H2" s="205"/>
    </row>
    <row r="3" spans="1:8" ht="38.25" customHeight="1">
      <c r="A3" s="189" t="s">
        <v>187</v>
      </c>
      <c r="B3" s="208" t="s">
        <v>12</v>
      </c>
      <c r="C3" s="179" t="s">
        <v>250</v>
      </c>
      <c r="D3" s="179"/>
      <c r="E3" s="189" t="s">
        <v>265</v>
      </c>
      <c r="F3" s="189"/>
      <c r="G3" s="189"/>
      <c r="H3" s="189"/>
    </row>
    <row r="4" spans="1:8" ht="39" customHeight="1">
      <c r="A4" s="189"/>
      <c r="B4" s="208"/>
      <c r="C4" s="7" t="s">
        <v>174</v>
      </c>
      <c r="D4" s="7" t="s">
        <v>175</v>
      </c>
      <c r="E4" s="7" t="s">
        <v>176</v>
      </c>
      <c r="F4" s="7" t="s">
        <v>163</v>
      </c>
      <c r="G4" s="70" t="s">
        <v>182</v>
      </c>
      <c r="H4" s="70" t="s">
        <v>183</v>
      </c>
    </row>
    <row r="5" spans="1:8">
      <c r="A5" s="52">
        <v>1</v>
      </c>
      <c r="B5" s="53">
        <v>2</v>
      </c>
      <c r="C5" s="52">
        <v>3</v>
      </c>
      <c r="D5" s="53">
        <v>4</v>
      </c>
      <c r="E5" s="52">
        <v>5</v>
      </c>
      <c r="F5" s="53">
        <v>6</v>
      </c>
      <c r="G5" s="52">
        <v>7</v>
      </c>
      <c r="H5" s="53">
        <v>8</v>
      </c>
    </row>
    <row r="6" spans="1:8" ht="24.95" customHeight="1">
      <c r="A6" s="207" t="s">
        <v>112</v>
      </c>
      <c r="B6" s="207"/>
      <c r="C6" s="207"/>
      <c r="D6" s="207"/>
      <c r="E6" s="207"/>
      <c r="F6" s="207"/>
      <c r="G6" s="207"/>
      <c r="H6" s="207"/>
    </row>
    <row r="7" spans="1:8" ht="42.75" customHeight="1">
      <c r="A7" s="46" t="s">
        <v>47</v>
      </c>
      <c r="B7" s="6">
        <v>2000</v>
      </c>
      <c r="G7" s="109"/>
      <c r="H7" s="137"/>
    </row>
    <row r="8" spans="1:8">
      <c r="A8" s="46" t="s">
        <v>352</v>
      </c>
      <c r="B8" s="6">
        <v>2010</v>
      </c>
      <c r="C8" s="162">
        <f>SUM(C9:C10)</f>
        <v>0</v>
      </c>
      <c r="D8" s="162">
        <f>SUM(D9:D10)</f>
        <v>0</v>
      </c>
      <c r="E8" s="138">
        <f>SUM(E9:E10)</f>
        <v>0</v>
      </c>
      <c r="F8" s="138">
        <f>SUM(F9:F10)</f>
        <v>0</v>
      </c>
      <c r="G8" s="109">
        <f>F8-E8</f>
        <v>0</v>
      </c>
      <c r="H8" s="137"/>
    </row>
    <row r="9" spans="1:8" ht="42.75" customHeight="1">
      <c r="A9" s="8" t="s">
        <v>137</v>
      </c>
      <c r="B9" s="6">
        <v>2011</v>
      </c>
      <c r="C9" s="120" t="s">
        <v>225</v>
      </c>
      <c r="D9" s="120" t="s">
        <v>225</v>
      </c>
      <c r="E9" s="109" t="s">
        <v>225</v>
      </c>
      <c r="F9" s="109" t="s">
        <v>225</v>
      </c>
      <c r="G9" s="109"/>
      <c r="H9" s="137"/>
    </row>
    <row r="10" spans="1:8" ht="42.75" customHeight="1">
      <c r="A10" s="8" t="s">
        <v>269</v>
      </c>
      <c r="B10" s="6">
        <v>2012</v>
      </c>
      <c r="C10" s="165"/>
      <c r="D10" s="165"/>
      <c r="E10" s="109" t="s">
        <v>225</v>
      </c>
      <c r="F10" s="109" t="s">
        <v>225</v>
      </c>
      <c r="G10" s="109"/>
      <c r="H10" s="137"/>
    </row>
    <row r="11" spans="1:8" ht="20.100000000000001" customHeight="1">
      <c r="A11" s="8" t="s">
        <v>121</v>
      </c>
      <c r="B11" s="6" t="s">
        <v>144</v>
      </c>
      <c r="C11" s="165"/>
      <c r="D11" s="165"/>
      <c r="E11" s="109" t="s">
        <v>225</v>
      </c>
      <c r="F11" s="109" t="s">
        <v>225</v>
      </c>
      <c r="G11" s="109"/>
      <c r="H11" s="137"/>
    </row>
    <row r="12" spans="1:8" ht="20.100000000000001" customHeight="1">
      <c r="A12" s="8" t="s">
        <v>130</v>
      </c>
      <c r="B12" s="6">
        <v>2020</v>
      </c>
      <c r="C12" s="109"/>
      <c r="D12" s="109"/>
      <c r="E12" s="109"/>
      <c r="F12" s="109"/>
      <c r="G12" s="109">
        <f>F12-E12</f>
        <v>0</v>
      </c>
      <c r="H12" s="137"/>
    </row>
    <row r="13" spans="1:8" s="47" customFormat="1" ht="20.100000000000001" customHeight="1">
      <c r="A13" s="46" t="s">
        <v>57</v>
      </c>
      <c r="B13" s="6">
        <v>2030</v>
      </c>
      <c r="C13" s="109" t="s">
        <v>225</v>
      </c>
      <c r="D13" s="109" t="s">
        <v>225</v>
      </c>
      <c r="E13" s="109" t="s">
        <v>225</v>
      </c>
      <c r="F13" s="109" t="s">
        <v>225</v>
      </c>
      <c r="G13" s="109"/>
      <c r="H13" s="137"/>
    </row>
    <row r="14" spans="1:8" ht="20.100000000000001" customHeight="1">
      <c r="A14" s="46" t="s">
        <v>104</v>
      </c>
      <c r="B14" s="6">
        <v>2031</v>
      </c>
      <c r="C14" s="109" t="s">
        <v>225</v>
      </c>
      <c r="D14" s="109" t="s">
        <v>225</v>
      </c>
      <c r="E14" s="109" t="s">
        <v>225</v>
      </c>
      <c r="F14" s="109" t="s">
        <v>225</v>
      </c>
      <c r="G14" s="109"/>
      <c r="H14" s="137"/>
    </row>
    <row r="15" spans="1:8" ht="20.100000000000001" customHeight="1">
      <c r="A15" s="46" t="s">
        <v>19</v>
      </c>
      <c r="B15" s="6">
        <v>2040</v>
      </c>
      <c r="C15" s="109" t="s">
        <v>225</v>
      </c>
      <c r="D15" s="109" t="s">
        <v>225</v>
      </c>
      <c r="E15" s="109" t="s">
        <v>225</v>
      </c>
      <c r="F15" s="109" t="s">
        <v>225</v>
      </c>
      <c r="G15" s="109"/>
      <c r="H15" s="137"/>
    </row>
    <row r="16" spans="1:8" ht="20.100000000000001" customHeight="1">
      <c r="A16" s="46" t="s">
        <v>92</v>
      </c>
      <c r="B16" s="6">
        <v>2050</v>
      </c>
      <c r="C16" s="109" t="s">
        <v>225</v>
      </c>
      <c r="D16" s="109" t="s">
        <v>225</v>
      </c>
      <c r="E16" s="109" t="s">
        <v>225</v>
      </c>
      <c r="F16" s="109" t="s">
        <v>225</v>
      </c>
      <c r="G16" s="109"/>
      <c r="H16" s="137"/>
    </row>
    <row r="17" spans="1:9" ht="20.100000000000001" customHeight="1">
      <c r="A17" s="46" t="s">
        <v>93</v>
      </c>
      <c r="B17" s="6">
        <v>2060</v>
      </c>
      <c r="C17" s="109" t="s">
        <v>225</v>
      </c>
      <c r="D17" s="109" t="s">
        <v>225</v>
      </c>
      <c r="E17" s="109" t="s">
        <v>225</v>
      </c>
      <c r="F17" s="109" t="s">
        <v>225</v>
      </c>
      <c r="G17" s="109"/>
      <c r="H17" s="137"/>
    </row>
    <row r="18" spans="1:9" ht="42.75" customHeight="1">
      <c r="A18" s="46" t="s">
        <v>48</v>
      </c>
      <c r="B18" s="6">
        <v>2070</v>
      </c>
      <c r="C18" s="120">
        <f>'I. Фін результат'!C68</f>
        <v>-131.98000000000002</v>
      </c>
      <c r="D18" s="120">
        <f>'I. Фін результат'!D68</f>
        <v>-51.399999999999721</v>
      </c>
      <c r="E18" s="109">
        <v>40</v>
      </c>
      <c r="F18" s="109">
        <f>D18</f>
        <v>-51.399999999999721</v>
      </c>
      <c r="G18" s="109">
        <f>F18-E18</f>
        <v>-91.399999999999721</v>
      </c>
      <c r="H18" s="137"/>
    </row>
    <row r="19" spans="1:9" ht="24.95" customHeight="1">
      <c r="A19" s="207" t="s">
        <v>353</v>
      </c>
      <c r="B19" s="207"/>
      <c r="C19" s="207"/>
      <c r="D19" s="207"/>
      <c r="E19" s="207"/>
      <c r="F19" s="207"/>
      <c r="G19" s="207"/>
      <c r="H19" s="207"/>
    </row>
    <row r="20" spans="1:9">
      <c r="A20" s="46" t="s">
        <v>352</v>
      </c>
      <c r="B20" s="6">
        <v>2100</v>
      </c>
      <c r="C20" s="120">
        <f>C11</f>
        <v>0</v>
      </c>
      <c r="D20" s="120">
        <f>D11</f>
        <v>0</v>
      </c>
      <c r="E20" s="120"/>
      <c r="F20" s="120"/>
      <c r="G20" s="109">
        <f>F20-E20</f>
        <v>0</v>
      </c>
      <c r="H20" s="137"/>
    </row>
    <row r="21" spans="1:9" ht="37.5">
      <c r="A21" s="8" t="s">
        <v>137</v>
      </c>
      <c r="B21" s="6">
        <v>2101</v>
      </c>
      <c r="C21" s="109"/>
      <c r="D21" s="109"/>
      <c r="F21" s="109"/>
      <c r="G21" s="109"/>
      <c r="H21" s="137">
        <f>(F21/E24)*100</f>
        <v>0</v>
      </c>
    </row>
    <row r="22" spans="1:9" s="47" customFormat="1" ht="39" customHeight="1">
      <c r="A22" s="8" t="s">
        <v>269</v>
      </c>
      <c r="B22" s="52">
        <v>2102</v>
      </c>
      <c r="C22" s="109" t="s">
        <v>225</v>
      </c>
      <c r="D22" s="109" t="s">
        <v>225</v>
      </c>
      <c r="E22" s="109" t="s">
        <v>225</v>
      </c>
      <c r="F22" s="109" t="s">
        <v>225</v>
      </c>
      <c r="G22" s="109"/>
      <c r="H22" s="137"/>
    </row>
    <row r="23" spans="1:9">
      <c r="A23" s="46" t="s">
        <v>354</v>
      </c>
      <c r="B23" s="52">
        <v>2110</v>
      </c>
      <c r="C23" s="120"/>
      <c r="D23" s="120"/>
      <c r="E23" s="109"/>
      <c r="F23" s="109"/>
      <c r="G23" s="109">
        <f>F23-E23</f>
        <v>0</v>
      </c>
      <c r="H23" s="137"/>
    </row>
    <row r="24" spans="1:9" ht="37.5">
      <c r="A24" s="46" t="s">
        <v>355</v>
      </c>
      <c r="B24" s="52">
        <v>2120</v>
      </c>
      <c r="C24" s="120">
        <v>80</v>
      </c>
      <c r="D24" s="120">
        <v>250</v>
      </c>
      <c r="E24" s="120">
        <v>345</v>
      </c>
      <c r="F24" s="120">
        <f>D24</f>
        <v>250</v>
      </c>
      <c r="G24" s="109">
        <f>F24-E24</f>
        <v>-95</v>
      </c>
      <c r="H24" s="137">
        <f>(F24/E24)*100</f>
        <v>72.463768115942031</v>
      </c>
    </row>
    <row r="25" spans="1:9" s="49" customFormat="1" ht="37.5">
      <c r="A25" s="46" t="s">
        <v>356</v>
      </c>
      <c r="B25" s="52">
        <v>2130</v>
      </c>
      <c r="C25" s="109"/>
      <c r="D25" s="109"/>
      <c r="E25" s="109"/>
      <c r="F25" s="109"/>
      <c r="G25" s="109">
        <f>F25-E25</f>
        <v>0</v>
      </c>
      <c r="H25" s="137"/>
      <c r="I25" s="45"/>
    </row>
    <row r="26" spans="1:9" ht="37.5">
      <c r="A26" s="71" t="s">
        <v>357</v>
      </c>
      <c r="B26" s="59">
        <v>2140</v>
      </c>
      <c r="C26" s="166">
        <f>SUM(C27:C37)</f>
        <v>107.3</v>
      </c>
      <c r="D26" s="166">
        <f>SUM(D27:D37)</f>
        <v>85.2</v>
      </c>
      <c r="E26" s="166">
        <f>SUM(E27:E37)</f>
        <v>154.25</v>
      </c>
      <c r="F26" s="166">
        <f>SUM(F27:F37)</f>
        <v>85.2</v>
      </c>
      <c r="G26" s="119">
        <f>F26-E26</f>
        <v>-69.05</v>
      </c>
      <c r="H26" s="139">
        <f>(F26/E26)*100</f>
        <v>55.235008103727715</v>
      </c>
    </row>
    <row r="27" spans="1:9">
      <c r="A27" s="46" t="s">
        <v>70</v>
      </c>
      <c r="B27" s="52">
        <v>2141</v>
      </c>
      <c r="C27" s="119"/>
      <c r="D27" s="119"/>
      <c r="E27" s="119"/>
      <c r="F27" s="119"/>
      <c r="G27" s="119"/>
      <c r="H27" s="139"/>
    </row>
    <row r="28" spans="1:9" ht="20.100000000000001" customHeight="1">
      <c r="A28" s="46" t="s">
        <v>83</v>
      </c>
      <c r="B28" s="52">
        <v>2142</v>
      </c>
      <c r="C28" s="109"/>
      <c r="D28" s="109"/>
      <c r="E28" s="109"/>
      <c r="F28" s="109"/>
      <c r="G28" s="109"/>
      <c r="H28" s="137"/>
    </row>
    <row r="29" spans="1:9" ht="20.100000000000001" customHeight="1">
      <c r="A29" s="46" t="s">
        <v>358</v>
      </c>
      <c r="B29" s="52">
        <v>2143</v>
      </c>
      <c r="C29" s="120"/>
      <c r="D29" s="120"/>
      <c r="E29" s="120"/>
      <c r="F29" s="120"/>
      <c r="G29" s="109"/>
      <c r="H29" s="137"/>
    </row>
    <row r="30" spans="1:9" ht="20.100000000000001" customHeight="1">
      <c r="A30" s="46" t="s">
        <v>69</v>
      </c>
      <c r="B30" s="52">
        <v>2144</v>
      </c>
      <c r="C30" s="120">
        <v>103</v>
      </c>
      <c r="D30" s="120">
        <v>83</v>
      </c>
      <c r="E30" s="120">
        <v>153</v>
      </c>
      <c r="F30" s="120">
        <f>D30</f>
        <v>83</v>
      </c>
      <c r="G30" s="119">
        <f>F30-E30</f>
        <v>-70</v>
      </c>
      <c r="H30" s="137">
        <f>(F30/E30)*100</f>
        <v>54.248366013071895</v>
      </c>
    </row>
    <row r="31" spans="1:9" s="47" customFormat="1">
      <c r="A31" s="46" t="s">
        <v>359</v>
      </c>
      <c r="B31" s="52">
        <v>2145</v>
      </c>
      <c r="C31" s="109"/>
      <c r="D31" s="109"/>
      <c r="E31" s="109"/>
      <c r="F31" s="109"/>
      <c r="G31" s="109">
        <f>F31-E31</f>
        <v>0</v>
      </c>
      <c r="H31" s="137"/>
    </row>
    <row r="32" spans="1:9" ht="42.75" customHeight="1">
      <c r="A32" s="46" t="s">
        <v>105</v>
      </c>
      <c r="B32" s="52" t="s">
        <v>360</v>
      </c>
      <c r="C32" s="109"/>
      <c r="D32" s="109"/>
      <c r="E32" s="109"/>
      <c r="F32" s="109"/>
      <c r="G32" s="109">
        <f>F32-E32</f>
        <v>0</v>
      </c>
      <c r="H32" s="137"/>
    </row>
    <row r="33" spans="1:10" s="47" customFormat="1" ht="20.100000000000001" customHeight="1">
      <c r="A33" s="46" t="s">
        <v>361</v>
      </c>
      <c r="B33" s="52" t="s">
        <v>362</v>
      </c>
      <c r="C33" s="109"/>
      <c r="D33" s="109"/>
      <c r="E33" s="109"/>
      <c r="F33" s="109"/>
      <c r="G33" s="109">
        <f>F33-E33</f>
        <v>0</v>
      </c>
      <c r="H33" s="137"/>
    </row>
    <row r="34" spans="1:10" ht="20.100000000000001" customHeight="1">
      <c r="A34" s="46" t="s">
        <v>363</v>
      </c>
      <c r="B34" s="52">
        <v>2146</v>
      </c>
      <c r="C34" s="109"/>
      <c r="D34" s="109"/>
      <c r="E34" s="52"/>
      <c r="F34" s="109"/>
      <c r="G34" s="109"/>
      <c r="H34" s="137">
        <f>(F34/E38)*100</f>
        <v>0</v>
      </c>
    </row>
    <row r="35" spans="1:10" ht="20.100000000000001" customHeight="1">
      <c r="A35" s="46" t="s">
        <v>413</v>
      </c>
      <c r="B35" s="52" t="s">
        <v>414</v>
      </c>
      <c r="C35" s="109"/>
      <c r="D35" s="120"/>
      <c r="E35" s="52"/>
      <c r="F35" s="120"/>
      <c r="G35" s="109"/>
      <c r="H35" s="137"/>
    </row>
    <row r="36" spans="1:10" ht="20.100000000000001" customHeight="1">
      <c r="A36" s="46" t="s">
        <v>415</v>
      </c>
      <c r="B36" s="52"/>
      <c r="C36" s="120">
        <v>0.3</v>
      </c>
      <c r="D36" s="120">
        <v>0.2</v>
      </c>
      <c r="E36" s="167">
        <v>0.25</v>
      </c>
      <c r="F36" s="120">
        <f>D36</f>
        <v>0.2</v>
      </c>
      <c r="G36" s="119">
        <f>F36-E36</f>
        <v>-4.9999999999999989E-2</v>
      </c>
      <c r="H36" s="137">
        <f>(F36/E36)*100</f>
        <v>80</v>
      </c>
    </row>
    <row r="37" spans="1:10" ht="20.100000000000001" customHeight="1">
      <c r="A37" s="46" t="s">
        <v>416</v>
      </c>
      <c r="B37" s="52">
        <v>2147</v>
      </c>
      <c r="C37" s="109">
        <v>4</v>
      </c>
      <c r="D37" s="120">
        <v>2</v>
      </c>
      <c r="E37" s="109">
        <v>1</v>
      </c>
      <c r="F37" s="109">
        <f>D37</f>
        <v>2</v>
      </c>
      <c r="G37" s="119">
        <f>F37-E37</f>
        <v>1</v>
      </c>
      <c r="H37" s="137">
        <f>(F37/E37)*100</f>
        <v>200</v>
      </c>
    </row>
    <row r="38" spans="1:10" ht="40.5" customHeight="1">
      <c r="A38" s="71" t="s">
        <v>417</v>
      </c>
      <c r="B38" s="59">
        <v>2150</v>
      </c>
      <c r="C38" s="166">
        <v>126</v>
      </c>
      <c r="D38" s="166">
        <v>174.2</v>
      </c>
      <c r="E38" s="166">
        <v>171</v>
      </c>
      <c r="F38" s="166">
        <f>D38</f>
        <v>174.2</v>
      </c>
      <c r="G38" s="119">
        <f>F38-E38</f>
        <v>3.1999999999999886</v>
      </c>
      <c r="H38" s="137">
        <f>(F38/E38)*100</f>
        <v>101.87134502923976</v>
      </c>
    </row>
    <row r="39" spans="1:10" s="47" customFormat="1" ht="21.75" customHeight="1">
      <c r="A39" s="71" t="s">
        <v>264</v>
      </c>
      <c r="B39" s="59">
        <v>2200</v>
      </c>
      <c r="C39" s="164">
        <f>SUM(C20:C26,C38)</f>
        <v>313.3</v>
      </c>
      <c r="D39" s="164">
        <f>SUM(D20:D26,D38)</f>
        <v>509.4</v>
      </c>
      <c r="E39" s="164">
        <f>SUM(E20:E26,E38)</f>
        <v>670.25</v>
      </c>
      <c r="F39" s="164">
        <f>SUM(F20:F26,F38)</f>
        <v>509.4</v>
      </c>
      <c r="G39" s="119">
        <f>F39-E39</f>
        <v>-160.85000000000002</v>
      </c>
      <c r="H39" s="139">
        <f>(F39/E39)*100</f>
        <v>76.001491980604257</v>
      </c>
      <c r="I39" s="45"/>
    </row>
    <row r="40" spans="1:10" s="47" customFormat="1">
      <c r="A40" s="69"/>
      <c r="B40" s="48"/>
      <c r="C40" s="48"/>
      <c r="D40" s="48"/>
      <c r="E40" s="48"/>
      <c r="F40" s="48"/>
      <c r="G40" s="48"/>
      <c r="H40" s="48"/>
    </row>
    <row r="41" spans="1:10" s="47" customFormat="1">
      <c r="A41" s="69"/>
      <c r="B41" s="48"/>
      <c r="C41" s="48"/>
      <c r="D41" s="48"/>
      <c r="E41" s="48"/>
      <c r="F41" s="48"/>
      <c r="G41" s="48"/>
      <c r="H41" s="48"/>
    </row>
    <row r="42" spans="1:10" s="47" customFormat="1">
      <c r="A42" s="69"/>
      <c r="B42" s="48"/>
      <c r="C42" s="48"/>
      <c r="D42" s="48"/>
      <c r="E42" s="48"/>
      <c r="F42" s="48"/>
      <c r="G42" s="48"/>
      <c r="H42" s="48"/>
    </row>
    <row r="43" spans="1:10" s="3" customFormat="1" ht="27.75" customHeight="1">
      <c r="A43" s="58" t="s">
        <v>425</v>
      </c>
      <c r="B43" s="1"/>
      <c r="C43" s="198" t="s">
        <v>427</v>
      </c>
      <c r="D43" s="198"/>
      <c r="E43" s="77"/>
      <c r="F43" s="196" t="s">
        <v>320</v>
      </c>
      <c r="G43" s="197"/>
      <c r="H43" s="197"/>
    </row>
    <row r="44" spans="1:10" s="2" customFormat="1">
      <c r="A44" s="74" t="s">
        <v>209</v>
      </c>
      <c r="B44" s="3"/>
      <c r="C44" s="181" t="s">
        <v>170</v>
      </c>
      <c r="D44" s="181"/>
      <c r="E44" s="3"/>
      <c r="F44" s="206" t="s">
        <v>322</v>
      </c>
      <c r="G44" s="206"/>
      <c r="H44" s="206"/>
    </row>
    <row r="45" spans="1:10" s="48" customFormat="1">
      <c r="A45" s="61"/>
      <c r="I45" s="45"/>
      <c r="J45" s="45"/>
    </row>
    <row r="46" spans="1:10" s="48" customFormat="1">
      <c r="A46" s="158" t="s">
        <v>312</v>
      </c>
      <c r="I46" s="45"/>
      <c r="J46" s="45"/>
    </row>
    <row r="47" spans="1:10" s="48" customFormat="1">
      <c r="A47" s="158" t="s">
        <v>313</v>
      </c>
      <c r="I47" s="45"/>
      <c r="J47" s="45"/>
    </row>
    <row r="48" spans="1:10" s="48" customFormat="1">
      <c r="A48" s="61"/>
      <c r="I48" s="45"/>
      <c r="J48" s="45"/>
    </row>
    <row r="49" spans="1:10" s="48" customFormat="1">
      <c r="A49" s="61"/>
      <c r="I49" s="45"/>
      <c r="J49" s="45"/>
    </row>
    <row r="50" spans="1:10" s="48" customFormat="1">
      <c r="A50" s="61"/>
      <c r="I50" s="45"/>
      <c r="J50" s="45"/>
    </row>
    <row r="51" spans="1:10" s="48" customFormat="1">
      <c r="A51" s="61"/>
      <c r="I51" s="45"/>
      <c r="J51" s="45"/>
    </row>
    <row r="52" spans="1:10" s="48" customFormat="1">
      <c r="A52" s="61"/>
      <c r="I52" s="45"/>
      <c r="J52" s="45"/>
    </row>
    <row r="53" spans="1:10" s="48" customFormat="1">
      <c r="A53" s="61"/>
      <c r="I53" s="45"/>
      <c r="J53" s="45"/>
    </row>
    <row r="54" spans="1:10" s="48" customFormat="1">
      <c r="A54" s="61"/>
      <c r="I54" s="45"/>
      <c r="J54" s="45"/>
    </row>
    <row r="55" spans="1:10" s="48" customFormat="1">
      <c r="A55" s="61"/>
      <c r="I55" s="45"/>
      <c r="J55" s="45"/>
    </row>
    <row r="56" spans="1:10" s="48" customFormat="1">
      <c r="A56" s="61"/>
      <c r="I56" s="45"/>
      <c r="J56" s="45"/>
    </row>
    <row r="57" spans="1:10" s="48" customFormat="1">
      <c r="A57" s="61"/>
      <c r="I57" s="45"/>
      <c r="J57" s="45"/>
    </row>
    <row r="58" spans="1:10" s="48" customFormat="1">
      <c r="A58" s="61"/>
      <c r="I58" s="45"/>
      <c r="J58" s="45"/>
    </row>
    <row r="59" spans="1:10" s="48" customFormat="1">
      <c r="A59" s="61"/>
      <c r="I59" s="45"/>
      <c r="J59" s="45"/>
    </row>
    <row r="60" spans="1:10" s="48" customFormat="1">
      <c r="A60" s="61"/>
      <c r="I60" s="45"/>
      <c r="J60" s="45"/>
    </row>
    <row r="61" spans="1:10" s="48" customFormat="1">
      <c r="A61" s="61"/>
      <c r="I61" s="45"/>
      <c r="J61" s="45"/>
    </row>
    <row r="62" spans="1:10" s="48" customFormat="1">
      <c r="A62" s="61"/>
      <c r="I62" s="45"/>
      <c r="J62" s="45"/>
    </row>
    <row r="63" spans="1:10" s="48" customFormat="1">
      <c r="A63" s="61"/>
      <c r="I63" s="45"/>
      <c r="J63" s="45"/>
    </row>
    <row r="64" spans="1:10" s="48" customFormat="1">
      <c r="A64" s="61"/>
      <c r="I64" s="45"/>
      <c r="J64" s="45"/>
    </row>
    <row r="65" spans="1:10" s="48" customFormat="1">
      <c r="A65" s="61"/>
      <c r="I65" s="45"/>
      <c r="J65" s="45"/>
    </row>
    <row r="66" spans="1:10" s="48" customFormat="1">
      <c r="A66" s="61"/>
      <c r="I66" s="45"/>
      <c r="J66" s="45"/>
    </row>
    <row r="67" spans="1:10" s="48" customFormat="1">
      <c r="A67" s="61"/>
      <c r="I67" s="45"/>
      <c r="J67" s="45"/>
    </row>
    <row r="68" spans="1:10" s="48" customFormat="1">
      <c r="A68" s="61"/>
      <c r="I68" s="45"/>
      <c r="J68" s="45"/>
    </row>
    <row r="69" spans="1:10" s="48" customFormat="1">
      <c r="A69" s="61"/>
      <c r="I69" s="45"/>
      <c r="J69" s="45"/>
    </row>
    <row r="70" spans="1:10" s="48" customFormat="1">
      <c r="A70" s="61"/>
      <c r="I70" s="45"/>
      <c r="J70" s="45"/>
    </row>
    <row r="71" spans="1:10" s="48" customFormat="1">
      <c r="A71" s="61"/>
      <c r="I71" s="45"/>
      <c r="J71" s="45"/>
    </row>
    <row r="72" spans="1:10" s="48" customFormat="1">
      <c r="A72" s="61"/>
      <c r="I72" s="45"/>
      <c r="J72" s="45"/>
    </row>
    <row r="73" spans="1:10" s="48" customFormat="1">
      <c r="A73" s="61"/>
      <c r="I73" s="45"/>
      <c r="J73" s="45"/>
    </row>
    <row r="74" spans="1:10" s="48" customFormat="1">
      <c r="A74" s="61"/>
      <c r="I74" s="45"/>
      <c r="J74" s="45"/>
    </row>
    <row r="75" spans="1:10" s="48" customFormat="1">
      <c r="A75" s="61"/>
      <c r="I75" s="45"/>
      <c r="J75" s="45"/>
    </row>
    <row r="76" spans="1:10" s="48" customFormat="1">
      <c r="A76" s="61"/>
      <c r="I76" s="45"/>
      <c r="J76" s="45"/>
    </row>
    <row r="77" spans="1:10" s="48" customFormat="1">
      <c r="A77" s="61"/>
      <c r="I77" s="45"/>
      <c r="J77" s="45"/>
    </row>
    <row r="78" spans="1:10" s="48" customFormat="1">
      <c r="A78" s="61"/>
      <c r="I78" s="45"/>
      <c r="J78" s="45"/>
    </row>
    <row r="79" spans="1:10" s="48" customFormat="1">
      <c r="A79" s="61"/>
      <c r="I79" s="45"/>
      <c r="J79" s="45"/>
    </row>
    <row r="80" spans="1:10" s="48" customFormat="1">
      <c r="A80" s="61"/>
      <c r="I80" s="45"/>
      <c r="J80" s="45"/>
    </row>
    <row r="81" spans="1:10" s="48" customFormat="1">
      <c r="A81" s="61"/>
      <c r="I81" s="45"/>
      <c r="J81" s="45"/>
    </row>
    <row r="82" spans="1:10" s="48" customFormat="1">
      <c r="A82" s="61"/>
      <c r="I82" s="45"/>
      <c r="J82" s="45"/>
    </row>
    <row r="83" spans="1:10" s="48" customFormat="1">
      <c r="A83" s="61"/>
      <c r="I83" s="45"/>
      <c r="J83" s="45"/>
    </row>
    <row r="84" spans="1:10" s="48" customFormat="1">
      <c r="A84" s="61"/>
      <c r="I84" s="45"/>
      <c r="J84" s="45"/>
    </row>
    <row r="85" spans="1:10" s="48" customFormat="1">
      <c r="A85" s="61"/>
      <c r="I85" s="45"/>
      <c r="J85" s="45"/>
    </row>
    <row r="86" spans="1:10" s="48" customFormat="1">
      <c r="A86" s="61"/>
      <c r="I86" s="45"/>
      <c r="J86" s="45"/>
    </row>
    <row r="87" spans="1:10" s="48" customFormat="1">
      <c r="A87" s="61"/>
      <c r="I87" s="45"/>
      <c r="J87" s="45"/>
    </row>
    <row r="88" spans="1:10" s="48" customFormat="1">
      <c r="A88" s="61"/>
      <c r="I88" s="45"/>
      <c r="J88" s="45"/>
    </row>
    <row r="89" spans="1:10" s="48" customFormat="1">
      <c r="A89" s="61"/>
      <c r="I89" s="45"/>
      <c r="J89" s="45"/>
    </row>
    <row r="90" spans="1:10" s="48" customFormat="1">
      <c r="A90" s="61"/>
      <c r="I90" s="45"/>
      <c r="J90" s="45"/>
    </row>
    <row r="91" spans="1:10" s="48" customFormat="1">
      <c r="A91" s="61"/>
      <c r="I91" s="45"/>
      <c r="J91" s="45"/>
    </row>
    <row r="92" spans="1:10" s="48" customFormat="1">
      <c r="A92" s="61"/>
      <c r="I92" s="45"/>
      <c r="J92" s="45"/>
    </row>
    <row r="93" spans="1:10" s="48" customFormat="1">
      <c r="A93" s="61"/>
      <c r="I93" s="45"/>
      <c r="J93" s="45"/>
    </row>
    <row r="94" spans="1:10" s="48" customFormat="1">
      <c r="A94" s="61"/>
      <c r="I94" s="45"/>
      <c r="J94" s="45"/>
    </row>
    <row r="95" spans="1:10" s="48" customFormat="1">
      <c r="A95" s="61"/>
      <c r="I95" s="45"/>
      <c r="J95" s="45"/>
    </row>
    <row r="96" spans="1:10" s="48" customFormat="1">
      <c r="A96" s="61"/>
      <c r="I96" s="45"/>
      <c r="J96" s="45"/>
    </row>
    <row r="97" spans="1:10" s="48" customFormat="1">
      <c r="A97" s="61"/>
      <c r="I97" s="45"/>
      <c r="J97" s="45"/>
    </row>
    <row r="98" spans="1:10" s="48" customFormat="1">
      <c r="A98" s="61"/>
      <c r="I98" s="45"/>
      <c r="J98" s="45"/>
    </row>
    <row r="99" spans="1:10" s="48" customFormat="1">
      <c r="A99" s="61"/>
      <c r="I99" s="45"/>
      <c r="J99" s="45"/>
    </row>
    <row r="100" spans="1:10" s="48" customFormat="1">
      <c r="A100" s="61"/>
      <c r="I100" s="45"/>
      <c r="J100" s="45"/>
    </row>
    <row r="101" spans="1:10" s="48" customFormat="1">
      <c r="A101" s="61"/>
      <c r="I101" s="45"/>
      <c r="J101" s="45"/>
    </row>
    <row r="102" spans="1:10" s="48" customFormat="1">
      <c r="A102" s="61"/>
      <c r="I102" s="45"/>
      <c r="J102" s="45"/>
    </row>
    <row r="103" spans="1:10" s="48" customFormat="1">
      <c r="A103" s="61"/>
      <c r="I103" s="45"/>
      <c r="J103" s="45"/>
    </row>
    <row r="104" spans="1:10" s="48" customFormat="1">
      <c r="A104" s="61"/>
      <c r="I104" s="45"/>
      <c r="J104" s="45"/>
    </row>
    <row r="105" spans="1:10" s="48" customFormat="1">
      <c r="A105" s="61"/>
      <c r="I105" s="45"/>
      <c r="J105" s="45"/>
    </row>
    <row r="106" spans="1:10" s="48" customFormat="1">
      <c r="A106" s="61"/>
      <c r="I106" s="45"/>
      <c r="J106" s="45"/>
    </row>
    <row r="107" spans="1:10" s="48" customFormat="1">
      <c r="A107" s="61"/>
      <c r="I107" s="45"/>
      <c r="J107" s="45"/>
    </row>
    <row r="108" spans="1:10" s="48" customFormat="1">
      <c r="A108" s="61"/>
      <c r="I108" s="45"/>
      <c r="J108" s="45"/>
    </row>
    <row r="109" spans="1:10" s="48" customFormat="1">
      <c r="A109" s="61"/>
      <c r="I109" s="45"/>
      <c r="J109" s="45"/>
    </row>
    <row r="110" spans="1:10" s="48" customFormat="1">
      <c r="A110" s="61"/>
      <c r="I110" s="45"/>
      <c r="J110" s="45"/>
    </row>
    <row r="111" spans="1:10" s="48" customFormat="1">
      <c r="A111" s="61"/>
      <c r="I111" s="45"/>
      <c r="J111" s="45"/>
    </row>
    <row r="112" spans="1:10" s="48" customFormat="1">
      <c r="A112" s="61"/>
      <c r="I112" s="45"/>
      <c r="J112" s="45"/>
    </row>
    <row r="113" spans="1:10" s="48" customFormat="1">
      <c r="A113" s="61"/>
      <c r="I113" s="45"/>
      <c r="J113" s="45"/>
    </row>
    <row r="114" spans="1:10" s="48" customFormat="1">
      <c r="A114" s="61"/>
      <c r="I114" s="45"/>
      <c r="J114" s="45"/>
    </row>
    <row r="115" spans="1:10" s="48" customFormat="1">
      <c r="A115" s="61"/>
      <c r="I115" s="45"/>
      <c r="J115" s="45"/>
    </row>
    <row r="116" spans="1:10" s="48" customFormat="1">
      <c r="A116" s="61"/>
      <c r="I116" s="45"/>
      <c r="J116" s="45"/>
    </row>
    <row r="117" spans="1:10" s="48" customFormat="1">
      <c r="A117" s="61"/>
      <c r="I117" s="45"/>
      <c r="J117" s="45"/>
    </row>
    <row r="118" spans="1:10" s="48" customFormat="1">
      <c r="A118" s="61"/>
      <c r="I118" s="45"/>
      <c r="J118" s="45"/>
    </row>
    <row r="119" spans="1:10" s="48" customFormat="1">
      <c r="A119" s="61"/>
      <c r="I119" s="45"/>
      <c r="J119" s="45"/>
    </row>
    <row r="120" spans="1:10" s="48" customFormat="1">
      <c r="A120" s="61"/>
      <c r="I120" s="45"/>
      <c r="J120" s="45"/>
    </row>
    <row r="121" spans="1:10" s="48" customFormat="1">
      <c r="A121" s="61"/>
      <c r="I121" s="45"/>
      <c r="J121" s="45"/>
    </row>
    <row r="122" spans="1:10" s="48" customFormat="1">
      <c r="A122" s="61"/>
      <c r="I122" s="45"/>
      <c r="J122" s="45"/>
    </row>
    <row r="123" spans="1:10" s="48" customFormat="1">
      <c r="A123" s="61"/>
      <c r="I123" s="45"/>
      <c r="J123" s="45"/>
    </row>
    <row r="124" spans="1:10" s="48" customFormat="1">
      <c r="A124" s="61"/>
      <c r="I124" s="45"/>
      <c r="J124" s="45"/>
    </row>
    <row r="125" spans="1:10" s="48" customFormat="1">
      <c r="A125" s="61"/>
      <c r="I125" s="45"/>
      <c r="J125" s="45"/>
    </row>
    <row r="126" spans="1:10" s="48" customFormat="1">
      <c r="A126" s="61"/>
      <c r="I126" s="45"/>
      <c r="J126" s="45"/>
    </row>
    <row r="127" spans="1:10" s="48" customFormat="1">
      <c r="A127" s="61"/>
      <c r="I127" s="45"/>
      <c r="J127" s="45"/>
    </row>
    <row r="128" spans="1:10" s="48" customFormat="1">
      <c r="A128" s="61"/>
      <c r="I128" s="45"/>
      <c r="J128" s="45"/>
    </row>
    <row r="129" spans="1:10" s="48" customFormat="1">
      <c r="A129" s="61"/>
      <c r="I129" s="45"/>
      <c r="J129" s="45"/>
    </row>
    <row r="130" spans="1:10" s="48" customFormat="1">
      <c r="A130" s="61"/>
      <c r="I130" s="45"/>
      <c r="J130" s="45"/>
    </row>
    <row r="131" spans="1:10" s="48" customFormat="1">
      <c r="A131" s="61"/>
      <c r="I131" s="45"/>
      <c r="J131" s="45"/>
    </row>
    <row r="132" spans="1:10" s="48" customFormat="1">
      <c r="A132" s="61"/>
      <c r="I132" s="45"/>
      <c r="J132" s="45"/>
    </row>
    <row r="133" spans="1:10" s="48" customFormat="1">
      <c r="A133" s="61"/>
      <c r="I133" s="45"/>
      <c r="J133" s="45"/>
    </row>
    <row r="134" spans="1:10" s="48" customFormat="1">
      <c r="A134" s="61"/>
      <c r="I134" s="45"/>
      <c r="J134" s="45"/>
    </row>
    <row r="135" spans="1:10" s="48" customFormat="1">
      <c r="A135" s="61"/>
      <c r="I135" s="45"/>
      <c r="J135" s="45"/>
    </row>
    <row r="136" spans="1:10" s="48" customFormat="1">
      <c r="A136" s="61"/>
      <c r="I136" s="45"/>
      <c r="J136" s="45"/>
    </row>
    <row r="137" spans="1:10" s="48" customFormat="1">
      <c r="A137" s="61"/>
      <c r="I137" s="45"/>
      <c r="J137" s="45"/>
    </row>
    <row r="138" spans="1:10" s="48" customFormat="1">
      <c r="A138" s="61"/>
      <c r="I138" s="45"/>
      <c r="J138" s="45"/>
    </row>
    <row r="139" spans="1:10" s="48" customFormat="1">
      <c r="A139" s="61"/>
      <c r="I139" s="45"/>
      <c r="J139" s="45"/>
    </row>
    <row r="140" spans="1:10" s="48" customFormat="1">
      <c r="A140" s="61"/>
      <c r="I140" s="45"/>
      <c r="J140" s="45"/>
    </row>
    <row r="141" spans="1:10" s="48" customFormat="1">
      <c r="A141" s="61"/>
      <c r="I141" s="45"/>
      <c r="J141" s="45"/>
    </row>
    <row r="142" spans="1:10" s="48" customFormat="1">
      <c r="A142" s="61"/>
      <c r="I142" s="45"/>
      <c r="J142" s="45"/>
    </row>
    <row r="143" spans="1:10" s="48" customFormat="1">
      <c r="A143" s="61"/>
      <c r="I143" s="45"/>
      <c r="J143" s="45"/>
    </row>
    <row r="144" spans="1:10" s="48" customFormat="1">
      <c r="A144" s="61"/>
      <c r="I144" s="45"/>
      <c r="J144" s="45"/>
    </row>
    <row r="145" spans="1:10" s="48" customFormat="1">
      <c r="A145" s="61"/>
      <c r="I145" s="45"/>
      <c r="J145" s="45"/>
    </row>
    <row r="146" spans="1:10" s="48" customFormat="1">
      <c r="A146" s="61"/>
      <c r="I146" s="45"/>
      <c r="J146" s="45"/>
    </row>
    <row r="147" spans="1:10" s="48" customFormat="1">
      <c r="A147" s="61"/>
      <c r="I147" s="45"/>
      <c r="J147" s="45"/>
    </row>
    <row r="148" spans="1:10" s="48" customFormat="1">
      <c r="A148" s="61"/>
      <c r="I148" s="45"/>
      <c r="J148" s="45"/>
    </row>
    <row r="149" spans="1:10" s="48" customFormat="1">
      <c r="A149" s="61"/>
      <c r="I149" s="45"/>
      <c r="J149" s="45"/>
    </row>
    <row r="150" spans="1:10" s="48" customFormat="1">
      <c r="A150" s="61"/>
      <c r="I150" s="45"/>
      <c r="J150" s="45"/>
    </row>
    <row r="151" spans="1:10" s="48" customFormat="1">
      <c r="A151" s="61"/>
      <c r="I151" s="45"/>
      <c r="J151" s="45"/>
    </row>
    <row r="152" spans="1:10" s="48" customFormat="1">
      <c r="A152" s="61"/>
      <c r="I152" s="45"/>
      <c r="J152" s="45"/>
    </row>
    <row r="153" spans="1:10" s="48" customFormat="1">
      <c r="A153" s="61"/>
      <c r="I153" s="45"/>
      <c r="J153" s="45"/>
    </row>
    <row r="154" spans="1:10" s="48" customFormat="1">
      <c r="A154" s="61"/>
      <c r="I154" s="45"/>
      <c r="J154" s="45"/>
    </row>
    <row r="155" spans="1:10" s="48" customFormat="1">
      <c r="A155" s="61"/>
      <c r="I155" s="45"/>
      <c r="J155" s="45"/>
    </row>
    <row r="156" spans="1:10" s="48" customFormat="1">
      <c r="A156" s="61"/>
      <c r="I156" s="45"/>
      <c r="J156" s="45"/>
    </row>
    <row r="157" spans="1:10" s="48" customFormat="1">
      <c r="A157" s="61"/>
      <c r="I157" s="45"/>
      <c r="J157" s="45"/>
    </row>
    <row r="158" spans="1:10" s="48" customFormat="1">
      <c r="A158" s="61"/>
      <c r="I158" s="45"/>
      <c r="J158" s="45"/>
    </row>
    <row r="159" spans="1:10" s="48" customFormat="1">
      <c r="A159" s="61"/>
      <c r="I159" s="45"/>
      <c r="J159" s="45"/>
    </row>
    <row r="160" spans="1:10" s="48" customFormat="1">
      <c r="A160" s="61"/>
      <c r="I160" s="45"/>
      <c r="J160" s="45"/>
    </row>
    <row r="161" spans="1:10" s="48" customFormat="1">
      <c r="A161" s="61"/>
      <c r="I161" s="45"/>
      <c r="J161" s="45"/>
    </row>
    <row r="162" spans="1:10" s="48" customFormat="1">
      <c r="A162" s="61"/>
      <c r="I162" s="45"/>
      <c r="J162" s="45"/>
    </row>
    <row r="163" spans="1:10" s="48" customFormat="1">
      <c r="A163" s="61"/>
      <c r="I163" s="45"/>
      <c r="J163" s="45"/>
    </row>
    <row r="164" spans="1:10" s="48" customFormat="1">
      <c r="A164" s="61"/>
      <c r="I164" s="45"/>
      <c r="J164" s="45"/>
    </row>
    <row r="165" spans="1:10" s="48" customFormat="1">
      <c r="A165" s="61"/>
      <c r="I165" s="45"/>
      <c r="J165" s="45"/>
    </row>
    <row r="166" spans="1:10" s="48" customFormat="1">
      <c r="A166" s="61"/>
      <c r="I166" s="45"/>
      <c r="J166" s="45"/>
    </row>
    <row r="167" spans="1:10" s="48" customFormat="1">
      <c r="A167" s="61"/>
      <c r="I167" s="45"/>
      <c r="J167" s="45"/>
    </row>
    <row r="168" spans="1:10" s="48" customFormat="1">
      <c r="A168" s="61"/>
      <c r="I168" s="45"/>
      <c r="J168" s="45"/>
    </row>
    <row r="169" spans="1:10" s="48" customFormat="1">
      <c r="A169" s="61"/>
      <c r="I169" s="45"/>
      <c r="J169" s="45"/>
    </row>
    <row r="170" spans="1:10" s="48" customFormat="1">
      <c r="A170" s="61"/>
      <c r="I170" s="45"/>
      <c r="J170" s="45"/>
    </row>
    <row r="171" spans="1:10" s="48" customFormat="1">
      <c r="A171" s="61"/>
      <c r="I171" s="45"/>
      <c r="J171" s="45"/>
    </row>
    <row r="172" spans="1:10" s="48" customFormat="1">
      <c r="A172" s="61"/>
      <c r="I172" s="45"/>
      <c r="J172" s="45"/>
    </row>
    <row r="173" spans="1:10" s="48" customFormat="1">
      <c r="A173" s="61"/>
      <c r="I173" s="45"/>
      <c r="J173" s="45"/>
    </row>
    <row r="174" spans="1:10" s="48" customFormat="1">
      <c r="A174" s="61"/>
      <c r="I174" s="45"/>
      <c r="J174" s="45"/>
    </row>
    <row r="175" spans="1:10" s="48" customFormat="1">
      <c r="A175" s="61"/>
      <c r="I175" s="45"/>
      <c r="J175" s="45"/>
    </row>
    <row r="176" spans="1:10" s="48" customFormat="1">
      <c r="A176" s="61"/>
      <c r="I176" s="45"/>
      <c r="J176" s="45"/>
    </row>
    <row r="177" spans="1:10" s="48" customFormat="1">
      <c r="A177" s="61"/>
      <c r="I177" s="45"/>
      <c r="J177" s="45"/>
    </row>
    <row r="178" spans="1:10" s="48" customFormat="1">
      <c r="A178" s="61"/>
      <c r="I178" s="45"/>
      <c r="J178" s="45"/>
    </row>
    <row r="179" spans="1:10" s="48" customFormat="1">
      <c r="A179" s="61"/>
      <c r="I179" s="45"/>
      <c r="J179" s="45"/>
    </row>
    <row r="180" spans="1:10" s="48" customFormat="1">
      <c r="A180" s="61"/>
      <c r="I180" s="45"/>
      <c r="J180" s="45"/>
    </row>
    <row r="181" spans="1:10" s="48" customFormat="1">
      <c r="A181" s="61"/>
      <c r="I181" s="45"/>
      <c r="J181" s="45"/>
    </row>
    <row r="182" spans="1:10" s="48" customFormat="1">
      <c r="A182" s="61"/>
      <c r="I182" s="45"/>
      <c r="J182" s="45"/>
    </row>
    <row r="183" spans="1:10" s="48" customFormat="1">
      <c r="A183" s="61"/>
      <c r="I183" s="45"/>
      <c r="J183" s="45"/>
    </row>
    <row r="184" spans="1:10" s="48" customFormat="1">
      <c r="A184" s="61"/>
      <c r="I184" s="45"/>
      <c r="J184" s="45"/>
    </row>
    <row r="185" spans="1:10" s="48" customFormat="1">
      <c r="A185" s="61"/>
      <c r="I185" s="45"/>
      <c r="J185" s="45"/>
    </row>
    <row r="186" spans="1:10" s="48" customFormat="1">
      <c r="A186" s="61"/>
      <c r="I186" s="45"/>
      <c r="J186" s="45"/>
    </row>
    <row r="187" spans="1:10" s="48" customFormat="1">
      <c r="A187" s="61"/>
      <c r="I187" s="45"/>
      <c r="J187" s="45"/>
    </row>
    <row r="188" spans="1:10" s="48" customFormat="1">
      <c r="A188" s="61"/>
      <c r="I188" s="45"/>
      <c r="J188" s="45"/>
    </row>
    <row r="189" spans="1:10" s="48" customFormat="1">
      <c r="A189" s="61"/>
      <c r="I189" s="45"/>
      <c r="J189" s="45"/>
    </row>
    <row r="190" spans="1:10" s="48" customFormat="1">
      <c r="A190" s="61"/>
      <c r="I190" s="45"/>
      <c r="J190" s="45"/>
    </row>
    <row r="191" spans="1:10" s="48" customFormat="1">
      <c r="A191" s="61"/>
      <c r="I191" s="45"/>
      <c r="J191" s="45"/>
    </row>
    <row r="192" spans="1:10" s="48" customFormat="1">
      <c r="A192" s="61"/>
      <c r="I192" s="45"/>
      <c r="J192" s="45"/>
    </row>
    <row r="193" spans="1:10" s="48" customFormat="1">
      <c r="A193" s="61"/>
      <c r="I193" s="45"/>
      <c r="J193" s="45"/>
    </row>
    <row r="194" spans="1:10" s="48" customFormat="1">
      <c r="A194" s="61"/>
      <c r="I194" s="45"/>
      <c r="J194" s="45"/>
    </row>
  </sheetData>
  <mergeCells count="12">
    <mergeCell ref="A3:A4"/>
    <mergeCell ref="B3:B4"/>
    <mergeCell ref="C3:D3"/>
    <mergeCell ref="E3:H3"/>
    <mergeCell ref="A1:H1"/>
    <mergeCell ref="C44:D44"/>
    <mergeCell ref="F44:H44"/>
    <mergeCell ref="A6:H6"/>
    <mergeCell ref="A19:H19"/>
    <mergeCell ref="C43:D43"/>
    <mergeCell ref="F43:H43"/>
    <mergeCell ref="A2:H2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rowBreaks count="1" manualBreakCount="1">
    <brk id="25" max="7" man="1"/>
  </rowBreaks>
  <ignoredErrors>
    <ignoredError sqref="H26 G8 H30 H34 H21 H39 G1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5"/>
  <sheetViews>
    <sheetView view="pageBreakPreview" zoomScale="75" zoomScaleNormal="75" zoomScaleSheetLayoutView="75" workbookViewId="0">
      <pane xSplit="1" ySplit="5" topLeftCell="B57" activePane="bottomRight" state="frozen"/>
      <selection activeCell="A67" sqref="A67"/>
      <selection pane="topRight" activeCell="A67" sqref="A67"/>
      <selection pane="bottomLeft" activeCell="A67" sqref="A67"/>
      <selection pane="bottomRight" activeCell="E74" sqref="E74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174" t="s">
        <v>419</v>
      </c>
      <c r="B1" s="174"/>
      <c r="C1" s="174"/>
      <c r="D1" s="174"/>
      <c r="E1" s="174"/>
      <c r="F1" s="174"/>
      <c r="G1" s="174"/>
      <c r="H1" s="174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179" t="s">
        <v>187</v>
      </c>
      <c r="B3" s="209" t="s">
        <v>0</v>
      </c>
      <c r="C3" s="179" t="s">
        <v>251</v>
      </c>
      <c r="D3" s="179"/>
      <c r="E3" s="189" t="s">
        <v>265</v>
      </c>
      <c r="F3" s="189"/>
      <c r="G3" s="189"/>
      <c r="H3" s="189"/>
    </row>
    <row r="4" spans="1:8" ht="38.25" customHeight="1">
      <c r="A4" s="179"/>
      <c r="B4" s="209"/>
      <c r="C4" s="7" t="s">
        <v>174</v>
      </c>
      <c r="D4" s="7" t="s">
        <v>175</v>
      </c>
      <c r="E4" s="7" t="s">
        <v>176</v>
      </c>
      <c r="F4" s="7" t="s">
        <v>163</v>
      </c>
      <c r="G4" s="70" t="s">
        <v>182</v>
      </c>
      <c r="H4" s="70" t="s">
        <v>183</v>
      </c>
    </row>
    <row r="5" spans="1:8">
      <c r="A5" s="70">
        <v>1</v>
      </c>
      <c r="B5" s="129">
        <v>2</v>
      </c>
      <c r="C5" s="70">
        <v>3</v>
      </c>
      <c r="D5" s="129">
        <v>4</v>
      </c>
      <c r="E5" s="70">
        <v>5</v>
      </c>
      <c r="F5" s="129">
        <v>6</v>
      </c>
      <c r="G5" s="70">
        <v>7</v>
      </c>
      <c r="H5" s="129">
        <v>8</v>
      </c>
    </row>
    <row r="6" spans="1:8">
      <c r="A6" s="148" t="s">
        <v>236</v>
      </c>
      <c r="B6" s="130"/>
      <c r="C6" s="130"/>
      <c r="D6" s="130"/>
      <c r="E6" s="130"/>
      <c r="F6" s="130"/>
      <c r="G6" s="130"/>
      <c r="H6" s="131"/>
    </row>
    <row r="7" spans="1:8" s="60" customFormat="1" ht="24.95" customHeight="1">
      <c r="A7" s="46" t="s">
        <v>364</v>
      </c>
      <c r="B7" s="9">
        <v>1170</v>
      </c>
      <c r="C7" s="166"/>
      <c r="D7" s="166"/>
      <c r="E7" s="166"/>
      <c r="F7" s="166"/>
      <c r="G7" s="119"/>
      <c r="H7" s="139"/>
    </row>
    <row r="8" spans="1:8" ht="20.100000000000001" customHeight="1">
      <c r="A8" s="46" t="s">
        <v>365</v>
      </c>
      <c r="B8" s="15"/>
      <c r="C8" s="120"/>
      <c r="D8" s="120"/>
      <c r="E8" s="120"/>
      <c r="F8" s="120"/>
      <c r="G8" s="109"/>
      <c r="H8" s="137"/>
    </row>
    <row r="9" spans="1:8" ht="20.100000000000001" customHeight="1">
      <c r="A9" s="46" t="s">
        <v>366</v>
      </c>
      <c r="B9" s="6">
        <v>3000</v>
      </c>
      <c r="C9" s="120"/>
      <c r="D9" s="120"/>
      <c r="E9" s="120"/>
      <c r="F9" s="120"/>
      <c r="G9" s="109"/>
      <c r="H9" s="137"/>
    </row>
    <row r="10" spans="1:8" ht="20.100000000000001" customHeight="1">
      <c r="A10" s="46" t="s">
        <v>367</v>
      </c>
      <c r="B10" s="6">
        <v>3010</v>
      </c>
      <c r="C10" s="120"/>
      <c r="D10" s="120"/>
      <c r="E10" s="120"/>
      <c r="F10" s="120"/>
      <c r="G10" s="109"/>
      <c r="H10" s="137"/>
    </row>
    <row r="11" spans="1:8" ht="20.100000000000001" customHeight="1">
      <c r="A11" s="46" t="s">
        <v>368</v>
      </c>
      <c r="B11" s="6">
        <v>3020</v>
      </c>
      <c r="C11" s="120"/>
      <c r="D11" s="120"/>
      <c r="E11" s="120"/>
      <c r="F11" s="120"/>
      <c r="G11" s="109"/>
      <c r="H11" s="137"/>
    </row>
    <row r="12" spans="1:8" ht="36.75" customHeight="1">
      <c r="A12" s="46" t="s">
        <v>369</v>
      </c>
      <c r="B12" s="6">
        <v>3030</v>
      </c>
      <c r="C12" s="120"/>
      <c r="D12" s="120"/>
      <c r="E12" s="120"/>
      <c r="F12" s="120"/>
      <c r="G12" s="109"/>
      <c r="H12" s="137"/>
    </row>
    <row r="13" spans="1:8" ht="38.25" customHeight="1">
      <c r="A13" s="71" t="s">
        <v>370</v>
      </c>
      <c r="B13" s="6">
        <v>3040</v>
      </c>
      <c r="C13" s="166"/>
      <c r="D13" s="166"/>
      <c r="E13" s="166">
        <f>SUM(E14:E16,E21,E31,E32)</f>
        <v>0</v>
      </c>
      <c r="F13" s="166">
        <f>SUM(F14:F16,F21,F31,F32)</f>
        <v>0</v>
      </c>
      <c r="G13" s="119"/>
      <c r="H13" s="139"/>
    </row>
    <row r="14" spans="1:8" ht="19.5" customHeight="1">
      <c r="A14" s="46" t="s">
        <v>371</v>
      </c>
      <c r="B14" s="6">
        <v>3050</v>
      </c>
      <c r="C14" s="120" t="s">
        <v>225</v>
      </c>
      <c r="D14" s="120" t="s">
        <v>225</v>
      </c>
      <c r="E14" s="120" t="s">
        <v>225</v>
      </c>
      <c r="F14" s="120" t="s">
        <v>225</v>
      </c>
      <c r="G14" s="109"/>
      <c r="H14" s="137"/>
    </row>
    <row r="15" spans="1:8" ht="19.5" customHeight="1">
      <c r="A15" s="46" t="s">
        <v>372</v>
      </c>
      <c r="B15" s="6">
        <v>3060</v>
      </c>
      <c r="C15" s="120" t="s">
        <v>225</v>
      </c>
      <c r="D15" s="120" t="s">
        <v>225</v>
      </c>
      <c r="E15" s="120" t="s">
        <v>225</v>
      </c>
      <c r="F15" s="120" t="s">
        <v>225</v>
      </c>
      <c r="G15" s="109"/>
      <c r="H15" s="137"/>
    </row>
    <row r="16" spans="1:8" ht="19.5" customHeight="1">
      <c r="A16" s="71" t="s">
        <v>373</v>
      </c>
      <c r="B16" s="6">
        <v>3070</v>
      </c>
      <c r="C16" s="120"/>
      <c r="D16" s="120"/>
      <c r="E16" s="120">
        <f>SUM(E17:E20)</f>
        <v>0</v>
      </c>
      <c r="F16" s="120">
        <f>SUM(F17:F20)</f>
        <v>0</v>
      </c>
      <c r="G16" s="109"/>
      <c r="H16" s="137"/>
    </row>
    <row r="17" spans="1:8" ht="19.5" customHeight="1">
      <c r="A17" s="46" t="s">
        <v>374</v>
      </c>
      <c r="B17" s="6">
        <v>3080</v>
      </c>
      <c r="C17" s="120">
        <f>'ІІ. Розр. з бюджетом'!C23</f>
        <v>0</v>
      </c>
      <c r="D17" s="120">
        <f>'ІІ. Розр. з бюджетом'!D23</f>
        <v>0</v>
      </c>
      <c r="E17" s="120" t="s">
        <v>225</v>
      </c>
      <c r="F17" s="120" t="s">
        <v>225</v>
      </c>
      <c r="G17" s="109"/>
      <c r="H17" s="137"/>
    </row>
    <row r="18" spans="1:8" ht="19.5" customHeight="1">
      <c r="A18" s="10" t="s">
        <v>375</v>
      </c>
      <c r="B18" s="6">
        <v>3090</v>
      </c>
      <c r="C18" s="120"/>
      <c r="E18" s="120" t="s">
        <v>225</v>
      </c>
      <c r="F18" s="120" t="s">
        <v>225</v>
      </c>
      <c r="G18" s="109"/>
      <c r="H18" s="137"/>
    </row>
    <row r="19" spans="1:8" ht="19.5" customHeight="1">
      <c r="A19" s="207" t="s">
        <v>237</v>
      </c>
      <c r="B19" s="207"/>
      <c r="C19" s="207"/>
      <c r="D19" s="207"/>
      <c r="E19" s="207"/>
      <c r="F19" s="207"/>
      <c r="G19" s="207"/>
      <c r="H19" s="207"/>
    </row>
    <row r="20" spans="1:8" ht="19.5" customHeight="1">
      <c r="A20" s="71" t="s">
        <v>382</v>
      </c>
      <c r="B20" s="9"/>
      <c r="C20" s="159"/>
      <c r="D20" s="159"/>
      <c r="E20" s="159"/>
      <c r="F20" s="159"/>
      <c r="G20" s="159"/>
      <c r="H20" s="160"/>
    </row>
    <row r="21" spans="1:8" ht="38.25" customHeight="1">
      <c r="A21" s="8" t="s">
        <v>376</v>
      </c>
      <c r="B21" s="9">
        <v>3200</v>
      </c>
      <c r="C21" s="109">
        <f>SUM(C22:C27,C30)</f>
        <v>0</v>
      </c>
      <c r="D21" s="109">
        <f>SUM(D22:D27,D30)</f>
        <v>0</v>
      </c>
      <c r="E21" s="109">
        <f>SUM(E22:E27,E30)</f>
        <v>0</v>
      </c>
      <c r="F21" s="109">
        <f>SUM(F22:F27,F30)</f>
        <v>0</v>
      </c>
      <c r="G21" s="109">
        <f>F21-E21</f>
        <v>0</v>
      </c>
      <c r="H21" s="137"/>
    </row>
    <row r="22" spans="1:8" ht="19.5" customHeight="1">
      <c r="A22" s="8" t="s">
        <v>377</v>
      </c>
      <c r="B22" s="9">
        <v>3210</v>
      </c>
      <c r="C22" s="109" t="s">
        <v>225</v>
      </c>
      <c r="D22" s="109" t="s">
        <v>225</v>
      </c>
      <c r="E22" s="109" t="s">
        <v>225</v>
      </c>
      <c r="F22" s="109" t="s">
        <v>225</v>
      </c>
      <c r="G22" s="109"/>
      <c r="H22" s="137"/>
    </row>
    <row r="23" spans="1:8" ht="19.5" customHeight="1">
      <c r="A23" s="8" t="s">
        <v>42</v>
      </c>
      <c r="B23" s="9">
        <v>3220</v>
      </c>
      <c r="C23" s="109" t="s">
        <v>225</v>
      </c>
      <c r="D23" s="109" t="s">
        <v>225</v>
      </c>
      <c r="E23" s="109" t="s">
        <v>225</v>
      </c>
      <c r="F23" s="109" t="s">
        <v>225</v>
      </c>
      <c r="G23" s="109"/>
      <c r="H23" s="137"/>
    </row>
    <row r="24" spans="1:8" ht="19.5" customHeight="1">
      <c r="A24" s="46" t="s">
        <v>378</v>
      </c>
      <c r="B24" s="9"/>
      <c r="C24" s="109" t="s">
        <v>225</v>
      </c>
      <c r="D24" s="109" t="s">
        <v>225</v>
      </c>
      <c r="E24" s="109" t="s">
        <v>225</v>
      </c>
      <c r="F24" s="109" t="s">
        <v>225</v>
      </c>
      <c r="G24" s="109"/>
      <c r="H24" s="137"/>
    </row>
    <row r="25" spans="1:8" ht="20.100000000000001" customHeight="1">
      <c r="A25" s="8" t="s">
        <v>379</v>
      </c>
      <c r="B25" s="9">
        <v>3230</v>
      </c>
      <c r="C25" s="109" t="s">
        <v>225</v>
      </c>
      <c r="D25" s="109" t="s">
        <v>225</v>
      </c>
      <c r="E25" s="109" t="s">
        <v>225</v>
      </c>
      <c r="F25" s="109" t="s">
        <v>225</v>
      </c>
      <c r="G25" s="109"/>
      <c r="H25" s="137"/>
    </row>
    <row r="26" spans="1:8" ht="20.100000000000001" customHeight="1">
      <c r="A26" s="8" t="s">
        <v>380</v>
      </c>
      <c r="B26" s="9">
        <v>3240</v>
      </c>
      <c r="C26" s="109" t="s">
        <v>225</v>
      </c>
      <c r="D26" s="109" t="s">
        <v>225</v>
      </c>
      <c r="E26" s="109" t="s">
        <v>225</v>
      </c>
      <c r="F26" s="109" t="s">
        <v>225</v>
      </c>
      <c r="G26" s="109"/>
      <c r="H26" s="137"/>
    </row>
    <row r="27" spans="1:8" ht="20.100000000000001" customHeight="1">
      <c r="A27" s="46" t="s">
        <v>381</v>
      </c>
      <c r="B27" s="9">
        <v>3250</v>
      </c>
      <c r="C27" s="109">
        <f>SUM(C28,C29)</f>
        <v>0</v>
      </c>
      <c r="D27" s="109">
        <f>SUM(D28,D29)</f>
        <v>0</v>
      </c>
      <c r="E27" s="109">
        <f>SUM(E28,E29)</f>
        <v>0</v>
      </c>
      <c r="F27" s="109">
        <f>SUM(F28,F29)</f>
        <v>0</v>
      </c>
      <c r="G27" s="109">
        <f>F27-E27</f>
        <v>0</v>
      </c>
      <c r="H27" s="137"/>
    </row>
    <row r="28" spans="1:8" ht="19.5" customHeight="1">
      <c r="A28" s="8" t="s">
        <v>278</v>
      </c>
      <c r="B28" s="9">
        <v>3260</v>
      </c>
      <c r="C28" s="109" t="s">
        <v>225</v>
      </c>
      <c r="D28" s="109" t="s">
        <v>225</v>
      </c>
      <c r="E28" s="109" t="s">
        <v>225</v>
      </c>
      <c r="F28" s="109" t="s">
        <v>225</v>
      </c>
      <c r="G28" s="109"/>
      <c r="H28" s="137"/>
    </row>
    <row r="29" spans="1:8">
      <c r="A29" s="71" t="s">
        <v>383</v>
      </c>
      <c r="B29" s="9"/>
      <c r="C29" s="109" t="s">
        <v>225</v>
      </c>
      <c r="D29" s="109" t="s">
        <v>225</v>
      </c>
      <c r="E29" s="109" t="s">
        <v>225</v>
      </c>
      <c r="F29" s="109" t="s">
        <v>225</v>
      </c>
      <c r="G29" s="109"/>
      <c r="H29" s="137"/>
    </row>
    <row r="30" spans="1:8" ht="20.100000000000001" customHeight="1">
      <c r="A30" s="8" t="s">
        <v>384</v>
      </c>
      <c r="B30" s="9">
        <v>3270</v>
      </c>
      <c r="C30" s="109" t="s">
        <v>225</v>
      </c>
      <c r="D30" s="109" t="s">
        <v>225</v>
      </c>
      <c r="E30" s="109" t="s">
        <v>225</v>
      </c>
      <c r="F30" s="109" t="s">
        <v>225</v>
      </c>
      <c r="G30" s="109"/>
      <c r="H30" s="137"/>
    </row>
    <row r="31" spans="1:8" ht="20.100000000000001" customHeight="1">
      <c r="A31" s="8" t="s">
        <v>385</v>
      </c>
      <c r="B31" s="9">
        <v>3280</v>
      </c>
      <c r="C31" s="109" t="s">
        <v>225</v>
      </c>
      <c r="D31" s="109" t="s">
        <v>225</v>
      </c>
      <c r="E31" s="109" t="s">
        <v>225</v>
      </c>
      <c r="F31" s="109" t="s">
        <v>225</v>
      </c>
      <c r="G31" s="109"/>
      <c r="H31" s="137"/>
    </row>
    <row r="32" spans="1:8" ht="20.100000000000001" customHeight="1">
      <c r="A32" s="8" t="s">
        <v>386</v>
      </c>
      <c r="B32" s="9">
        <v>3290</v>
      </c>
      <c r="C32" s="109" t="s">
        <v>225</v>
      </c>
      <c r="D32" s="109" t="s">
        <v>225</v>
      </c>
      <c r="E32" s="109" t="s">
        <v>225</v>
      </c>
      <c r="F32" s="109" t="s">
        <v>225</v>
      </c>
      <c r="G32" s="109"/>
      <c r="H32" s="137"/>
    </row>
    <row r="33" spans="1:8" ht="20.100000000000001" customHeight="1">
      <c r="A33" s="8" t="s">
        <v>43</v>
      </c>
      <c r="B33" s="9">
        <v>3300</v>
      </c>
      <c r="C33" s="119"/>
      <c r="D33" s="119"/>
      <c r="E33" s="119"/>
      <c r="F33" s="119"/>
      <c r="G33" s="119">
        <f t="shared" ref="G33:G44" si="0">F33-E33</f>
        <v>0</v>
      </c>
      <c r="H33" s="139"/>
    </row>
    <row r="34" spans="1:8" ht="20.100000000000001" customHeight="1">
      <c r="A34" s="8" t="s">
        <v>277</v>
      </c>
      <c r="B34" s="9">
        <v>3310</v>
      </c>
      <c r="C34" s="130"/>
      <c r="D34" s="130"/>
      <c r="E34" s="130"/>
      <c r="F34" s="130"/>
      <c r="G34" s="109">
        <f t="shared" si="0"/>
        <v>0</v>
      </c>
      <c r="H34" s="137"/>
    </row>
    <row r="35" spans="1:8" ht="20.100000000000001" customHeight="1">
      <c r="A35" s="71" t="s">
        <v>114</v>
      </c>
      <c r="B35" s="9">
        <v>3320</v>
      </c>
      <c r="C35" s="119"/>
      <c r="D35" s="119"/>
      <c r="E35" s="119"/>
      <c r="F35" s="119"/>
      <c r="G35" s="119">
        <f t="shared" si="0"/>
        <v>0</v>
      </c>
      <c r="H35" s="139"/>
    </row>
    <row r="36" spans="1:8" ht="20.100000000000001" customHeight="1">
      <c r="A36" s="148" t="s">
        <v>238</v>
      </c>
      <c r="B36" s="130"/>
      <c r="C36" s="130"/>
      <c r="D36" s="130"/>
      <c r="E36" s="130"/>
      <c r="F36" s="130"/>
      <c r="G36" s="109">
        <f t="shared" si="0"/>
        <v>0</v>
      </c>
      <c r="H36" s="137"/>
    </row>
    <row r="37" spans="1:8" ht="20.100000000000001" customHeight="1">
      <c r="A37" s="10" t="s">
        <v>387</v>
      </c>
      <c r="B37" s="11"/>
      <c r="C37" s="119">
        <f>SUM(C38,C39,C43)</f>
        <v>0</v>
      </c>
      <c r="D37" s="119">
        <f>SUM(D38,D39,D43)</f>
        <v>0</v>
      </c>
      <c r="E37" s="119">
        <f>SUM(E38,E39,E43)</f>
        <v>0</v>
      </c>
      <c r="F37" s="119">
        <f>SUM(F38,F39,F43)</f>
        <v>0</v>
      </c>
      <c r="G37" s="119">
        <f t="shared" si="0"/>
        <v>0</v>
      </c>
      <c r="H37" s="139"/>
    </row>
    <row r="38" spans="1:8" ht="20.100000000000001" customHeight="1">
      <c r="A38" s="46" t="s">
        <v>388</v>
      </c>
      <c r="B38" s="9">
        <v>3400</v>
      </c>
      <c r="C38" s="109"/>
      <c r="D38" s="109"/>
      <c r="E38" s="109"/>
      <c r="F38" s="109"/>
      <c r="G38" s="109">
        <f t="shared" si="0"/>
        <v>0</v>
      </c>
      <c r="H38" s="137"/>
    </row>
    <row r="39" spans="1:8" ht="20.100000000000001" customHeight="1">
      <c r="A39" s="8" t="s">
        <v>389</v>
      </c>
      <c r="B39" s="15"/>
      <c r="C39" s="109">
        <f>SUM(C40:C42)</f>
        <v>0</v>
      </c>
      <c r="D39" s="109">
        <f>SUM(D40:D42)</f>
        <v>0</v>
      </c>
      <c r="E39" s="109">
        <f>SUM(E40:E42)</f>
        <v>0</v>
      </c>
      <c r="F39" s="109">
        <f>SUM(F40:F42)</f>
        <v>0</v>
      </c>
      <c r="G39" s="109">
        <f t="shared" si="0"/>
        <v>0</v>
      </c>
      <c r="H39" s="137"/>
    </row>
    <row r="40" spans="1:8" ht="20.100000000000001" customHeight="1">
      <c r="A40" s="8" t="s">
        <v>75</v>
      </c>
      <c r="B40" s="9">
        <v>3410</v>
      </c>
      <c r="C40" s="109"/>
      <c r="D40" s="109"/>
      <c r="E40" s="109"/>
      <c r="F40" s="109"/>
      <c r="G40" s="109">
        <f t="shared" si="0"/>
        <v>0</v>
      </c>
      <c r="H40" s="137"/>
    </row>
    <row r="41" spans="1:8" ht="20.100000000000001" customHeight="1">
      <c r="A41" s="8" t="s">
        <v>76</v>
      </c>
      <c r="B41" s="6">
        <v>3420</v>
      </c>
      <c r="C41" s="109"/>
      <c r="D41" s="109"/>
      <c r="E41" s="109"/>
      <c r="F41" s="109"/>
      <c r="G41" s="109">
        <f t="shared" si="0"/>
        <v>0</v>
      </c>
      <c r="H41" s="137"/>
    </row>
    <row r="42" spans="1:8" ht="20.100000000000001" customHeight="1">
      <c r="A42" s="8" t="s">
        <v>95</v>
      </c>
      <c r="B42" s="9">
        <v>3430</v>
      </c>
      <c r="C42" s="109"/>
      <c r="D42" s="109"/>
      <c r="E42" s="109"/>
      <c r="F42" s="109"/>
      <c r="G42" s="109">
        <f t="shared" si="0"/>
        <v>0</v>
      </c>
      <c r="H42" s="137"/>
    </row>
    <row r="43" spans="1:8" ht="20.100000000000001" customHeight="1">
      <c r="A43" s="8" t="s">
        <v>390</v>
      </c>
      <c r="B43" s="9"/>
      <c r="C43" s="109"/>
      <c r="D43" s="109"/>
      <c r="E43" s="109"/>
      <c r="F43" s="109"/>
      <c r="G43" s="109">
        <f t="shared" si="0"/>
        <v>0</v>
      </c>
      <c r="H43" s="137"/>
    </row>
    <row r="44" spans="1:8" ht="20.100000000000001" customHeight="1">
      <c r="A44" s="8" t="s">
        <v>75</v>
      </c>
      <c r="B44" s="6">
        <v>3440</v>
      </c>
      <c r="C44" s="119">
        <f>SUM(C45,C46,C50,C51)</f>
        <v>0</v>
      </c>
      <c r="D44" s="119">
        <f>SUM(D45,D46,D50,D51)</f>
        <v>0</v>
      </c>
      <c r="E44" s="119">
        <f>SUM(E45,E46,E50,E51)</f>
        <v>0</v>
      </c>
      <c r="F44" s="119">
        <f>SUM(F45,F46,F50,F51)</f>
        <v>0</v>
      </c>
      <c r="G44" s="119">
        <f t="shared" si="0"/>
        <v>0</v>
      </c>
      <c r="H44" s="139"/>
    </row>
    <row r="45" spans="1:8" ht="20.100000000000001" customHeight="1">
      <c r="A45" s="8" t="s">
        <v>76</v>
      </c>
      <c r="B45" s="6">
        <v>3450</v>
      </c>
      <c r="C45" s="109" t="s">
        <v>225</v>
      </c>
      <c r="D45" s="109" t="s">
        <v>225</v>
      </c>
      <c r="E45" s="109" t="s">
        <v>225</v>
      </c>
      <c r="F45" s="109" t="s">
        <v>225</v>
      </c>
      <c r="G45" s="109"/>
      <c r="H45" s="137"/>
    </row>
    <row r="46" spans="1:8" ht="20.100000000000001" customHeight="1">
      <c r="A46" s="8" t="s">
        <v>95</v>
      </c>
      <c r="B46" s="6">
        <v>3460</v>
      </c>
      <c r="C46" s="109">
        <f>SUM(C47:C49)</f>
        <v>0</v>
      </c>
      <c r="D46" s="109">
        <f>SUM(D47:D49)</f>
        <v>0</v>
      </c>
      <c r="E46" s="109">
        <f>SUM(E47:E49)</f>
        <v>0</v>
      </c>
      <c r="F46" s="109">
        <f>SUM(F47:F49)</f>
        <v>0</v>
      </c>
      <c r="G46" s="109"/>
      <c r="H46" s="137"/>
    </row>
    <row r="47" spans="1:8" ht="20.100000000000001" customHeight="1">
      <c r="A47" s="8" t="s">
        <v>391</v>
      </c>
      <c r="B47" s="6">
        <v>3470</v>
      </c>
      <c r="C47" s="109" t="s">
        <v>225</v>
      </c>
      <c r="D47" s="109" t="s">
        <v>225</v>
      </c>
      <c r="E47" s="109" t="s">
        <v>225</v>
      </c>
      <c r="F47" s="109" t="s">
        <v>225</v>
      </c>
      <c r="G47" s="109"/>
      <c r="H47" s="137"/>
    </row>
    <row r="48" spans="1:8" ht="20.100000000000001" customHeight="1">
      <c r="A48" s="8" t="s">
        <v>278</v>
      </c>
      <c r="B48" s="6">
        <v>3480</v>
      </c>
      <c r="C48" s="109" t="s">
        <v>225</v>
      </c>
      <c r="D48" s="109" t="s">
        <v>225</v>
      </c>
      <c r="E48" s="109" t="s">
        <v>225</v>
      </c>
      <c r="F48" s="109" t="s">
        <v>225</v>
      </c>
      <c r="G48" s="109"/>
      <c r="H48" s="137"/>
    </row>
    <row r="49" spans="1:8" ht="20.100000000000001" customHeight="1">
      <c r="A49" s="71" t="s">
        <v>383</v>
      </c>
      <c r="B49" s="9"/>
      <c r="C49" s="109" t="s">
        <v>225</v>
      </c>
      <c r="D49" s="109" t="s">
        <v>225</v>
      </c>
      <c r="E49" s="109" t="s">
        <v>225</v>
      </c>
      <c r="F49" s="109" t="s">
        <v>225</v>
      </c>
      <c r="G49" s="109"/>
      <c r="H49" s="137"/>
    </row>
    <row r="50" spans="1:8" ht="20.100000000000001" customHeight="1">
      <c r="A50" s="8" t="s">
        <v>392</v>
      </c>
      <c r="B50" s="9">
        <v>3490</v>
      </c>
      <c r="C50" s="109" t="s">
        <v>225</v>
      </c>
      <c r="D50" s="109" t="s">
        <v>225</v>
      </c>
      <c r="E50" s="109" t="s">
        <v>225</v>
      </c>
      <c r="F50" s="109" t="s">
        <v>225</v>
      </c>
      <c r="G50" s="109"/>
      <c r="H50" s="137"/>
    </row>
    <row r="51" spans="1:8" ht="20.100000000000001" customHeight="1">
      <c r="A51" s="8" t="s">
        <v>393</v>
      </c>
      <c r="B51" s="9">
        <v>3500</v>
      </c>
      <c r="C51" s="109" t="s">
        <v>225</v>
      </c>
      <c r="D51" s="109" t="s">
        <v>225</v>
      </c>
      <c r="E51" s="109" t="s">
        <v>225</v>
      </c>
      <c r="F51" s="109" t="s">
        <v>225</v>
      </c>
      <c r="G51" s="109"/>
      <c r="H51" s="137"/>
    </row>
    <row r="52" spans="1:8" ht="20.100000000000001" customHeight="1">
      <c r="A52" s="8" t="s">
        <v>394</v>
      </c>
      <c r="B52" s="9"/>
      <c r="C52" s="119"/>
      <c r="D52" s="119"/>
      <c r="E52" s="119"/>
      <c r="F52" s="119"/>
      <c r="G52" s="119">
        <f>F52-E52</f>
        <v>0</v>
      </c>
      <c r="H52" s="139"/>
    </row>
    <row r="53" spans="1:8" ht="20.100000000000001" customHeight="1">
      <c r="A53" s="8" t="s">
        <v>75</v>
      </c>
      <c r="B53" s="6">
        <v>3510</v>
      </c>
      <c r="C53" s="119"/>
      <c r="D53" s="119"/>
      <c r="E53" s="119"/>
      <c r="F53" s="119"/>
      <c r="G53" s="119">
        <f>F53-E53</f>
        <v>0</v>
      </c>
      <c r="H53" s="139"/>
    </row>
    <row r="54" spans="1:8" ht="20.100000000000001" customHeight="1">
      <c r="A54" s="8" t="s">
        <v>76</v>
      </c>
      <c r="B54" s="6">
        <v>3520</v>
      </c>
      <c r="C54" s="109"/>
      <c r="D54" s="109"/>
      <c r="E54" s="109"/>
      <c r="F54" s="109"/>
      <c r="G54" s="109">
        <f>F54-E54</f>
        <v>0</v>
      </c>
      <c r="H54" s="137"/>
    </row>
    <row r="55" spans="1:8" ht="20.100000000000001" customHeight="1">
      <c r="A55" s="8" t="s">
        <v>95</v>
      </c>
      <c r="B55" s="6">
        <v>3530</v>
      </c>
      <c r="C55" s="109"/>
      <c r="D55" s="109"/>
      <c r="E55" s="109"/>
      <c r="F55" s="109"/>
      <c r="G55" s="109">
        <f>F55-E55</f>
        <v>0</v>
      </c>
      <c r="H55" s="137"/>
    </row>
    <row r="56" spans="1:8" ht="20.100000000000001" customHeight="1">
      <c r="A56" s="8" t="s">
        <v>395</v>
      </c>
      <c r="B56" s="9"/>
      <c r="C56" s="109"/>
      <c r="D56" s="109"/>
      <c r="E56" s="109"/>
      <c r="F56" s="109"/>
      <c r="G56" s="109">
        <f>F56-E56</f>
        <v>0</v>
      </c>
      <c r="H56" s="137"/>
    </row>
    <row r="57" spans="1:8" ht="20.100000000000001" customHeight="1">
      <c r="A57" s="8" t="s">
        <v>75</v>
      </c>
      <c r="B57" s="6">
        <v>3540</v>
      </c>
      <c r="C57" s="109"/>
      <c r="D57" s="109"/>
      <c r="E57" s="109"/>
      <c r="F57" s="109"/>
      <c r="G57" s="109"/>
      <c r="H57" s="137"/>
    </row>
    <row r="58" spans="1:8" ht="20.100000000000001" customHeight="1">
      <c r="A58" s="8" t="s">
        <v>76</v>
      </c>
      <c r="B58" s="6">
        <v>3550</v>
      </c>
      <c r="C58" s="109"/>
      <c r="D58" s="109"/>
      <c r="E58" s="109"/>
      <c r="F58" s="109"/>
      <c r="G58" s="109"/>
      <c r="H58" s="137"/>
    </row>
    <row r="59" spans="1:8" ht="20.100000000000001" customHeight="1">
      <c r="A59" s="8" t="s">
        <v>95</v>
      </c>
      <c r="B59" s="6">
        <v>3560</v>
      </c>
      <c r="C59" s="109"/>
      <c r="D59" s="109"/>
      <c r="E59" s="109"/>
      <c r="F59" s="109"/>
      <c r="G59" s="109"/>
      <c r="H59" s="137"/>
    </row>
    <row r="60" spans="1:8" ht="20.100000000000001" customHeight="1">
      <c r="A60" s="8" t="s">
        <v>277</v>
      </c>
      <c r="B60" s="6">
        <v>3570</v>
      </c>
      <c r="C60" s="109"/>
      <c r="D60" s="109"/>
      <c r="E60" s="109"/>
      <c r="F60" s="109"/>
      <c r="G60" s="109"/>
      <c r="H60" s="137"/>
    </row>
    <row r="61" spans="1:8" ht="20.100000000000001" customHeight="1">
      <c r="A61" s="71" t="s">
        <v>115</v>
      </c>
      <c r="B61" s="6">
        <v>3580</v>
      </c>
      <c r="C61" s="109"/>
      <c r="D61" s="109"/>
      <c r="E61" s="109"/>
      <c r="F61" s="109"/>
      <c r="G61" s="109"/>
      <c r="H61" s="137"/>
    </row>
    <row r="62" spans="1:8" ht="20.100000000000001" customHeight="1">
      <c r="A62" s="8" t="s">
        <v>396</v>
      </c>
      <c r="B62" s="6"/>
      <c r="C62" s="109"/>
      <c r="D62" s="109"/>
      <c r="E62" s="109"/>
      <c r="F62" s="109"/>
      <c r="G62" s="109"/>
      <c r="H62" s="137"/>
    </row>
    <row r="63" spans="1:8" ht="20.100000000000001" customHeight="1">
      <c r="A63" s="10" t="s">
        <v>397</v>
      </c>
      <c r="B63" s="6">
        <v>3600</v>
      </c>
      <c r="C63" s="109"/>
      <c r="D63" s="109"/>
      <c r="E63" s="109"/>
      <c r="F63" s="109"/>
      <c r="G63" s="109"/>
      <c r="H63" s="137"/>
    </row>
    <row r="64" spans="1:8" s="16" customFormat="1">
      <c r="A64" s="84" t="s">
        <v>398</v>
      </c>
      <c r="B64" s="6">
        <v>3610</v>
      </c>
      <c r="C64" s="11"/>
      <c r="D64" s="11"/>
      <c r="E64" s="11"/>
      <c r="F64" s="11"/>
      <c r="G64" s="11"/>
      <c r="H64" s="11"/>
    </row>
    <row r="65" spans="1:8" s="3" customFormat="1" ht="27.75" customHeight="1">
      <c r="A65" s="10" t="s">
        <v>399</v>
      </c>
      <c r="B65" s="6">
        <v>3620</v>
      </c>
      <c r="C65" s="168"/>
      <c r="D65" s="15"/>
      <c r="E65" s="161"/>
      <c r="F65" s="15"/>
      <c r="G65" s="15"/>
      <c r="H65" s="15"/>
    </row>
    <row r="66" spans="1:8">
      <c r="A66" s="10" t="s">
        <v>23</v>
      </c>
      <c r="B66" s="6">
        <v>3630</v>
      </c>
      <c r="C66" s="15"/>
      <c r="D66" s="15"/>
      <c r="E66" s="15"/>
      <c r="F66" s="15"/>
      <c r="G66" s="15"/>
      <c r="H66" s="15"/>
    </row>
    <row r="67" spans="1:8">
      <c r="A67" s="61"/>
    </row>
    <row r="70" spans="1:8">
      <c r="A70" s="58" t="s">
        <v>425</v>
      </c>
      <c r="C70" s="196"/>
      <c r="D70" s="196"/>
      <c r="F70" s="198" t="s">
        <v>324</v>
      </c>
      <c r="G70" s="210"/>
      <c r="H70" s="210"/>
    </row>
    <row r="71" spans="1:8">
      <c r="A71" s="74" t="s">
        <v>209</v>
      </c>
      <c r="C71" s="188" t="s">
        <v>65</v>
      </c>
      <c r="D71" s="188"/>
      <c r="F71" s="206" t="s">
        <v>210</v>
      </c>
      <c r="G71" s="206"/>
      <c r="H71" s="206"/>
    </row>
    <row r="74" spans="1:8">
      <c r="A74" s="158" t="s">
        <v>312</v>
      </c>
    </row>
    <row r="75" spans="1:8">
      <c r="A75" s="158" t="s">
        <v>313</v>
      </c>
    </row>
  </sheetData>
  <mergeCells count="10">
    <mergeCell ref="C71:D71"/>
    <mergeCell ref="A1:H1"/>
    <mergeCell ref="A3:A4"/>
    <mergeCell ref="B3:B4"/>
    <mergeCell ref="C3:D3"/>
    <mergeCell ref="E3:H3"/>
    <mergeCell ref="F71:H71"/>
    <mergeCell ref="C70:D70"/>
    <mergeCell ref="F70:H70"/>
    <mergeCell ref="A19:H19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G27 G33:G35 G21 G36:G44 G52:G5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183"/>
  <sheetViews>
    <sheetView view="pageBreakPreview" zoomScale="55" zoomScaleNormal="75" zoomScaleSheetLayoutView="55" workbookViewId="0">
      <selection activeCell="A16" sqref="A16:A17"/>
    </sheetView>
  </sheetViews>
  <sheetFormatPr defaultRowHeight="18.75"/>
  <cols>
    <col min="1" max="1" width="82.28515625" style="3" customWidth="1"/>
    <col min="2" max="2" width="9.85546875" style="25" customWidth="1"/>
    <col min="3" max="3" width="22" style="25" customWidth="1"/>
    <col min="4" max="4" width="19.140625" style="25" customWidth="1"/>
    <col min="5" max="5" width="16.140625" style="25" customWidth="1"/>
    <col min="6" max="6" width="14.28515625" style="25" customWidth="1"/>
    <col min="7" max="7" width="18.42578125" style="25" customWidth="1"/>
    <col min="8" max="8" width="17.8554687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174" t="s">
        <v>140</v>
      </c>
      <c r="B1" s="174"/>
      <c r="C1" s="174"/>
      <c r="D1" s="174"/>
      <c r="E1" s="174"/>
      <c r="F1" s="174"/>
      <c r="G1" s="174"/>
      <c r="H1" s="174"/>
    </row>
    <row r="2" spans="1:15">
      <c r="A2" s="213"/>
      <c r="B2" s="213"/>
      <c r="C2" s="213"/>
      <c r="D2" s="213"/>
      <c r="E2" s="213"/>
      <c r="F2" s="213"/>
      <c r="G2" s="213"/>
      <c r="H2" s="213"/>
    </row>
    <row r="3" spans="1:15" ht="43.5" customHeight="1">
      <c r="A3" s="211" t="s">
        <v>187</v>
      </c>
      <c r="B3" s="179" t="s">
        <v>12</v>
      </c>
      <c r="C3" s="179" t="s">
        <v>151</v>
      </c>
      <c r="D3" s="179"/>
      <c r="E3" s="189" t="s">
        <v>265</v>
      </c>
      <c r="F3" s="189"/>
      <c r="G3" s="189"/>
      <c r="H3" s="189"/>
    </row>
    <row r="4" spans="1:15" ht="56.25" customHeight="1">
      <c r="A4" s="212"/>
      <c r="B4" s="179"/>
      <c r="C4" s="7" t="s">
        <v>174</v>
      </c>
      <c r="D4" s="7" t="s">
        <v>175</v>
      </c>
      <c r="E4" s="7" t="s">
        <v>176</v>
      </c>
      <c r="F4" s="7" t="s">
        <v>163</v>
      </c>
      <c r="G4" s="70" t="s">
        <v>182</v>
      </c>
      <c r="H4" s="70" t="s">
        <v>183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68</v>
      </c>
      <c r="B6" s="65">
        <v>4000</v>
      </c>
      <c r="C6" s="119">
        <f>SUM(C7:C12)</f>
        <v>45</v>
      </c>
      <c r="D6" s="119">
        <f>SUM(D7:D12)</f>
        <v>13</v>
      </c>
      <c r="E6" s="119">
        <f>SUM(E7:E12)</f>
        <v>0</v>
      </c>
      <c r="F6" s="119">
        <f>SUM(F7:F12)</f>
        <v>13</v>
      </c>
      <c r="G6" s="119">
        <f>F6-E6</f>
        <v>13</v>
      </c>
      <c r="H6" s="139" t="e">
        <f>(F6/E6)*100</f>
        <v>#DIV/0!</v>
      </c>
    </row>
    <row r="7" spans="1:15" ht="20.100000000000001" customHeight="1">
      <c r="A7" s="8" t="s">
        <v>1</v>
      </c>
      <c r="B7" s="66" t="s">
        <v>145</v>
      </c>
      <c r="C7" s="109"/>
      <c r="D7" s="109"/>
      <c r="E7" s="109"/>
      <c r="F7" s="109"/>
      <c r="G7" s="109">
        <f t="shared" ref="G7:G12" si="0">F7-E7</f>
        <v>0</v>
      </c>
      <c r="H7" s="137"/>
    </row>
    <row r="8" spans="1:15" ht="20.100000000000001" customHeight="1">
      <c r="A8" s="8" t="s">
        <v>2</v>
      </c>
      <c r="B8" s="65">
        <v>4020</v>
      </c>
      <c r="C8" s="109"/>
      <c r="D8" s="109"/>
      <c r="E8" s="109"/>
      <c r="F8" s="109"/>
      <c r="G8" s="109">
        <f t="shared" si="0"/>
        <v>0</v>
      </c>
      <c r="H8" s="137"/>
      <c r="O8" s="22"/>
    </row>
    <row r="9" spans="1:15" ht="19.5" customHeight="1">
      <c r="A9" s="8" t="s">
        <v>22</v>
      </c>
      <c r="B9" s="66">
        <v>4030</v>
      </c>
      <c r="C9" s="109">
        <v>20</v>
      </c>
      <c r="D9" s="109"/>
      <c r="E9" s="109"/>
      <c r="F9" s="109"/>
      <c r="G9" s="109">
        <f t="shared" si="0"/>
        <v>0</v>
      </c>
      <c r="H9" s="137"/>
      <c r="N9" s="22"/>
    </row>
    <row r="10" spans="1:15" ht="20.100000000000001" customHeight="1">
      <c r="A10" s="8" t="s">
        <v>3</v>
      </c>
      <c r="B10" s="65">
        <v>4040</v>
      </c>
      <c r="C10" s="109"/>
      <c r="D10" s="109"/>
      <c r="E10" s="109"/>
      <c r="F10" s="109"/>
      <c r="G10" s="109">
        <f t="shared" si="0"/>
        <v>0</v>
      </c>
      <c r="H10" s="137"/>
    </row>
    <row r="11" spans="1:15" ht="37.5">
      <c r="A11" s="8" t="s">
        <v>56</v>
      </c>
      <c r="B11" s="66">
        <v>4050</v>
      </c>
      <c r="C11" s="109">
        <v>25</v>
      </c>
      <c r="D11" s="109">
        <v>13</v>
      </c>
      <c r="E11" s="109"/>
      <c r="F11" s="109">
        <f>D11</f>
        <v>13</v>
      </c>
      <c r="G11" s="109">
        <f t="shared" si="0"/>
        <v>13</v>
      </c>
      <c r="H11" s="137" t="e">
        <f>(F11/E11)*100</f>
        <v>#DIV/0!</v>
      </c>
    </row>
    <row r="12" spans="1:15">
      <c r="A12" s="8" t="s">
        <v>227</v>
      </c>
      <c r="B12" s="66">
        <v>4060</v>
      </c>
      <c r="C12" s="109"/>
      <c r="D12" s="109"/>
      <c r="E12" s="109"/>
      <c r="F12" s="109"/>
      <c r="G12" s="109">
        <f t="shared" si="0"/>
        <v>0</v>
      </c>
      <c r="H12" s="137"/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27.75" customHeight="1">
      <c r="A16" s="58" t="s">
        <v>424</v>
      </c>
      <c r="B16" s="1"/>
      <c r="C16" s="214"/>
      <c r="D16" s="214"/>
      <c r="E16" s="77"/>
      <c r="F16" s="196" t="s">
        <v>320</v>
      </c>
      <c r="G16" s="197"/>
      <c r="H16" s="197"/>
    </row>
    <row r="17" spans="1:8" s="2" customFormat="1">
      <c r="A17" s="25" t="s">
        <v>64</v>
      </c>
      <c r="B17" s="3"/>
      <c r="C17" s="188" t="s">
        <v>65</v>
      </c>
      <c r="D17" s="188"/>
      <c r="E17" s="3"/>
      <c r="F17" s="193" t="s">
        <v>208</v>
      </c>
      <c r="G17" s="193"/>
      <c r="H17" s="193"/>
    </row>
    <row r="18" spans="1:8">
      <c r="A18" s="51"/>
    </row>
    <row r="19" spans="1:8">
      <c r="A19" s="158" t="s">
        <v>312</v>
      </c>
    </row>
    <row r="20" spans="1:8">
      <c r="A20" s="158" t="s">
        <v>313</v>
      </c>
    </row>
    <row r="21" spans="1:8">
      <c r="A21" s="51"/>
    </row>
    <row r="22" spans="1:8">
      <c r="A22" s="51"/>
    </row>
    <row r="23" spans="1:8">
      <c r="A23" s="51"/>
    </row>
    <row r="24" spans="1:8">
      <c r="A24" s="51"/>
    </row>
    <row r="25" spans="1:8">
      <c r="A25" s="51"/>
    </row>
    <row r="26" spans="1:8">
      <c r="A26" s="51"/>
    </row>
    <row r="27" spans="1:8">
      <c r="A27" s="51"/>
    </row>
    <row r="28" spans="1:8">
      <c r="A28" s="51"/>
    </row>
    <row r="29" spans="1:8">
      <c r="A29" s="51"/>
    </row>
    <row r="30" spans="1:8">
      <c r="A30" s="51"/>
    </row>
    <row r="31" spans="1:8">
      <c r="A31" s="51"/>
    </row>
    <row r="32" spans="1:8">
      <c r="A32" s="51"/>
    </row>
    <row r="33" spans="1:1">
      <c r="A33" s="51"/>
    </row>
    <row r="34" spans="1:1">
      <c r="A34" s="51"/>
    </row>
    <row r="35" spans="1:1">
      <c r="A35" s="51"/>
    </row>
    <row r="36" spans="1:1">
      <c r="A36" s="51"/>
    </row>
    <row r="37" spans="1:1">
      <c r="A37" s="51"/>
    </row>
    <row r="38" spans="1:1">
      <c r="A38" s="51"/>
    </row>
    <row r="39" spans="1:1">
      <c r="A39" s="51"/>
    </row>
    <row r="40" spans="1:1">
      <c r="A40" s="51"/>
    </row>
    <row r="41" spans="1:1">
      <c r="A41" s="51"/>
    </row>
    <row r="42" spans="1:1">
      <c r="A42" s="51"/>
    </row>
    <row r="43" spans="1:1">
      <c r="A43" s="51"/>
    </row>
    <row r="44" spans="1:1">
      <c r="A44" s="51"/>
    </row>
    <row r="45" spans="1:1">
      <c r="A45" s="51"/>
    </row>
    <row r="46" spans="1:1">
      <c r="A46" s="51"/>
    </row>
    <row r="47" spans="1:1">
      <c r="A47" s="51"/>
    </row>
    <row r="48" spans="1:1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65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 H1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31"/>
  <sheetViews>
    <sheetView view="pageBreakPreview" zoomScale="6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8" sqref="A28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/>
    <col min="11" max="11" width="27.140625" style="32" customWidth="1"/>
    <col min="12" max="16384" width="9.140625" style="32"/>
  </cols>
  <sheetData>
    <row r="1" spans="1:8" ht="19.5" customHeight="1">
      <c r="A1" s="215" t="s">
        <v>141</v>
      </c>
      <c r="B1" s="215"/>
      <c r="C1" s="215"/>
      <c r="D1" s="215"/>
      <c r="E1" s="215"/>
      <c r="F1" s="215"/>
      <c r="G1" s="215"/>
      <c r="H1" s="215"/>
    </row>
    <row r="2" spans="1:8" ht="16.5" customHeight="1"/>
    <row r="3" spans="1:8" ht="49.5" customHeight="1">
      <c r="A3" s="216" t="s">
        <v>187</v>
      </c>
      <c r="B3" s="216" t="s">
        <v>0</v>
      </c>
      <c r="C3" s="216" t="s">
        <v>79</v>
      </c>
      <c r="D3" s="179" t="s">
        <v>151</v>
      </c>
      <c r="E3" s="179"/>
      <c r="F3" s="179" t="s">
        <v>265</v>
      </c>
      <c r="G3" s="179"/>
      <c r="H3" s="216" t="s">
        <v>205</v>
      </c>
    </row>
    <row r="4" spans="1:8" ht="63" customHeight="1">
      <c r="A4" s="217"/>
      <c r="B4" s="217"/>
      <c r="C4" s="217"/>
      <c r="D4" s="7" t="s">
        <v>174</v>
      </c>
      <c r="E4" s="7" t="s">
        <v>175</v>
      </c>
      <c r="F4" s="7" t="s">
        <v>174</v>
      </c>
      <c r="G4" s="7" t="s">
        <v>175</v>
      </c>
      <c r="H4" s="217"/>
    </row>
    <row r="5" spans="1:8" s="63" customFormat="1" ht="29.2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s="63" customFormat="1" ht="24.95" customHeight="1">
      <c r="A6" s="62" t="s">
        <v>125</v>
      </c>
      <c r="B6" s="62"/>
      <c r="C6" s="42"/>
      <c r="D6" s="42"/>
      <c r="E6" s="42"/>
      <c r="F6" s="42"/>
      <c r="G6" s="42"/>
      <c r="H6" s="42"/>
    </row>
    <row r="7" spans="1:8" ht="56.25">
      <c r="A7" s="8" t="s">
        <v>293</v>
      </c>
      <c r="B7" s="7">
        <v>5000</v>
      </c>
      <c r="C7" s="105" t="s">
        <v>217</v>
      </c>
      <c r="D7" s="149">
        <f>('Осн. фін. пок.'!C36/'Осн. фін. пок.'!C34)*100</f>
        <v>8.360128617363344</v>
      </c>
      <c r="E7" s="149">
        <f>('Осн. фін. пок.'!D36/'Осн. фін. пок.'!D34)*100</f>
        <v>10.057265569076609</v>
      </c>
      <c r="F7" s="149">
        <f>('Осн. фін. пок.'!E36/'Осн. фін. пок.'!E34)*100</f>
        <v>10.840579710144928</v>
      </c>
      <c r="G7" s="149">
        <f>('Осн. фін. пок.'!F36/'Осн. фін. пок.'!F34)*100</f>
        <v>10.057265569076609</v>
      </c>
      <c r="H7" s="93"/>
    </row>
    <row r="8" spans="1:8" ht="56.25">
      <c r="A8" s="8" t="s">
        <v>294</v>
      </c>
      <c r="B8" s="7">
        <v>5010</v>
      </c>
      <c r="C8" s="105" t="s">
        <v>217</v>
      </c>
      <c r="D8" s="149">
        <f>('Осн. фін. пок.'!C41/'Осн. фін. пок.'!C34)*100</f>
        <v>0</v>
      </c>
      <c r="E8" s="149">
        <f>('Осн. фін. пок.'!D41/'Осн. фін. пок.'!D34)*100</f>
        <v>0</v>
      </c>
      <c r="F8" s="149">
        <f>('Осн. фін. пок.'!E41/'Осн. фін. пок.'!E34)*100</f>
        <v>0</v>
      </c>
      <c r="G8" s="149">
        <f>('Осн. фін. пок.'!F41/'Осн. фін. пок.'!F34)*100</f>
        <v>0</v>
      </c>
      <c r="H8" s="93"/>
    </row>
    <row r="9" spans="1:8" ht="42.75" customHeight="1">
      <c r="A9" s="31" t="s">
        <v>295</v>
      </c>
      <c r="B9" s="7">
        <v>5020</v>
      </c>
      <c r="C9" s="105" t="s">
        <v>217</v>
      </c>
      <c r="D9" s="149">
        <f>('Осн. фін. пок.'!C47/'Осн. фін. пок.'!C74)*100</f>
        <v>-0.90160742709194386</v>
      </c>
      <c r="E9" s="149">
        <f>('Осн. фін. пок.'!D47/'Осн. фін. пок.'!D74)*100</f>
        <v>-0.36706420052845617</v>
      </c>
      <c r="F9" s="149" t="e">
        <f>('Осн. фін. пок.'!E47/'Осн. фін. пок.'!E74)*100</f>
        <v>#DIV/0!</v>
      </c>
      <c r="G9" s="149" t="e">
        <f>('Осн. фін. пок.'!F47/'Осн. фін. пок.'!F74)*100</f>
        <v>#VALUE!</v>
      </c>
      <c r="H9" s="93" t="s">
        <v>218</v>
      </c>
    </row>
    <row r="10" spans="1:8" ht="42.75" customHeight="1">
      <c r="A10" s="31" t="s">
        <v>296</v>
      </c>
      <c r="B10" s="7">
        <v>5030</v>
      </c>
      <c r="C10" s="105" t="s">
        <v>217</v>
      </c>
      <c r="D10" s="149">
        <f>('Осн. фін. пок.'!C47/'Осн. фін. пок.'!C80)*100</f>
        <v>-0.92680631728264162</v>
      </c>
      <c r="E10" s="149">
        <f>('Осн. фін. пок.'!D47/'Осн. фін. пок.'!C80)*100</f>
        <v>-0.36094745194974631</v>
      </c>
      <c r="F10" s="149" t="e">
        <f>('Осн. фін. пок.'!E47/'Осн. фін. пок.'!E80)*100</f>
        <v>#DIV/0!</v>
      </c>
      <c r="G10" s="149" t="e">
        <f>('Осн. фін. пок.'!F47/'Осн. фін. пок.'!F80)*100</f>
        <v>#VALUE!</v>
      </c>
      <c r="H10" s="93"/>
    </row>
    <row r="11" spans="1:8" ht="56.25">
      <c r="A11" s="31" t="s">
        <v>297</v>
      </c>
      <c r="B11" s="7">
        <v>5040</v>
      </c>
      <c r="C11" s="105" t="s">
        <v>217</v>
      </c>
      <c r="D11" s="149">
        <f>('Осн. фін. пок.'!C47/'Осн. фін. пок.'!C34)*100</f>
        <v>-14.14576634512326</v>
      </c>
      <c r="E11" s="171">
        <f>('Осн. фін. пок.'!D47/'Осн. фін. пок.'!D34)*100</f>
        <v>-3.6793128131710611</v>
      </c>
      <c r="F11" s="149">
        <f>('Осн. фін. пок.'!E47/'Осн. фін. пок.'!E34)*100</f>
        <v>3.4782608695653493E-2</v>
      </c>
      <c r="G11" s="149">
        <f>('Осн. фін. пок.'!F47/'Осн. фін. пок.'!F34)*100</f>
        <v>-3.6793128131710611</v>
      </c>
      <c r="H11" s="93" t="s">
        <v>219</v>
      </c>
    </row>
    <row r="12" spans="1:8" ht="24.95" customHeight="1">
      <c r="A12" s="62" t="s">
        <v>127</v>
      </c>
      <c r="B12" s="7"/>
      <c r="C12" s="106"/>
      <c r="D12" s="92"/>
      <c r="E12" s="92"/>
      <c r="F12" s="92"/>
      <c r="G12" s="92"/>
      <c r="H12" s="93"/>
    </row>
    <row r="13" spans="1:8" ht="56.25">
      <c r="A13" s="93" t="s">
        <v>266</v>
      </c>
      <c r="B13" s="7">
        <v>5100</v>
      </c>
      <c r="C13" s="105"/>
      <c r="D13" s="149" t="e">
        <f>('Осн. фін. пок.'!C75+'Осн. фін. пок.'!C76)/'Осн. фін. пок.'!C41</f>
        <v>#DIV/0!</v>
      </c>
      <c r="E13" s="149" t="e">
        <f>('Осн. фін. пок.'!D75+'Осн. фін. пок.'!D76)/'Осн. фін. пок.'!D41</f>
        <v>#DIV/0!</v>
      </c>
      <c r="F13" s="149" t="e">
        <f>('Осн. фін. пок.'!E75+'Осн. фін. пок.'!E76)/'Осн. фін. пок.'!E41</f>
        <v>#DIV/0!</v>
      </c>
      <c r="G13" s="149" t="e">
        <f>('Осн. фін. пок.'!F75+'Осн. фін. пок.'!F76)/'Осн. фін. пок.'!F41</f>
        <v>#VALUE!</v>
      </c>
      <c r="H13" s="93"/>
    </row>
    <row r="14" spans="1:8" s="63" customFormat="1" ht="56.25">
      <c r="A14" s="93" t="s">
        <v>279</v>
      </c>
      <c r="B14" s="7">
        <v>5110</v>
      </c>
      <c r="C14" s="105" t="s">
        <v>122</v>
      </c>
      <c r="D14" s="149">
        <f>'Осн. фін. пок.'!C80/('Осн. фін. пок.'!C75+'Осн. фін. пок.'!C76)</f>
        <v>35.788640361899972</v>
      </c>
      <c r="E14" s="149">
        <f>'Осн. фін. пок.'!C80/('Осн. фін. пок.'!D75+'Осн. фін. пок.'!D76)</f>
        <v>120.68050847457627</v>
      </c>
      <c r="F14" s="149" t="e">
        <f>'Осн. фін. пок.'!E80/('Осн. фін. пок.'!E75+'Осн. фін. пок.'!E76)</f>
        <v>#DIV/0!</v>
      </c>
      <c r="G14" s="149" t="e">
        <f>'Осн. фін. пок.'!F80/('Осн. фін. пок.'!F75+'Осн. фін. пок.'!F76)</f>
        <v>#VALUE!</v>
      </c>
      <c r="H14" s="93" t="s">
        <v>220</v>
      </c>
    </row>
    <row r="15" spans="1:8" s="63" customFormat="1" ht="56.25">
      <c r="A15" s="93" t="s">
        <v>280</v>
      </c>
      <c r="B15" s="7">
        <v>5120</v>
      </c>
      <c r="C15" s="105" t="s">
        <v>122</v>
      </c>
      <c r="D15" s="149">
        <f>'Осн. фін. пок.'!C72/'Осн. фін. пок.'!C76</f>
        <v>2.9663231967831112</v>
      </c>
      <c r="E15" s="149">
        <f>'Осн. фін. пок.'!D72/'Осн. фін. пок.'!D76</f>
        <v>7.2457627118644066</v>
      </c>
      <c r="F15" s="149" t="e">
        <f>'Осн. фін. пок.'!E72/'Осн. фін. пок.'!E76</f>
        <v>#DIV/0!</v>
      </c>
      <c r="G15" s="149" t="e">
        <f>'Осн. фін. пок.'!F72/'Осн. фін. пок.'!F76</f>
        <v>#VALUE!</v>
      </c>
      <c r="H15" s="93" t="s">
        <v>222</v>
      </c>
    </row>
    <row r="16" spans="1:8" ht="24.95" customHeight="1">
      <c r="A16" s="62" t="s">
        <v>126</v>
      </c>
      <c r="B16" s="7"/>
      <c r="C16" s="105"/>
      <c r="D16" s="92"/>
      <c r="E16" s="92"/>
      <c r="F16" s="92"/>
      <c r="G16" s="92"/>
      <c r="H16" s="93"/>
    </row>
    <row r="17" spans="1:11" ht="42.75" customHeight="1">
      <c r="A17" s="93" t="s">
        <v>281</v>
      </c>
      <c r="B17" s="7">
        <v>5200</v>
      </c>
      <c r="C17" s="105"/>
      <c r="D17" s="149">
        <f>'Осн. фін. пок.'!C64/'I. Фін результат'!C91</f>
        <v>1.3235294117647058</v>
      </c>
      <c r="E17" s="149">
        <f>'Осн. фін. пок.'!D64/'I. Фін результат'!D91</f>
        <v>-0.57777777777777772</v>
      </c>
      <c r="F17" s="149">
        <f>'Осн. фін. пок.'!E64/'I. Фін результат'!E91</f>
        <v>0</v>
      </c>
      <c r="G17" s="149">
        <f>'Осн. фін. пок.'!F64/'I. Фін результат'!F91</f>
        <v>-0.57777777777777772</v>
      </c>
      <c r="H17" s="93"/>
    </row>
    <row r="18" spans="1:11" ht="75">
      <c r="A18" s="93" t="s">
        <v>282</v>
      </c>
      <c r="B18" s="7">
        <v>5210</v>
      </c>
      <c r="C18" s="105"/>
      <c r="D18" s="149">
        <f>'Осн. фін. пок.'!C64/'Осн. фін. пок.'!C34</f>
        <v>4.8231511254019289E-2</v>
      </c>
      <c r="E18" s="149">
        <f>'Осн. фін. пок.'!D64/'Осн. фін. пок.'!D34</f>
        <v>9.3056549749463129E-3</v>
      </c>
      <c r="F18" s="149">
        <f>'Осн. фін. пок.'!E64/'Осн. фін. пок.'!E34</f>
        <v>0</v>
      </c>
      <c r="G18" s="149">
        <f>'Осн. фін. пок.'!F64/'Осн. фін. пок.'!F34</f>
        <v>9.3056549749463129E-3</v>
      </c>
      <c r="H18" s="93"/>
    </row>
    <row r="19" spans="1:11" ht="37.5">
      <c r="A19" s="93" t="s">
        <v>283</v>
      </c>
      <c r="B19" s="7">
        <v>5220</v>
      </c>
      <c r="C19" s="105" t="s">
        <v>244</v>
      </c>
      <c r="D19" s="149"/>
      <c r="E19" s="149"/>
      <c r="F19" s="149"/>
      <c r="G19" s="149"/>
      <c r="H19" s="93" t="s">
        <v>221</v>
      </c>
    </row>
    <row r="20" spans="1:11" ht="24.95" customHeight="1">
      <c r="A20" s="62" t="s">
        <v>211</v>
      </c>
      <c r="B20" s="7"/>
      <c r="C20" s="105"/>
      <c r="D20" s="92"/>
      <c r="E20" s="92"/>
      <c r="F20" s="92"/>
      <c r="G20" s="92"/>
      <c r="H20" s="93"/>
    </row>
    <row r="21" spans="1:11" ht="75">
      <c r="A21" s="31" t="s">
        <v>224</v>
      </c>
      <c r="B21" s="7">
        <v>5300</v>
      </c>
      <c r="C21" s="105"/>
      <c r="D21" s="92"/>
      <c r="E21" s="92"/>
      <c r="F21" s="92"/>
      <c r="G21" s="92"/>
      <c r="H21" s="95"/>
    </row>
    <row r="26" spans="1:11" ht="20.25">
      <c r="K26" s="94"/>
    </row>
    <row r="27" spans="1:11" s="3" customFormat="1" ht="27.75" customHeight="1">
      <c r="A27" s="58" t="s">
        <v>424</v>
      </c>
      <c r="B27" s="1"/>
      <c r="C27" s="196"/>
      <c r="D27" s="196"/>
      <c r="E27" s="77"/>
      <c r="F27" s="196" t="s">
        <v>320</v>
      </c>
      <c r="G27" s="197"/>
      <c r="H27" s="197"/>
    </row>
    <row r="28" spans="1:11" s="2" customFormat="1" ht="18.75">
      <c r="A28" s="74" t="s">
        <v>207</v>
      </c>
      <c r="B28" s="3"/>
      <c r="C28" s="188" t="s">
        <v>65</v>
      </c>
      <c r="D28" s="188"/>
      <c r="E28" s="3"/>
      <c r="F28" s="193" t="s">
        <v>80</v>
      </c>
      <c r="G28" s="193"/>
      <c r="H28" s="193"/>
    </row>
    <row r="30" spans="1:11" ht="18.75">
      <c r="A30" s="158" t="s">
        <v>312</v>
      </c>
    </row>
    <row r="31" spans="1:11" ht="18.75">
      <c r="A31" s="158" t="s">
        <v>313</v>
      </c>
    </row>
  </sheetData>
  <mergeCells count="11">
    <mergeCell ref="H3:H4"/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F18 D9:G9 E14:G14 D11:E11 D13:G13 G18 D15:G15 F11:G11 D8:F8 G7:G8 F7 D18:E18 E10:G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92"/>
  <sheetViews>
    <sheetView view="pageBreakPreview" zoomScale="65" zoomScaleNormal="75" zoomScaleSheetLayoutView="65" workbookViewId="0">
      <selection activeCell="N48" sqref="N48:O48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80" t="s">
        <v>96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>
      <c r="A2" s="280" t="s">
        <v>421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>
      <c r="A3" s="282" t="s">
        <v>316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>
      <c r="A4" s="283" t="s">
        <v>106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24.95" customHeight="1">
      <c r="A5" s="252" t="s">
        <v>232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84" t="s">
        <v>206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1:15" ht="12.75" customHeight="1">
      <c r="B8" s="2"/>
    </row>
    <row r="9" spans="1:15" s="3" customFormat="1" ht="53.25" customHeight="1">
      <c r="A9" s="179" t="s">
        <v>187</v>
      </c>
      <c r="B9" s="179"/>
      <c r="C9" s="233" t="s">
        <v>256</v>
      </c>
      <c r="D9" s="233"/>
      <c r="E9" s="234"/>
      <c r="F9" s="232" t="s">
        <v>257</v>
      </c>
      <c r="G9" s="233"/>
      <c r="H9" s="234"/>
      <c r="I9" s="179" t="s">
        <v>258</v>
      </c>
      <c r="J9" s="179"/>
      <c r="K9" s="179"/>
      <c r="L9" s="179" t="s">
        <v>254</v>
      </c>
      <c r="M9" s="179"/>
      <c r="N9" s="232" t="s">
        <v>255</v>
      </c>
      <c r="O9" s="234"/>
    </row>
    <row r="10" spans="1:15" s="3" customFormat="1" ht="17.25" customHeight="1">
      <c r="A10" s="179">
        <v>1</v>
      </c>
      <c r="B10" s="179"/>
      <c r="C10" s="233">
        <v>2</v>
      </c>
      <c r="D10" s="233"/>
      <c r="E10" s="234"/>
      <c r="F10" s="232">
        <v>3</v>
      </c>
      <c r="G10" s="233"/>
      <c r="H10" s="234"/>
      <c r="I10" s="179">
        <v>4</v>
      </c>
      <c r="J10" s="179"/>
      <c r="K10" s="179"/>
      <c r="L10" s="232">
        <v>5</v>
      </c>
      <c r="M10" s="234"/>
      <c r="N10" s="179">
        <v>6</v>
      </c>
      <c r="O10" s="179"/>
    </row>
    <row r="11" spans="1:15" s="3" customFormat="1" ht="95.25" customHeight="1">
      <c r="A11" s="203" t="s">
        <v>263</v>
      </c>
      <c r="B11" s="203"/>
      <c r="C11" s="285">
        <f>SUM(C12:E17)</f>
        <v>45</v>
      </c>
      <c r="D11" s="286"/>
      <c r="E11" s="287"/>
      <c r="F11" s="285">
        <f>SUM(F12:H17)</f>
        <v>50</v>
      </c>
      <c r="G11" s="286"/>
      <c r="H11" s="287"/>
      <c r="I11" s="285">
        <f>SUM(I12:K17)</f>
        <v>52</v>
      </c>
      <c r="J11" s="286"/>
      <c r="K11" s="287"/>
      <c r="L11" s="267">
        <f>I11-F11</f>
        <v>2</v>
      </c>
      <c r="M11" s="267"/>
      <c r="N11" s="260">
        <f>(I11/F11)*100</f>
        <v>104</v>
      </c>
      <c r="O11" s="261"/>
    </row>
    <row r="12" spans="1:15" s="3" customFormat="1">
      <c r="A12" s="221" t="s">
        <v>400</v>
      </c>
      <c r="B12" s="221"/>
      <c r="C12" s="222">
        <v>1</v>
      </c>
      <c r="D12" s="223"/>
      <c r="E12" s="224"/>
      <c r="F12" s="218">
        <v>1</v>
      </c>
      <c r="G12" s="219"/>
      <c r="H12" s="220"/>
      <c r="I12" s="222">
        <v>1</v>
      </c>
      <c r="J12" s="223"/>
      <c r="K12" s="224"/>
      <c r="L12" s="256">
        <f t="shared" ref="L12:L29" si="0">I12-F12</f>
        <v>0</v>
      </c>
      <c r="M12" s="256"/>
      <c r="N12" s="238">
        <f t="shared" ref="N12:N29" si="1">(I12/F12)*100</f>
        <v>100</v>
      </c>
      <c r="O12" s="239"/>
    </row>
    <row r="13" spans="1:15" s="3" customFormat="1">
      <c r="A13" s="221" t="s">
        <v>401</v>
      </c>
      <c r="B13" s="221"/>
      <c r="C13" s="222">
        <v>5</v>
      </c>
      <c r="D13" s="223"/>
      <c r="E13" s="224"/>
      <c r="F13" s="218">
        <v>5</v>
      </c>
      <c r="G13" s="219"/>
      <c r="H13" s="220"/>
      <c r="I13" s="222">
        <v>5</v>
      </c>
      <c r="J13" s="223"/>
      <c r="K13" s="224"/>
      <c r="L13" s="256">
        <f t="shared" si="0"/>
        <v>0</v>
      </c>
      <c r="M13" s="256"/>
      <c r="N13" s="238">
        <f t="shared" si="1"/>
        <v>100</v>
      </c>
      <c r="O13" s="239"/>
    </row>
    <row r="14" spans="1:15" s="3" customFormat="1">
      <c r="A14" s="221" t="s">
        <v>418</v>
      </c>
      <c r="B14" s="221"/>
      <c r="C14" s="222">
        <v>1</v>
      </c>
      <c r="D14" s="223"/>
      <c r="E14" s="224"/>
      <c r="F14" s="218">
        <v>3</v>
      </c>
      <c r="G14" s="219"/>
      <c r="H14" s="220"/>
      <c r="I14" s="222">
        <v>4</v>
      </c>
      <c r="J14" s="223"/>
      <c r="K14" s="224"/>
      <c r="L14" s="256">
        <f t="shared" si="0"/>
        <v>1</v>
      </c>
      <c r="M14" s="256"/>
      <c r="N14" s="238">
        <f t="shared" si="1"/>
        <v>133.33333333333331</v>
      </c>
      <c r="O14" s="239"/>
    </row>
    <row r="15" spans="1:15" s="3" customFormat="1">
      <c r="A15" s="235" t="s">
        <v>402</v>
      </c>
      <c r="B15" s="177"/>
      <c r="C15" s="218">
        <v>4</v>
      </c>
      <c r="D15" s="219"/>
      <c r="E15" s="220"/>
      <c r="F15" s="218">
        <v>2</v>
      </c>
      <c r="G15" s="219"/>
      <c r="H15" s="220"/>
      <c r="I15" s="218">
        <v>3</v>
      </c>
      <c r="J15" s="219"/>
      <c r="K15" s="220"/>
      <c r="L15" s="218"/>
      <c r="M15" s="220"/>
      <c r="N15" s="291"/>
      <c r="O15" s="292"/>
    </row>
    <row r="16" spans="1:15" s="3" customFormat="1">
      <c r="A16" s="235" t="s">
        <v>403</v>
      </c>
      <c r="B16" s="177"/>
      <c r="C16" s="218">
        <v>33</v>
      </c>
      <c r="D16" s="219"/>
      <c r="E16" s="220"/>
      <c r="F16" s="218">
        <v>37</v>
      </c>
      <c r="G16" s="219"/>
      <c r="H16" s="220"/>
      <c r="I16" s="218">
        <v>37</v>
      </c>
      <c r="J16" s="219"/>
      <c r="K16" s="220"/>
      <c r="L16" s="218"/>
      <c r="M16" s="220"/>
      <c r="N16" s="291"/>
      <c r="O16" s="292"/>
    </row>
    <row r="17" spans="1:15" s="3" customFormat="1">
      <c r="A17" s="235" t="s">
        <v>404</v>
      </c>
      <c r="B17" s="177"/>
      <c r="C17" s="218">
        <v>1</v>
      </c>
      <c r="D17" s="219"/>
      <c r="E17" s="220"/>
      <c r="F17" s="218">
        <v>2</v>
      </c>
      <c r="G17" s="219"/>
      <c r="H17" s="220"/>
      <c r="I17" s="218">
        <v>2</v>
      </c>
      <c r="J17" s="219"/>
      <c r="K17" s="220"/>
      <c r="L17" s="218"/>
      <c r="M17" s="220"/>
      <c r="N17" s="291"/>
      <c r="O17" s="292"/>
    </row>
    <row r="18" spans="1:15" s="3" customFormat="1" ht="37.5" customHeight="1">
      <c r="A18" s="203" t="s">
        <v>284</v>
      </c>
      <c r="B18" s="203"/>
      <c r="C18" s="288">
        <f>SUM(C19:C21)</f>
        <v>567</v>
      </c>
      <c r="D18" s="289"/>
      <c r="E18" s="290"/>
      <c r="F18" s="288">
        <f>SUM(F19:F21)</f>
        <v>769</v>
      </c>
      <c r="G18" s="289"/>
      <c r="H18" s="290"/>
      <c r="I18" s="285">
        <f>SUM(I19:I21)</f>
        <v>782.80000000000007</v>
      </c>
      <c r="J18" s="286"/>
      <c r="K18" s="287"/>
      <c r="L18" s="267">
        <f t="shared" si="0"/>
        <v>13.800000000000068</v>
      </c>
      <c r="M18" s="267"/>
      <c r="N18" s="260">
        <f t="shared" si="1"/>
        <v>101.79453836150847</v>
      </c>
      <c r="O18" s="261"/>
    </row>
    <row r="19" spans="1:15" s="3" customFormat="1">
      <c r="A19" s="221" t="s">
        <v>191</v>
      </c>
      <c r="B19" s="221"/>
      <c r="C19" s="218">
        <v>25</v>
      </c>
      <c r="D19" s="219"/>
      <c r="E19" s="220"/>
      <c r="F19" s="218">
        <v>26</v>
      </c>
      <c r="G19" s="219"/>
      <c r="H19" s="220"/>
      <c r="I19" s="222">
        <v>25.2</v>
      </c>
      <c r="J19" s="223"/>
      <c r="K19" s="224"/>
      <c r="L19" s="256">
        <f t="shared" si="0"/>
        <v>-0.80000000000000071</v>
      </c>
      <c r="M19" s="256"/>
      <c r="N19" s="238">
        <f t="shared" si="1"/>
        <v>96.92307692307692</v>
      </c>
      <c r="O19" s="239"/>
    </row>
    <row r="20" spans="1:15" s="3" customFormat="1">
      <c r="A20" s="221" t="s">
        <v>190</v>
      </c>
      <c r="B20" s="221"/>
      <c r="C20" s="218">
        <v>86</v>
      </c>
      <c r="D20" s="219"/>
      <c r="E20" s="220"/>
      <c r="F20" s="218">
        <v>96</v>
      </c>
      <c r="G20" s="219"/>
      <c r="H20" s="220"/>
      <c r="I20" s="222">
        <v>130.4</v>
      </c>
      <c r="J20" s="223"/>
      <c r="K20" s="224"/>
      <c r="L20" s="256">
        <f t="shared" si="0"/>
        <v>34.400000000000006</v>
      </c>
      <c r="M20" s="256"/>
      <c r="N20" s="238">
        <f t="shared" si="1"/>
        <v>135.83333333333334</v>
      </c>
      <c r="O20" s="239"/>
    </row>
    <row r="21" spans="1:15" s="3" customFormat="1">
      <c r="A21" s="221" t="s">
        <v>192</v>
      </c>
      <c r="B21" s="221"/>
      <c r="C21" s="218">
        <v>456</v>
      </c>
      <c r="D21" s="219"/>
      <c r="E21" s="220"/>
      <c r="F21" s="218">
        <v>647</v>
      </c>
      <c r="G21" s="219"/>
      <c r="H21" s="220"/>
      <c r="I21" s="222">
        <v>627.20000000000005</v>
      </c>
      <c r="J21" s="223"/>
      <c r="K21" s="224"/>
      <c r="L21" s="256">
        <f t="shared" si="0"/>
        <v>-19.799999999999955</v>
      </c>
      <c r="M21" s="256"/>
      <c r="N21" s="238">
        <f t="shared" si="1"/>
        <v>96.939721792890268</v>
      </c>
      <c r="O21" s="239"/>
    </row>
    <row r="22" spans="1:15" s="3" customFormat="1" ht="36" customHeight="1">
      <c r="A22" s="203" t="s">
        <v>285</v>
      </c>
      <c r="B22" s="203"/>
      <c r="C22" s="288">
        <f>'I. Фін результат'!C89</f>
        <v>573.9</v>
      </c>
      <c r="D22" s="289"/>
      <c r="E22" s="290"/>
      <c r="F22" s="288">
        <f>'I. Фін результат'!E89</f>
        <v>-773.1</v>
      </c>
      <c r="G22" s="289"/>
      <c r="H22" s="290"/>
      <c r="I22" s="288">
        <f>'I. Фін результат'!F89</f>
        <v>-789.30000000000007</v>
      </c>
      <c r="J22" s="289"/>
      <c r="K22" s="290"/>
      <c r="L22" s="267">
        <f t="shared" si="0"/>
        <v>-16.200000000000045</v>
      </c>
      <c r="M22" s="267"/>
      <c r="N22" s="260">
        <f t="shared" si="1"/>
        <v>102.0954598370198</v>
      </c>
      <c r="O22" s="261"/>
    </row>
    <row r="23" spans="1:15" s="3" customFormat="1">
      <c r="A23" s="221" t="s">
        <v>191</v>
      </c>
      <c r="B23" s="221"/>
      <c r="C23" s="218">
        <v>25</v>
      </c>
      <c r="D23" s="219"/>
      <c r="E23" s="220"/>
      <c r="F23" s="218">
        <v>26</v>
      </c>
      <c r="G23" s="219"/>
      <c r="H23" s="220"/>
      <c r="I23" s="222">
        <v>25.2</v>
      </c>
      <c r="J23" s="223"/>
      <c r="K23" s="224"/>
      <c r="L23" s="256">
        <f t="shared" si="0"/>
        <v>-0.80000000000000071</v>
      </c>
      <c r="M23" s="256"/>
      <c r="N23" s="238">
        <f t="shared" si="1"/>
        <v>96.92307692307692</v>
      </c>
      <c r="O23" s="239"/>
    </row>
    <row r="24" spans="1:15" s="3" customFormat="1">
      <c r="A24" s="221" t="s">
        <v>190</v>
      </c>
      <c r="B24" s="221"/>
      <c r="C24" s="218">
        <v>87</v>
      </c>
      <c r="D24" s="219"/>
      <c r="E24" s="220"/>
      <c r="F24" s="218">
        <v>98.7</v>
      </c>
      <c r="G24" s="219"/>
      <c r="H24" s="220"/>
      <c r="I24" s="222">
        <v>131.1</v>
      </c>
      <c r="J24" s="223"/>
      <c r="K24" s="224"/>
      <c r="L24" s="256">
        <f t="shared" si="0"/>
        <v>32.399999999999991</v>
      </c>
      <c r="M24" s="256"/>
      <c r="N24" s="238">
        <f t="shared" si="1"/>
        <v>132.82674772036472</v>
      </c>
      <c r="O24" s="239"/>
    </row>
    <row r="25" spans="1:15" s="3" customFormat="1">
      <c r="A25" s="221" t="s">
        <v>192</v>
      </c>
      <c r="B25" s="221"/>
      <c r="C25" s="218">
        <v>462</v>
      </c>
      <c r="D25" s="219"/>
      <c r="E25" s="220"/>
      <c r="F25" s="218">
        <v>648</v>
      </c>
      <c r="G25" s="219"/>
      <c r="H25" s="220"/>
      <c r="I25" s="222">
        <v>633</v>
      </c>
      <c r="J25" s="223"/>
      <c r="K25" s="224"/>
      <c r="L25" s="256">
        <f t="shared" si="0"/>
        <v>-15</v>
      </c>
      <c r="M25" s="256"/>
      <c r="N25" s="238">
        <f t="shared" si="1"/>
        <v>97.68518518518519</v>
      </c>
      <c r="O25" s="239"/>
    </row>
    <row r="26" spans="1:15" s="3" customFormat="1" ht="56.25" customHeight="1">
      <c r="A26" s="203" t="s">
        <v>286</v>
      </c>
      <c r="B26" s="203"/>
      <c r="C26" s="240">
        <f>(C22/C11)/3*1000</f>
        <v>4251.1111111111104</v>
      </c>
      <c r="D26" s="241"/>
      <c r="E26" s="242"/>
      <c r="F26" s="240">
        <f>(F22/F11)/3*1000</f>
        <v>-5154</v>
      </c>
      <c r="G26" s="241"/>
      <c r="H26" s="242"/>
      <c r="I26" s="253">
        <f>(I22/I11)/3*1000</f>
        <v>-5059.6153846153848</v>
      </c>
      <c r="J26" s="254"/>
      <c r="K26" s="255"/>
      <c r="L26" s="267">
        <f t="shared" si="0"/>
        <v>94.384615384615245</v>
      </c>
      <c r="M26" s="267"/>
      <c r="N26" s="260">
        <f t="shared" si="1"/>
        <v>98.168711381749802</v>
      </c>
      <c r="O26" s="261"/>
    </row>
    <row r="27" spans="1:15" s="3" customFormat="1">
      <c r="A27" s="221" t="s">
        <v>191</v>
      </c>
      <c r="B27" s="221"/>
      <c r="C27" s="243">
        <f>(C23/C12)/3*1000</f>
        <v>8333.3333333333339</v>
      </c>
      <c r="D27" s="244"/>
      <c r="E27" s="245"/>
      <c r="F27" s="243">
        <f>(F23/F12)/3*1000</f>
        <v>8666.6666666666661</v>
      </c>
      <c r="G27" s="244"/>
      <c r="H27" s="245"/>
      <c r="I27" s="257">
        <f>(I23/I12)/3*1000</f>
        <v>8400</v>
      </c>
      <c r="J27" s="258"/>
      <c r="K27" s="259"/>
      <c r="L27" s="256">
        <f t="shared" si="0"/>
        <v>-266.66666666666606</v>
      </c>
      <c r="M27" s="256"/>
      <c r="N27" s="238">
        <f t="shared" si="1"/>
        <v>96.923076923076934</v>
      </c>
      <c r="O27" s="239"/>
    </row>
    <row r="28" spans="1:15" s="3" customFormat="1">
      <c r="A28" s="221" t="s">
        <v>190</v>
      </c>
      <c r="B28" s="221"/>
      <c r="C28" s="243">
        <f>(C24/(C13+C14))/3*1000</f>
        <v>4833.333333333333</v>
      </c>
      <c r="D28" s="244"/>
      <c r="E28" s="245"/>
      <c r="F28" s="257">
        <f>(F24/(F13+F14)/3*1000)</f>
        <v>4112.5</v>
      </c>
      <c r="G28" s="258"/>
      <c r="H28" s="259"/>
      <c r="I28" s="243">
        <f>(I24/(I13+I14)/3*1000)</f>
        <v>4855.5555555555547</v>
      </c>
      <c r="J28" s="244"/>
      <c r="K28" s="245"/>
      <c r="L28" s="256">
        <f t="shared" si="0"/>
        <v>743.05555555555475</v>
      </c>
      <c r="M28" s="256"/>
      <c r="N28" s="238">
        <f t="shared" si="1"/>
        <v>118.06822019587975</v>
      </c>
      <c r="O28" s="239"/>
    </row>
    <row r="29" spans="1:15" s="3" customFormat="1">
      <c r="A29" s="221" t="s">
        <v>192</v>
      </c>
      <c r="B29" s="221"/>
      <c r="C29" s="243">
        <f>(C25/C16)/3*1000</f>
        <v>4666.666666666667</v>
      </c>
      <c r="D29" s="244"/>
      <c r="E29" s="245"/>
      <c r="F29" s="257">
        <f>(F25/(F15+F16+F17))/3*1000</f>
        <v>5268.2926829268299</v>
      </c>
      <c r="G29" s="258"/>
      <c r="H29" s="259"/>
      <c r="I29" s="243">
        <f>(I25/(I15+I16+I17))/3*1000</f>
        <v>5023.8095238095239</v>
      </c>
      <c r="J29" s="244"/>
      <c r="K29" s="245"/>
      <c r="L29" s="256">
        <f t="shared" si="0"/>
        <v>-244.48315911730606</v>
      </c>
      <c r="M29" s="256"/>
      <c r="N29" s="238">
        <f t="shared" si="1"/>
        <v>95.359347442680757</v>
      </c>
      <c r="O29" s="239"/>
    </row>
    <row r="30" spans="1:15" s="3" customFormat="1" ht="13.5" customHeight="1">
      <c r="A30" s="28"/>
      <c r="B30" s="28"/>
      <c r="C30" s="2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4"/>
      <c r="O30" s="104"/>
    </row>
    <row r="31" spans="1:15">
      <c r="A31" s="266" t="s">
        <v>287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</row>
    <row r="32" spans="1:15" ht="11.2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15" ht="30.75" customHeight="1">
      <c r="A33" s="252" t="s">
        <v>193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</row>
    <row r="34" spans="1:15" ht="12.75" customHeight="1"/>
    <row r="35" spans="1:15" ht="24.95" customHeight="1">
      <c r="A35" s="38" t="s">
        <v>107</v>
      </c>
      <c r="B35" s="274" t="s">
        <v>212</v>
      </c>
      <c r="C35" s="279"/>
      <c r="D35" s="279"/>
      <c r="E35" s="279"/>
      <c r="F35" s="175" t="s">
        <v>71</v>
      </c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17.25" customHeight="1">
      <c r="A36" s="38">
        <v>1</v>
      </c>
      <c r="B36" s="274">
        <v>2</v>
      </c>
      <c r="C36" s="279"/>
      <c r="D36" s="279"/>
      <c r="E36" s="279"/>
      <c r="F36" s="175">
        <v>3</v>
      </c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15" ht="20.100000000000001" customHeight="1">
      <c r="A37" s="96" t="s">
        <v>307</v>
      </c>
      <c r="B37" s="225" t="s">
        <v>307</v>
      </c>
      <c r="C37" s="281"/>
      <c r="D37" s="281"/>
      <c r="E37" s="281"/>
      <c r="F37" s="277" t="s">
        <v>307</v>
      </c>
      <c r="G37" s="277"/>
      <c r="H37" s="277"/>
      <c r="I37" s="277"/>
      <c r="J37" s="277"/>
      <c r="K37" s="277"/>
      <c r="L37" s="277"/>
      <c r="M37" s="277"/>
      <c r="N37" s="277"/>
      <c r="O37" s="277"/>
    </row>
    <row r="38" spans="1:15" ht="20.100000000000001" customHeight="1">
      <c r="A38" s="96" t="s">
        <v>307</v>
      </c>
      <c r="B38" s="225" t="s">
        <v>307</v>
      </c>
      <c r="C38" s="281"/>
      <c r="D38" s="281"/>
      <c r="E38" s="281"/>
      <c r="F38" s="277" t="s">
        <v>307</v>
      </c>
      <c r="G38" s="277"/>
      <c r="H38" s="277"/>
      <c r="I38" s="277"/>
      <c r="J38" s="277"/>
      <c r="K38" s="277"/>
      <c r="L38" s="277"/>
      <c r="M38" s="277"/>
      <c r="N38" s="277"/>
      <c r="O38" s="277"/>
    </row>
    <row r="39" spans="1:15" ht="20.100000000000001" customHeight="1">
      <c r="A39" s="96" t="s">
        <v>307</v>
      </c>
      <c r="B39" s="225" t="s">
        <v>307</v>
      </c>
      <c r="C39" s="281"/>
      <c r="D39" s="281"/>
      <c r="E39" s="281"/>
      <c r="F39" s="277" t="s">
        <v>309</v>
      </c>
      <c r="G39" s="277"/>
      <c r="H39" s="277"/>
      <c r="I39" s="277"/>
      <c r="J39" s="277"/>
      <c r="K39" s="277"/>
      <c r="L39" s="277"/>
      <c r="M39" s="277"/>
      <c r="N39" s="277"/>
      <c r="O39" s="277"/>
    </row>
    <row r="40" spans="1:15" ht="20.100000000000001" customHeight="1">
      <c r="A40" s="96" t="s">
        <v>307</v>
      </c>
      <c r="B40" s="225" t="s">
        <v>307</v>
      </c>
      <c r="C40" s="281"/>
      <c r="D40" s="281"/>
      <c r="E40" s="281"/>
      <c r="F40" s="277" t="s">
        <v>307</v>
      </c>
      <c r="G40" s="277"/>
      <c r="H40" s="277"/>
      <c r="I40" s="277"/>
      <c r="J40" s="277"/>
      <c r="K40" s="277"/>
      <c r="L40" s="277"/>
      <c r="M40" s="277"/>
      <c r="N40" s="277"/>
      <c r="O40" s="277"/>
    </row>
    <row r="41" spans="1:15" ht="20.100000000000001" customHeight="1">
      <c r="A41" s="96" t="s">
        <v>307</v>
      </c>
      <c r="B41" s="225" t="s">
        <v>307</v>
      </c>
      <c r="C41" s="281"/>
      <c r="D41" s="281"/>
      <c r="E41" s="281"/>
      <c r="F41" s="277" t="s">
        <v>307</v>
      </c>
      <c r="G41" s="277"/>
      <c r="H41" s="277"/>
      <c r="I41" s="277"/>
      <c r="J41" s="277"/>
      <c r="K41" s="277"/>
      <c r="L41" s="277"/>
      <c r="M41" s="277"/>
      <c r="N41" s="277"/>
      <c r="O41" s="277"/>
    </row>
    <row r="42" spans="1:15" ht="20.100000000000001" customHeight="1">
      <c r="A42" s="96"/>
      <c r="B42" s="225"/>
      <c r="C42" s="281"/>
      <c r="D42" s="281"/>
      <c r="E42" s="281"/>
      <c r="F42" s="277" t="s">
        <v>307</v>
      </c>
      <c r="G42" s="277"/>
      <c r="H42" s="277"/>
      <c r="I42" s="277"/>
      <c r="J42" s="277"/>
      <c r="K42" s="277"/>
      <c r="L42" s="277"/>
      <c r="M42" s="277"/>
      <c r="N42" s="277"/>
      <c r="O42" s="277"/>
    </row>
    <row r="43" spans="1:15">
      <c r="A43" s="252" t="s">
        <v>165</v>
      </c>
      <c r="B43" s="252"/>
      <c r="C43" s="252"/>
      <c r="D43" s="252"/>
      <c r="E43" s="252"/>
      <c r="F43" s="252"/>
      <c r="G43" s="252"/>
      <c r="H43" s="252"/>
      <c r="I43" s="252"/>
      <c r="J43" s="252"/>
    </row>
    <row r="44" spans="1:15">
      <c r="A44" s="20"/>
    </row>
    <row r="45" spans="1:15" ht="52.5" customHeight="1">
      <c r="A45" s="246" t="s">
        <v>231</v>
      </c>
      <c r="B45" s="247"/>
      <c r="C45" s="248"/>
      <c r="D45" s="179" t="s">
        <v>157</v>
      </c>
      <c r="E45" s="179"/>
      <c r="F45" s="179"/>
      <c r="G45" s="179" t="s">
        <v>152</v>
      </c>
      <c r="H45" s="179"/>
      <c r="I45" s="179"/>
      <c r="J45" s="179" t="s">
        <v>188</v>
      </c>
      <c r="K45" s="179"/>
      <c r="L45" s="179"/>
      <c r="M45" s="232" t="s">
        <v>189</v>
      </c>
      <c r="N45" s="233"/>
      <c r="O45" s="234"/>
    </row>
    <row r="46" spans="1:15" ht="155.25" customHeight="1">
      <c r="A46" s="249"/>
      <c r="B46" s="250"/>
      <c r="C46" s="251"/>
      <c r="D46" s="7" t="s">
        <v>288</v>
      </c>
      <c r="E46" s="7" t="s">
        <v>204</v>
      </c>
      <c r="F46" s="7" t="s">
        <v>289</v>
      </c>
      <c r="G46" s="7" t="s">
        <v>288</v>
      </c>
      <c r="H46" s="7" t="s">
        <v>204</v>
      </c>
      <c r="I46" s="7" t="s">
        <v>289</v>
      </c>
      <c r="J46" s="7" t="s">
        <v>288</v>
      </c>
      <c r="K46" s="7" t="s">
        <v>204</v>
      </c>
      <c r="L46" s="7" t="s">
        <v>289</v>
      </c>
      <c r="M46" s="112" t="s">
        <v>158</v>
      </c>
      <c r="N46" s="112" t="s">
        <v>159</v>
      </c>
      <c r="O46" s="112" t="s">
        <v>226</v>
      </c>
    </row>
    <row r="47" spans="1:15">
      <c r="A47" s="232">
        <v>1</v>
      </c>
      <c r="B47" s="233"/>
      <c r="C47" s="234"/>
      <c r="D47" s="7">
        <v>2</v>
      </c>
      <c r="E47" s="7">
        <v>3</v>
      </c>
      <c r="F47" s="7">
        <v>4</v>
      </c>
      <c r="G47" s="7">
        <v>5</v>
      </c>
      <c r="H47" s="6">
        <v>6</v>
      </c>
      <c r="I47" s="6">
        <v>7</v>
      </c>
      <c r="J47" s="6">
        <v>8</v>
      </c>
      <c r="K47" s="6">
        <v>9</v>
      </c>
      <c r="L47" s="6">
        <v>10</v>
      </c>
      <c r="M47" s="6">
        <v>11</v>
      </c>
      <c r="N47" s="6">
        <v>12</v>
      </c>
      <c r="O47" s="6">
        <v>13</v>
      </c>
    </row>
    <row r="48" spans="1:15">
      <c r="A48" s="232" t="s">
        <v>306</v>
      </c>
      <c r="B48" s="233"/>
      <c r="C48" s="234"/>
      <c r="D48" s="120">
        <v>1725</v>
      </c>
      <c r="E48" s="110" t="s">
        <v>307</v>
      </c>
      <c r="F48" s="111" t="s">
        <v>307</v>
      </c>
      <c r="G48" s="120">
        <v>1397</v>
      </c>
      <c r="H48" s="110" t="s">
        <v>307</v>
      </c>
      <c r="I48" s="111" t="s">
        <v>307</v>
      </c>
      <c r="J48" s="110">
        <f>G48-D48</f>
        <v>-328</v>
      </c>
      <c r="K48" s="110"/>
      <c r="L48" s="111"/>
      <c r="M48" s="135">
        <f>(G48/D48)*100</f>
        <v>80.985507246376812</v>
      </c>
      <c r="N48" s="110"/>
      <c r="O48" s="111"/>
    </row>
    <row r="49" spans="1:15">
      <c r="A49" s="232"/>
      <c r="B49" s="233"/>
      <c r="C49" s="234"/>
      <c r="D49" s="110" t="s">
        <v>307</v>
      </c>
      <c r="E49" s="110" t="s">
        <v>307</v>
      </c>
      <c r="F49" s="111" t="s">
        <v>307</v>
      </c>
      <c r="G49" s="110" t="s">
        <v>307</v>
      </c>
      <c r="H49" s="110" t="s">
        <v>307</v>
      </c>
      <c r="I49" s="111" t="s">
        <v>307</v>
      </c>
      <c r="J49" s="110"/>
      <c r="K49" s="110"/>
      <c r="L49" s="111"/>
      <c r="M49" s="135"/>
      <c r="N49" s="110"/>
      <c r="O49" s="111"/>
    </row>
    <row r="50" spans="1:15" ht="20.100000000000001" customHeight="1">
      <c r="A50" s="235"/>
      <c r="B50" s="176"/>
      <c r="C50" s="177"/>
      <c r="D50" s="110" t="s">
        <v>307</v>
      </c>
      <c r="E50" s="110" t="s">
        <v>307</v>
      </c>
      <c r="F50" s="111" t="s">
        <v>307</v>
      </c>
      <c r="G50" s="110" t="s">
        <v>307</v>
      </c>
      <c r="H50" s="110" t="s">
        <v>307</v>
      </c>
      <c r="I50" s="111" t="s">
        <v>307</v>
      </c>
      <c r="J50" s="110"/>
      <c r="K50" s="110"/>
      <c r="L50" s="111"/>
      <c r="M50" s="135"/>
      <c r="N50" s="110"/>
      <c r="O50" s="111"/>
    </row>
    <row r="51" spans="1:15" ht="20.100000000000001" customHeight="1">
      <c r="A51" s="235"/>
      <c r="B51" s="176"/>
      <c r="C51" s="177"/>
      <c r="D51" s="110"/>
      <c r="E51" s="110"/>
      <c r="F51" s="111"/>
      <c r="G51" s="110"/>
      <c r="H51" s="110"/>
      <c r="I51" s="111"/>
      <c r="J51" s="110">
        <f>G51-D51</f>
        <v>0</v>
      </c>
      <c r="K51" s="110">
        <f>H51-E51</f>
        <v>0</v>
      </c>
      <c r="L51" s="111">
        <f>I51-F51</f>
        <v>0</v>
      </c>
      <c r="M51" s="135"/>
      <c r="N51" s="110"/>
      <c r="O51" s="111"/>
    </row>
    <row r="52" spans="1:15" ht="24.95" customHeight="1">
      <c r="A52" s="229" t="s">
        <v>45</v>
      </c>
      <c r="B52" s="230"/>
      <c r="C52" s="231"/>
      <c r="D52" s="133">
        <f>SUM(D48:D51)</f>
        <v>1725</v>
      </c>
      <c r="E52" s="133"/>
      <c r="F52" s="134"/>
      <c r="G52" s="133">
        <f>SUM(G48:G51)</f>
        <v>1397</v>
      </c>
      <c r="H52" s="133"/>
      <c r="I52" s="134"/>
      <c r="J52" s="133"/>
      <c r="K52" s="133"/>
      <c r="L52" s="134"/>
      <c r="M52" s="136"/>
      <c r="N52" s="133"/>
      <c r="O52" s="134"/>
    </row>
    <row r="53" spans="1:15">
      <c r="A53" s="22"/>
      <c r="B53" s="23"/>
      <c r="C53" s="23"/>
      <c r="D53" s="23"/>
      <c r="E53" s="23"/>
      <c r="F53" s="13"/>
      <c r="G53" s="13"/>
      <c r="H53" s="13"/>
      <c r="I53" s="5"/>
      <c r="J53" s="5"/>
      <c r="K53" s="5"/>
      <c r="L53" s="5"/>
      <c r="M53" s="5"/>
      <c r="N53" s="5"/>
      <c r="O53" s="5"/>
    </row>
    <row r="54" spans="1:15">
      <c r="A54" s="252" t="s">
        <v>61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</row>
    <row r="55" spans="1:15">
      <c r="A55" s="20"/>
    </row>
    <row r="56" spans="1:15" ht="56.25" customHeight="1">
      <c r="A56" s="7" t="s">
        <v>98</v>
      </c>
      <c r="B56" s="179" t="s">
        <v>60</v>
      </c>
      <c r="C56" s="179"/>
      <c r="D56" s="179" t="s">
        <v>54</v>
      </c>
      <c r="E56" s="179"/>
      <c r="F56" s="179" t="s">
        <v>55</v>
      </c>
      <c r="G56" s="179"/>
      <c r="H56" s="179" t="s">
        <v>74</v>
      </c>
      <c r="I56" s="179"/>
      <c r="J56" s="179"/>
      <c r="K56" s="232" t="s">
        <v>72</v>
      </c>
      <c r="L56" s="234"/>
      <c r="M56" s="232" t="s">
        <v>24</v>
      </c>
      <c r="N56" s="233"/>
      <c r="O56" s="234"/>
    </row>
    <row r="57" spans="1:15">
      <c r="A57" s="6">
        <v>1</v>
      </c>
      <c r="B57" s="175">
        <v>2</v>
      </c>
      <c r="C57" s="175"/>
      <c r="D57" s="175">
        <v>3</v>
      </c>
      <c r="E57" s="175"/>
      <c r="F57" s="175">
        <v>4</v>
      </c>
      <c r="G57" s="175"/>
      <c r="H57" s="175">
        <v>5</v>
      </c>
      <c r="I57" s="175"/>
      <c r="J57" s="175"/>
      <c r="K57" s="175">
        <v>6</v>
      </c>
      <c r="L57" s="175"/>
      <c r="M57" s="274">
        <v>7</v>
      </c>
      <c r="N57" s="279"/>
      <c r="O57" s="275"/>
    </row>
    <row r="58" spans="1:15">
      <c r="A58" s="155" t="s">
        <v>307</v>
      </c>
      <c r="B58" s="277" t="s">
        <v>307</v>
      </c>
      <c r="C58" s="277"/>
      <c r="D58" s="276" t="s">
        <v>307</v>
      </c>
      <c r="E58" s="276"/>
      <c r="F58" s="265" t="s">
        <v>307</v>
      </c>
      <c r="G58" s="265"/>
      <c r="H58" s="278" t="s">
        <v>307</v>
      </c>
      <c r="I58" s="278"/>
      <c r="J58" s="278"/>
      <c r="K58" s="218" t="s">
        <v>307</v>
      </c>
      <c r="L58" s="220"/>
      <c r="M58" s="276"/>
      <c r="N58" s="276"/>
      <c r="O58" s="276"/>
    </row>
    <row r="59" spans="1:15">
      <c r="A59" s="155" t="s">
        <v>307</v>
      </c>
      <c r="B59" s="225" t="s">
        <v>307</v>
      </c>
      <c r="C59" s="226"/>
      <c r="D59" s="227" t="s">
        <v>307</v>
      </c>
      <c r="E59" s="228"/>
      <c r="F59" s="236" t="s">
        <v>307</v>
      </c>
      <c r="G59" s="237"/>
      <c r="H59" s="262" t="s">
        <v>307</v>
      </c>
      <c r="I59" s="263"/>
      <c r="J59" s="264"/>
      <c r="K59" s="218" t="s">
        <v>307</v>
      </c>
      <c r="L59" s="220"/>
      <c r="M59" s="227"/>
      <c r="N59" s="273"/>
      <c r="O59" s="228"/>
    </row>
    <row r="60" spans="1:15">
      <c r="A60" s="155" t="s">
        <v>307</v>
      </c>
      <c r="B60" s="225"/>
      <c r="C60" s="226"/>
      <c r="D60" s="227" t="s">
        <v>307</v>
      </c>
      <c r="E60" s="228"/>
      <c r="F60" s="236" t="s">
        <v>307</v>
      </c>
      <c r="G60" s="237"/>
      <c r="H60" s="262"/>
      <c r="I60" s="263"/>
      <c r="J60" s="264"/>
      <c r="K60" s="218"/>
      <c r="L60" s="220"/>
      <c r="M60" s="227"/>
      <c r="N60" s="273"/>
      <c r="O60" s="228"/>
    </row>
    <row r="61" spans="1:15">
      <c r="A61" s="155" t="s">
        <v>307</v>
      </c>
      <c r="B61" s="277"/>
      <c r="C61" s="277"/>
      <c r="D61" s="276"/>
      <c r="E61" s="276"/>
      <c r="F61" s="265"/>
      <c r="G61" s="265"/>
      <c r="H61" s="278"/>
      <c r="I61" s="278"/>
      <c r="J61" s="278"/>
      <c r="K61" s="218"/>
      <c r="L61" s="220"/>
      <c r="M61" s="276"/>
      <c r="N61" s="276"/>
      <c r="O61" s="276"/>
    </row>
    <row r="62" spans="1:15">
      <c r="A62" s="114" t="s">
        <v>45</v>
      </c>
      <c r="B62" s="269" t="s">
        <v>25</v>
      </c>
      <c r="C62" s="269"/>
      <c r="D62" s="269" t="s">
        <v>25</v>
      </c>
      <c r="E62" s="269"/>
      <c r="F62" s="269" t="s">
        <v>25</v>
      </c>
      <c r="G62" s="269"/>
      <c r="H62" s="272"/>
      <c r="I62" s="272"/>
      <c r="J62" s="272"/>
      <c r="K62" s="270">
        <f>SUM(K58:L61)</f>
        <v>0</v>
      </c>
      <c r="L62" s="271"/>
      <c r="M62" s="268"/>
      <c r="N62" s="268"/>
      <c r="O62" s="268"/>
    </row>
    <row r="63" spans="1:15">
      <c r="A63" s="13"/>
      <c r="B63" s="25"/>
      <c r="C63" s="25"/>
      <c r="D63" s="25"/>
      <c r="E63" s="25"/>
      <c r="F63" s="25"/>
      <c r="G63" s="25"/>
      <c r="H63" s="25"/>
      <c r="I63" s="25"/>
      <c r="J63" s="25"/>
      <c r="K63" s="3"/>
      <c r="L63" s="3"/>
      <c r="M63" s="3"/>
      <c r="N63" s="3"/>
      <c r="O63" s="3"/>
    </row>
    <row r="64" spans="1:15">
      <c r="A64" s="252" t="s">
        <v>62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</row>
    <row r="65" spans="1:15" ht="15" customHeight="1">
      <c r="A65" s="5"/>
      <c r="B65" s="18"/>
      <c r="C65" s="5"/>
      <c r="D65" s="5"/>
      <c r="E65" s="5"/>
      <c r="F65" s="5"/>
      <c r="G65" s="5"/>
      <c r="H65" s="5"/>
      <c r="I65" s="17"/>
    </row>
    <row r="66" spans="1:15" ht="42.75" customHeight="1">
      <c r="A66" s="179" t="s">
        <v>53</v>
      </c>
      <c r="B66" s="179"/>
      <c r="C66" s="179"/>
      <c r="D66" s="179" t="s">
        <v>160</v>
      </c>
      <c r="E66" s="179"/>
      <c r="F66" s="179" t="s">
        <v>161</v>
      </c>
      <c r="G66" s="179"/>
      <c r="H66" s="179"/>
      <c r="I66" s="179"/>
      <c r="J66" s="179" t="s">
        <v>248</v>
      </c>
      <c r="K66" s="179"/>
      <c r="L66" s="179"/>
      <c r="M66" s="179"/>
      <c r="N66" s="179" t="s">
        <v>164</v>
      </c>
      <c r="O66" s="179"/>
    </row>
    <row r="67" spans="1:15" ht="42.75" customHeight="1">
      <c r="A67" s="179"/>
      <c r="B67" s="179"/>
      <c r="C67" s="179"/>
      <c r="D67" s="179"/>
      <c r="E67" s="179"/>
      <c r="F67" s="175" t="s">
        <v>162</v>
      </c>
      <c r="G67" s="175"/>
      <c r="H67" s="179" t="s">
        <v>163</v>
      </c>
      <c r="I67" s="179"/>
      <c r="J67" s="175" t="s">
        <v>162</v>
      </c>
      <c r="K67" s="175"/>
      <c r="L67" s="179" t="s">
        <v>163</v>
      </c>
      <c r="M67" s="179"/>
      <c r="N67" s="179"/>
      <c r="O67" s="179"/>
    </row>
    <row r="68" spans="1:15">
      <c r="A68" s="179">
        <v>1</v>
      </c>
      <c r="B68" s="179"/>
      <c r="C68" s="179"/>
      <c r="D68" s="232">
        <v>2</v>
      </c>
      <c r="E68" s="234"/>
      <c r="F68" s="232">
        <v>3</v>
      </c>
      <c r="G68" s="234"/>
      <c r="H68" s="274">
        <v>4</v>
      </c>
      <c r="I68" s="275"/>
      <c r="J68" s="274">
        <v>5</v>
      </c>
      <c r="K68" s="275"/>
      <c r="L68" s="274">
        <v>6</v>
      </c>
      <c r="M68" s="275"/>
      <c r="N68" s="274">
        <v>7</v>
      </c>
      <c r="O68" s="275"/>
    </row>
    <row r="69" spans="1:15" ht="20.100000000000001" customHeight="1">
      <c r="A69" s="221" t="s">
        <v>201</v>
      </c>
      <c r="B69" s="221"/>
      <c r="C69" s="221"/>
      <c r="D69" s="218" t="s">
        <v>307</v>
      </c>
      <c r="E69" s="220"/>
      <c r="F69" s="218" t="s">
        <v>307</v>
      </c>
      <c r="G69" s="220"/>
      <c r="H69" s="218" t="s">
        <v>307</v>
      </c>
      <c r="I69" s="220"/>
      <c r="J69" s="218" t="s">
        <v>307</v>
      </c>
      <c r="K69" s="220"/>
      <c r="L69" s="218" t="s">
        <v>307</v>
      </c>
      <c r="M69" s="220"/>
      <c r="N69" s="218"/>
      <c r="O69" s="220"/>
    </row>
    <row r="70" spans="1:15" ht="20.100000000000001" customHeight="1">
      <c r="A70" s="221" t="s">
        <v>81</v>
      </c>
      <c r="B70" s="221"/>
      <c r="C70" s="221"/>
      <c r="D70" s="218" t="s">
        <v>307</v>
      </c>
      <c r="E70" s="220"/>
      <c r="F70" s="218" t="s">
        <v>307</v>
      </c>
      <c r="G70" s="220"/>
      <c r="H70" s="218" t="s">
        <v>307</v>
      </c>
      <c r="I70" s="220"/>
      <c r="J70" s="218" t="s">
        <v>307</v>
      </c>
      <c r="K70" s="220"/>
      <c r="L70" s="218" t="s">
        <v>307</v>
      </c>
      <c r="M70" s="220"/>
      <c r="N70" s="218"/>
      <c r="O70" s="220"/>
    </row>
    <row r="71" spans="1:15" ht="20.100000000000001" customHeight="1">
      <c r="A71" s="221"/>
      <c r="B71" s="221"/>
      <c r="C71" s="221"/>
      <c r="D71" s="218" t="s">
        <v>307</v>
      </c>
      <c r="E71" s="220"/>
      <c r="F71" s="218" t="s">
        <v>307</v>
      </c>
      <c r="G71" s="220"/>
      <c r="H71" s="218" t="s">
        <v>307</v>
      </c>
      <c r="I71" s="220"/>
      <c r="J71" s="218" t="s">
        <v>307</v>
      </c>
      <c r="K71" s="220"/>
      <c r="L71" s="218" t="s">
        <v>427</v>
      </c>
      <c r="M71" s="220"/>
      <c r="N71" s="218"/>
      <c r="O71" s="220"/>
    </row>
    <row r="72" spans="1:15" ht="20.100000000000001" customHeight="1">
      <c r="A72" s="221" t="s">
        <v>202</v>
      </c>
      <c r="B72" s="221"/>
      <c r="C72" s="221"/>
      <c r="D72" s="218" t="s">
        <v>307</v>
      </c>
      <c r="E72" s="220"/>
      <c r="F72" s="218" t="s">
        <v>307</v>
      </c>
      <c r="G72" s="220"/>
      <c r="H72" s="218" t="s">
        <v>307</v>
      </c>
      <c r="I72" s="220"/>
      <c r="J72" s="218" t="s">
        <v>307</v>
      </c>
      <c r="K72" s="220"/>
      <c r="L72" s="218" t="s">
        <v>307</v>
      </c>
      <c r="M72" s="220"/>
      <c r="N72" s="218"/>
      <c r="O72" s="220"/>
    </row>
    <row r="73" spans="1:15" ht="20.100000000000001" customHeight="1">
      <c r="A73" s="221" t="s">
        <v>82</v>
      </c>
      <c r="B73" s="221"/>
      <c r="C73" s="221"/>
      <c r="D73" s="218" t="s">
        <v>307</v>
      </c>
      <c r="E73" s="220"/>
      <c r="F73" s="218" t="s">
        <v>307</v>
      </c>
      <c r="G73" s="220"/>
      <c r="H73" s="218" t="s">
        <v>307</v>
      </c>
      <c r="I73" s="220"/>
      <c r="J73" s="218" t="s">
        <v>307</v>
      </c>
      <c r="K73" s="220"/>
      <c r="L73" s="218" t="s">
        <v>307</v>
      </c>
      <c r="M73" s="220"/>
      <c r="N73" s="218"/>
      <c r="O73" s="220"/>
    </row>
    <row r="74" spans="1:15" ht="20.100000000000001" customHeight="1">
      <c r="A74" s="221"/>
      <c r="B74" s="221"/>
      <c r="C74" s="221"/>
      <c r="D74" s="218" t="s">
        <v>307</v>
      </c>
      <c r="E74" s="220"/>
      <c r="F74" s="218" t="s">
        <v>307</v>
      </c>
      <c r="G74" s="220"/>
      <c r="H74" s="218" t="s">
        <v>307</v>
      </c>
      <c r="I74" s="220"/>
      <c r="J74" s="218" t="s">
        <v>307</v>
      </c>
      <c r="K74" s="220"/>
      <c r="L74" s="218" t="s">
        <v>307</v>
      </c>
      <c r="M74" s="220"/>
      <c r="N74" s="218"/>
      <c r="O74" s="220"/>
    </row>
    <row r="75" spans="1:15" ht="20.100000000000001" customHeight="1">
      <c r="A75" s="221" t="s">
        <v>203</v>
      </c>
      <c r="B75" s="221"/>
      <c r="C75" s="221"/>
      <c r="D75" s="218" t="s">
        <v>307</v>
      </c>
      <c r="E75" s="220"/>
      <c r="F75" s="218" t="s">
        <v>307</v>
      </c>
      <c r="G75" s="220"/>
      <c r="H75" s="218" t="s">
        <v>307</v>
      </c>
      <c r="I75" s="220"/>
      <c r="J75" s="218" t="s">
        <v>307</v>
      </c>
      <c r="K75" s="220"/>
      <c r="L75" s="218" t="s">
        <v>307</v>
      </c>
      <c r="M75" s="220"/>
      <c r="N75" s="218"/>
      <c r="O75" s="220"/>
    </row>
    <row r="76" spans="1:15" ht="20.100000000000001" customHeight="1">
      <c r="A76" s="221" t="s">
        <v>81</v>
      </c>
      <c r="B76" s="221"/>
      <c r="C76" s="221"/>
      <c r="D76" s="218"/>
      <c r="E76" s="220"/>
      <c r="F76" s="218"/>
      <c r="G76" s="220"/>
      <c r="H76" s="218"/>
      <c r="I76" s="220"/>
      <c r="J76" s="218"/>
      <c r="K76" s="220"/>
      <c r="L76" s="218" t="s">
        <v>307</v>
      </c>
      <c r="M76" s="220"/>
      <c r="N76" s="218"/>
      <c r="O76" s="220"/>
    </row>
    <row r="77" spans="1:15" ht="20.100000000000001" customHeight="1">
      <c r="A77" s="221"/>
      <c r="B77" s="221"/>
      <c r="C77" s="221"/>
      <c r="D77" s="218"/>
      <c r="E77" s="220"/>
      <c r="F77" s="218"/>
      <c r="G77" s="220"/>
      <c r="H77" s="218"/>
      <c r="I77" s="220"/>
      <c r="J77" s="218"/>
      <c r="K77" s="220"/>
      <c r="L77" s="218"/>
      <c r="M77" s="220"/>
      <c r="N77" s="218"/>
      <c r="O77" s="220"/>
    </row>
    <row r="78" spans="1:15" ht="24.95" customHeight="1">
      <c r="A78" s="203" t="s">
        <v>45</v>
      </c>
      <c r="B78" s="203"/>
      <c r="C78" s="203"/>
      <c r="D78" s="270">
        <f>SUM(D69,D72,D75)</f>
        <v>0</v>
      </c>
      <c r="E78" s="271"/>
      <c r="F78" s="270">
        <f>SUM(F69,F72,F75)</f>
        <v>0</v>
      </c>
      <c r="G78" s="271"/>
      <c r="H78" s="270">
        <f>SUM(H69,H72,H75)</f>
        <v>0</v>
      </c>
      <c r="I78" s="271"/>
      <c r="J78" s="270">
        <f>SUM(J69,J72,J75)</f>
        <v>0</v>
      </c>
      <c r="K78" s="271"/>
      <c r="L78" s="270">
        <f>SUM(L69,L72,L75)</f>
        <v>0</v>
      </c>
      <c r="M78" s="271"/>
      <c r="N78" s="270">
        <f>D78+H78-L78</f>
        <v>0</v>
      </c>
      <c r="O78" s="271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  <row r="90" spans="3:5">
      <c r="C90" s="30"/>
      <c r="D90" s="30"/>
      <c r="E90" s="30"/>
    </row>
    <row r="91" spans="3:5">
      <c r="C91" s="30"/>
      <c r="D91" s="30"/>
      <c r="E91" s="30"/>
    </row>
    <row r="92" spans="3:5">
      <c r="C92" s="30"/>
      <c r="D92" s="30"/>
      <c r="E92" s="30"/>
    </row>
  </sheetData>
  <mergeCells count="292">
    <mergeCell ref="C15:E15"/>
    <mergeCell ref="F15:H15"/>
    <mergeCell ref="I15:K15"/>
    <mergeCell ref="C21:E21"/>
    <mergeCell ref="A21:B21"/>
    <mergeCell ref="I18:K18"/>
    <mergeCell ref="F20:H20"/>
    <mergeCell ref="F18:H18"/>
    <mergeCell ref="F19:H19"/>
    <mergeCell ref="F16:H16"/>
    <mergeCell ref="I16:K16"/>
    <mergeCell ref="A19:B19"/>
    <mergeCell ref="A20:B20"/>
    <mergeCell ref="A17:B17"/>
    <mergeCell ref="C17:E17"/>
    <mergeCell ref="F17:H17"/>
    <mergeCell ref="I17:K17"/>
    <mergeCell ref="A16:B16"/>
    <mergeCell ref="C16:E16"/>
    <mergeCell ref="A13:B13"/>
    <mergeCell ref="A14:B14"/>
    <mergeCell ref="C20:E20"/>
    <mergeCell ref="C12:E12"/>
    <mergeCell ref="A18:B18"/>
    <mergeCell ref="C13:E13"/>
    <mergeCell ref="C14:E14"/>
    <mergeCell ref="C18:E18"/>
    <mergeCell ref="C19:E19"/>
    <mergeCell ref="A15:B15"/>
    <mergeCell ref="A11:B11"/>
    <mergeCell ref="C11:E11"/>
    <mergeCell ref="A9:B9"/>
    <mergeCell ref="C9:E9"/>
    <mergeCell ref="C10:E10"/>
    <mergeCell ref="A12:B12"/>
    <mergeCell ref="N14:O14"/>
    <mergeCell ref="F14:H14"/>
    <mergeCell ref="I14:K14"/>
    <mergeCell ref="N18:O18"/>
    <mergeCell ref="L16:M16"/>
    <mergeCell ref="N16:O16"/>
    <mergeCell ref="L15:M15"/>
    <mergeCell ref="N15:O15"/>
    <mergeCell ref="L14:M14"/>
    <mergeCell ref="L17:M17"/>
    <mergeCell ref="N17:O17"/>
    <mergeCell ref="I10:K10"/>
    <mergeCell ref="N19:O19"/>
    <mergeCell ref="L18:M18"/>
    <mergeCell ref="N12:O12"/>
    <mergeCell ref="L13:M13"/>
    <mergeCell ref="N13:O13"/>
    <mergeCell ref="L12:M12"/>
    <mergeCell ref="L19:M19"/>
    <mergeCell ref="I19:K19"/>
    <mergeCell ref="B36:E36"/>
    <mergeCell ref="B35:E35"/>
    <mergeCell ref="F35:O35"/>
    <mergeCell ref="L21:M21"/>
    <mergeCell ref="C22:E22"/>
    <mergeCell ref="F21:H21"/>
    <mergeCell ref="F22:H22"/>
    <mergeCell ref="A22:B22"/>
    <mergeCell ref="F27:H27"/>
    <mergeCell ref="L22:M22"/>
    <mergeCell ref="B42:E42"/>
    <mergeCell ref="F41:O41"/>
    <mergeCell ref="F38:O38"/>
    <mergeCell ref="F23:H23"/>
    <mergeCell ref="F29:H29"/>
    <mergeCell ref="F25:H25"/>
    <mergeCell ref="C23:E23"/>
    <mergeCell ref="A23:B23"/>
    <mergeCell ref="B41:E41"/>
    <mergeCell ref="F26:H26"/>
    <mergeCell ref="N20:O20"/>
    <mergeCell ref="L20:M20"/>
    <mergeCell ref="I20:K20"/>
    <mergeCell ref="F42:O42"/>
    <mergeCell ref="A33:O33"/>
    <mergeCell ref="F24:H24"/>
    <mergeCell ref="I21:K21"/>
    <mergeCell ref="I22:K22"/>
    <mergeCell ref="I23:K23"/>
    <mergeCell ref="I24:K24"/>
    <mergeCell ref="F13:H13"/>
    <mergeCell ref="F9:H9"/>
    <mergeCell ref="F10:H10"/>
    <mergeCell ref="L9:M9"/>
    <mergeCell ref="I12:K12"/>
    <mergeCell ref="I9:K9"/>
    <mergeCell ref="F11:H11"/>
    <mergeCell ref="F12:H12"/>
    <mergeCell ref="I11:K11"/>
    <mergeCell ref="I13:K13"/>
    <mergeCell ref="N9:O9"/>
    <mergeCell ref="N10:O10"/>
    <mergeCell ref="N11:O11"/>
    <mergeCell ref="L10:M10"/>
    <mergeCell ref="L11:M11"/>
    <mergeCell ref="A3:O3"/>
    <mergeCell ref="A4:O4"/>
    <mergeCell ref="A5:O5"/>
    <mergeCell ref="A7:O7"/>
    <mergeCell ref="A10:B10"/>
    <mergeCell ref="A1:O1"/>
    <mergeCell ref="A2:O2"/>
    <mergeCell ref="F40:O40"/>
    <mergeCell ref="B38:E38"/>
    <mergeCell ref="B39:E39"/>
    <mergeCell ref="B37:E37"/>
    <mergeCell ref="F37:O37"/>
    <mergeCell ref="F36:O36"/>
    <mergeCell ref="B40:E40"/>
    <mergeCell ref="F39:O39"/>
    <mergeCell ref="H58:J58"/>
    <mergeCell ref="D56:E56"/>
    <mergeCell ref="J45:L45"/>
    <mergeCell ref="M45:O45"/>
    <mergeCell ref="A54:O54"/>
    <mergeCell ref="F56:G56"/>
    <mergeCell ref="H56:J56"/>
    <mergeCell ref="K56:L56"/>
    <mergeCell ref="M56:O56"/>
    <mergeCell ref="B56:C56"/>
    <mergeCell ref="F72:G72"/>
    <mergeCell ref="M57:O57"/>
    <mergeCell ref="B57:C57"/>
    <mergeCell ref="F57:G57"/>
    <mergeCell ref="D58:E58"/>
    <mergeCell ref="D57:E57"/>
    <mergeCell ref="M58:O58"/>
    <mergeCell ref="K58:L58"/>
    <mergeCell ref="K57:L57"/>
    <mergeCell ref="B58:C58"/>
    <mergeCell ref="N76:O76"/>
    <mergeCell ref="J74:K74"/>
    <mergeCell ref="L74:M74"/>
    <mergeCell ref="D70:E70"/>
    <mergeCell ref="F70:G70"/>
    <mergeCell ref="H72:I72"/>
    <mergeCell ref="J72:K72"/>
    <mergeCell ref="H70:I70"/>
    <mergeCell ref="H71:I71"/>
    <mergeCell ref="D72:E72"/>
    <mergeCell ref="L75:M75"/>
    <mergeCell ref="J73:K73"/>
    <mergeCell ref="H73:I73"/>
    <mergeCell ref="N72:O72"/>
    <mergeCell ref="L70:M70"/>
    <mergeCell ref="N70:O70"/>
    <mergeCell ref="N71:O71"/>
    <mergeCell ref="H74:I74"/>
    <mergeCell ref="A73:C73"/>
    <mergeCell ref="F76:G76"/>
    <mergeCell ref="H76:I76"/>
    <mergeCell ref="N74:O74"/>
    <mergeCell ref="N75:O75"/>
    <mergeCell ref="N73:O73"/>
    <mergeCell ref="D73:E73"/>
    <mergeCell ref="F73:G73"/>
    <mergeCell ref="J75:K75"/>
    <mergeCell ref="B61:C61"/>
    <mergeCell ref="D61:E61"/>
    <mergeCell ref="F61:G61"/>
    <mergeCell ref="H61:J61"/>
    <mergeCell ref="A70:C70"/>
    <mergeCell ref="L76:M76"/>
    <mergeCell ref="D76:E76"/>
    <mergeCell ref="D75:E75"/>
    <mergeCell ref="F75:G75"/>
    <mergeCell ref="H75:I75"/>
    <mergeCell ref="A71:C71"/>
    <mergeCell ref="L72:M72"/>
    <mergeCell ref="A78:C78"/>
    <mergeCell ref="D71:E71"/>
    <mergeCell ref="F71:G71"/>
    <mergeCell ref="A76:C76"/>
    <mergeCell ref="D74:E74"/>
    <mergeCell ref="F74:G74"/>
    <mergeCell ref="A75:C75"/>
    <mergeCell ref="A74:C74"/>
    <mergeCell ref="A77:C77"/>
    <mergeCell ref="A72:C72"/>
    <mergeCell ref="M59:O59"/>
    <mergeCell ref="H69:I69"/>
    <mergeCell ref="L68:M68"/>
    <mergeCell ref="N68:O68"/>
    <mergeCell ref="M61:O61"/>
    <mergeCell ref="H68:I68"/>
    <mergeCell ref="K62:L62"/>
    <mergeCell ref="J68:K68"/>
    <mergeCell ref="J66:M66"/>
    <mergeCell ref="J67:K67"/>
    <mergeCell ref="A69:C69"/>
    <mergeCell ref="A68:C68"/>
    <mergeCell ref="D68:E68"/>
    <mergeCell ref="F68:G68"/>
    <mergeCell ref="D69:E69"/>
    <mergeCell ref="K60:L60"/>
    <mergeCell ref="M60:O60"/>
    <mergeCell ref="F69:G69"/>
    <mergeCell ref="N69:O69"/>
    <mergeCell ref="H67:I67"/>
    <mergeCell ref="J69:K69"/>
    <mergeCell ref="L67:M67"/>
    <mergeCell ref="F60:G60"/>
    <mergeCell ref="H60:J60"/>
    <mergeCell ref="K61:L61"/>
    <mergeCell ref="K59:L59"/>
    <mergeCell ref="J78:K78"/>
    <mergeCell ref="L78:M78"/>
    <mergeCell ref="L69:M69"/>
    <mergeCell ref="J76:K76"/>
    <mergeCell ref="J70:K70"/>
    <mergeCell ref="L71:M71"/>
    <mergeCell ref="J71:K71"/>
    <mergeCell ref="H62:J62"/>
    <mergeCell ref="L73:M73"/>
    <mergeCell ref="N78:O78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N66:O67"/>
    <mergeCell ref="M62:O62"/>
    <mergeCell ref="A64:O64"/>
    <mergeCell ref="B62:C62"/>
    <mergeCell ref="D62:E62"/>
    <mergeCell ref="F62:G62"/>
    <mergeCell ref="D66:E67"/>
    <mergeCell ref="A66:C67"/>
    <mergeCell ref="F66:I66"/>
    <mergeCell ref="F67:G67"/>
    <mergeCell ref="H59:J59"/>
    <mergeCell ref="F58:G58"/>
    <mergeCell ref="A31:O31"/>
    <mergeCell ref="L26:M26"/>
    <mergeCell ref="N29:O29"/>
    <mergeCell ref="L29:M29"/>
    <mergeCell ref="I28:K28"/>
    <mergeCell ref="I29:K29"/>
    <mergeCell ref="F28:H28"/>
    <mergeCell ref="N28:O28"/>
    <mergeCell ref="N26:O26"/>
    <mergeCell ref="N21:O21"/>
    <mergeCell ref="N22:O22"/>
    <mergeCell ref="N23:O23"/>
    <mergeCell ref="N24:O24"/>
    <mergeCell ref="N25:O25"/>
    <mergeCell ref="I26:K26"/>
    <mergeCell ref="L25:M25"/>
    <mergeCell ref="L28:M28"/>
    <mergeCell ref="I27:K27"/>
    <mergeCell ref="L27:M27"/>
    <mergeCell ref="L23:M23"/>
    <mergeCell ref="L24:M24"/>
    <mergeCell ref="N27:O27"/>
    <mergeCell ref="B60:C60"/>
    <mergeCell ref="D60:E60"/>
    <mergeCell ref="C26:E26"/>
    <mergeCell ref="C27:E27"/>
    <mergeCell ref="C28:E28"/>
    <mergeCell ref="C29:E29"/>
    <mergeCell ref="A45:C46"/>
    <mergeCell ref="A43:J43"/>
    <mergeCell ref="D45:F45"/>
    <mergeCell ref="B59:C59"/>
    <mergeCell ref="D59:E59"/>
    <mergeCell ref="G45:I45"/>
    <mergeCell ref="A52:C52"/>
    <mergeCell ref="A47:C47"/>
    <mergeCell ref="A50:C50"/>
    <mergeCell ref="A51:C51"/>
    <mergeCell ref="A48:C48"/>
    <mergeCell ref="A49:C49"/>
    <mergeCell ref="F59:G59"/>
    <mergeCell ref="H57:J57"/>
    <mergeCell ref="C24:E24"/>
    <mergeCell ref="C25:E25"/>
    <mergeCell ref="A29:B29"/>
    <mergeCell ref="A28:B28"/>
    <mergeCell ref="A24:B24"/>
    <mergeCell ref="A27:B27"/>
    <mergeCell ref="A25:B25"/>
    <mergeCell ref="A26:B26"/>
    <mergeCell ref="I25:K25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42" max="16383" man="1"/>
  </rowBreaks>
  <ignoredErrors>
    <ignoredError sqref="L26:M29 N18:O29 D26:E29 N11:O14 J26:K27 G26:H27 M48" evalError="1"/>
    <ignoredError sqref="D52:G5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AF73"/>
  <sheetViews>
    <sheetView zoomScale="50" zoomScaleNormal="50" workbookViewId="0">
      <selection activeCell="AC9" sqref="AC9:AD9"/>
    </sheetView>
  </sheetViews>
  <sheetFormatPr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1" t="s">
        <v>405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45.75" customHeight="1">
      <c r="A3" s="302" t="s">
        <v>41</v>
      </c>
      <c r="B3" s="305" t="s">
        <v>131</v>
      </c>
      <c r="C3" s="307"/>
      <c r="D3" s="246" t="s">
        <v>132</v>
      </c>
      <c r="E3" s="247"/>
      <c r="F3" s="247"/>
      <c r="G3" s="246" t="s">
        <v>223</v>
      </c>
      <c r="H3" s="247"/>
      <c r="I3" s="247"/>
      <c r="J3" s="247"/>
      <c r="K3" s="247"/>
      <c r="L3" s="247"/>
      <c r="M3" s="247"/>
      <c r="N3" s="247"/>
      <c r="O3" s="247"/>
      <c r="P3" s="247"/>
      <c r="Q3" s="248"/>
      <c r="R3" s="356" t="s">
        <v>133</v>
      </c>
      <c r="S3" s="338"/>
      <c r="T3" s="339"/>
      <c r="U3" s="232" t="s">
        <v>408</v>
      </c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4"/>
    </row>
    <row r="4" spans="1:32" ht="77.25" customHeight="1">
      <c r="A4" s="304"/>
      <c r="B4" s="311"/>
      <c r="C4" s="313"/>
      <c r="D4" s="249"/>
      <c r="E4" s="250"/>
      <c r="F4" s="250"/>
      <c r="G4" s="249"/>
      <c r="H4" s="250"/>
      <c r="I4" s="250"/>
      <c r="J4" s="250"/>
      <c r="K4" s="250"/>
      <c r="L4" s="250"/>
      <c r="M4" s="250"/>
      <c r="N4" s="250"/>
      <c r="O4" s="250"/>
      <c r="P4" s="250"/>
      <c r="Q4" s="251"/>
      <c r="R4" s="340"/>
      <c r="S4" s="341"/>
      <c r="T4" s="342"/>
      <c r="U4" s="249" t="s">
        <v>406</v>
      </c>
      <c r="V4" s="250"/>
      <c r="W4" s="251"/>
      <c r="X4" s="249" t="s">
        <v>407</v>
      </c>
      <c r="Y4" s="250"/>
      <c r="Z4" s="251"/>
      <c r="AA4" s="232" t="s">
        <v>29</v>
      </c>
      <c r="AB4" s="234"/>
      <c r="AC4" s="274" t="s">
        <v>409</v>
      </c>
      <c r="AD4" s="279"/>
      <c r="AE4" s="274" t="s">
        <v>410</v>
      </c>
      <c r="AF4" s="275"/>
    </row>
    <row r="5" spans="1:32" ht="18.75" customHeight="1">
      <c r="A5" s="97">
        <v>1</v>
      </c>
      <c r="B5" s="349">
        <v>2</v>
      </c>
      <c r="C5" s="350"/>
      <c r="D5" s="345">
        <v>3</v>
      </c>
      <c r="E5" s="346"/>
      <c r="F5" s="346"/>
      <c r="G5" s="345">
        <v>4</v>
      </c>
      <c r="H5" s="346"/>
      <c r="I5" s="346"/>
      <c r="J5" s="346"/>
      <c r="K5" s="346"/>
      <c r="L5" s="346"/>
      <c r="M5" s="346"/>
      <c r="N5" s="346"/>
      <c r="O5" s="346"/>
      <c r="P5" s="346"/>
      <c r="Q5" s="355"/>
      <c r="R5" s="345">
        <v>5</v>
      </c>
      <c r="S5" s="346"/>
      <c r="T5" s="355"/>
      <c r="U5" s="345">
        <v>6</v>
      </c>
      <c r="V5" s="346"/>
      <c r="W5" s="355"/>
      <c r="X5" s="352">
        <v>7</v>
      </c>
      <c r="Y5" s="353"/>
      <c r="Z5" s="354"/>
      <c r="AA5" s="352">
        <v>8</v>
      </c>
      <c r="AB5" s="354"/>
      <c r="AC5" s="352">
        <v>9</v>
      </c>
      <c r="AD5" s="353"/>
      <c r="AE5" s="352"/>
      <c r="AF5" s="354"/>
    </row>
    <row r="6" spans="1:32" ht="20.100000000000001" customHeight="1">
      <c r="A6" s="97"/>
      <c r="B6" s="343" t="s">
        <v>315</v>
      </c>
      <c r="C6" s="344"/>
      <c r="D6" s="347">
        <v>2004</v>
      </c>
      <c r="E6" s="348"/>
      <c r="F6" s="348"/>
      <c r="G6" s="347" t="s">
        <v>314</v>
      </c>
      <c r="H6" s="348"/>
      <c r="I6" s="348"/>
      <c r="J6" s="348"/>
      <c r="K6" s="348"/>
      <c r="L6" s="348"/>
      <c r="M6" s="348"/>
      <c r="N6" s="348"/>
      <c r="O6" s="348"/>
      <c r="P6" s="348"/>
      <c r="Q6" s="351"/>
      <c r="R6" s="218" t="s">
        <v>307</v>
      </c>
      <c r="S6" s="219"/>
      <c r="T6" s="220"/>
      <c r="U6" s="218">
        <v>4.0999999999999996</v>
      </c>
      <c r="V6" s="219"/>
      <c r="W6" s="220"/>
      <c r="X6" s="218"/>
      <c r="Y6" s="219"/>
      <c r="Z6" s="220"/>
      <c r="AA6" s="218"/>
      <c r="AB6" s="220"/>
      <c r="AC6" s="357" t="s">
        <v>307</v>
      </c>
      <c r="AD6" s="359"/>
      <c r="AE6" s="357"/>
      <c r="AF6" s="359"/>
    </row>
    <row r="7" spans="1:32" ht="20.100000000000001" customHeight="1">
      <c r="A7" s="97"/>
      <c r="B7" s="343" t="s">
        <v>307</v>
      </c>
      <c r="C7" s="344"/>
      <c r="D7" s="347" t="s">
        <v>307</v>
      </c>
      <c r="E7" s="348"/>
      <c r="F7" s="348"/>
      <c r="G7" s="347" t="s">
        <v>307</v>
      </c>
      <c r="H7" s="348"/>
      <c r="I7" s="348"/>
      <c r="J7" s="348"/>
      <c r="K7" s="348"/>
      <c r="L7" s="348"/>
      <c r="M7" s="348"/>
      <c r="N7" s="348"/>
      <c r="O7" s="348"/>
      <c r="P7" s="348"/>
      <c r="Q7" s="351"/>
      <c r="R7" s="218" t="s">
        <v>307</v>
      </c>
      <c r="S7" s="219"/>
      <c r="T7" s="220"/>
      <c r="U7" s="218" t="s">
        <v>307</v>
      </c>
      <c r="V7" s="219"/>
      <c r="W7" s="220"/>
      <c r="X7" s="218"/>
      <c r="Y7" s="219"/>
      <c r="Z7" s="220"/>
      <c r="AA7" s="218"/>
      <c r="AB7" s="220"/>
      <c r="AC7" s="357"/>
      <c r="AD7" s="359"/>
      <c r="AE7" s="357"/>
      <c r="AF7" s="359"/>
    </row>
    <row r="8" spans="1:32" ht="20.100000000000001" customHeight="1">
      <c r="A8" s="97"/>
      <c r="B8" s="343" t="s">
        <v>307</v>
      </c>
      <c r="C8" s="344"/>
      <c r="D8" s="347" t="s">
        <v>307</v>
      </c>
      <c r="E8" s="348"/>
      <c r="F8" s="348"/>
      <c r="G8" s="347" t="s">
        <v>307</v>
      </c>
      <c r="H8" s="348"/>
      <c r="I8" s="348"/>
      <c r="J8" s="348"/>
      <c r="K8" s="348"/>
      <c r="L8" s="348"/>
      <c r="M8" s="348"/>
      <c r="N8" s="348"/>
      <c r="O8" s="348"/>
      <c r="P8" s="348"/>
      <c r="Q8" s="351"/>
      <c r="R8" s="218" t="s">
        <v>307</v>
      </c>
      <c r="S8" s="219"/>
      <c r="T8" s="220"/>
      <c r="U8" s="218" t="s">
        <v>307</v>
      </c>
      <c r="V8" s="219"/>
      <c r="W8" s="220"/>
      <c r="X8" s="218"/>
      <c r="Y8" s="219"/>
      <c r="Z8" s="220"/>
      <c r="AA8" s="218"/>
      <c r="AB8" s="220"/>
      <c r="AC8" s="357"/>
      <c r="AD8" s="359"/>
      <c r="AE8" s="357"/>
      <c r="AF8" s="359"/>
    </row>
    <row r="9" spans="1:32" ht="20.100000000000001" customHeight="1">
      <c r="A9" s="97"/>
      <c r="B9" s="343"/>
      <c r="C9" s="344"/>
      <c r="D9" s="347"/>
      <c r="E9" s="348"/>
      <c r="F9" s="348"/>
      <c r="G9" s="347" t="s">
        <v>307</v>
      </c>
      <c r="H9" s="348"/>
      <c r="I9" s="348"/>
      <c r="J9" s="348"/>
      <c r="K9" s="348"/>
      <c r="L9" s="348"/>
      <c r="M9" s="348"/>
      <c r="N9" s="348"/>
      <c r="O9" s="348"/>
      <c r="P9" s="348"/>
      <c r="Q9" s="351"/>
      <c r="R9" s="218"/>
      <c r="S9" s="219"/>
      <c r="T9" s="220"/>
      <c r="U9" s="218"/>
      <c r="V9" s="219"/>
      <c r="W9" s="220"/>
      <c r="X9" s="218"/>
      <c r="Y9" s="219"/>
      <c r="Z9" s="220"/>
      <c r="AA9" s="218">
        <f>X9-U9</f>
        <v>0</v>
      </c>
      <c r="AB9" s="220"/>
      <c r="AC9" s="357"/>
      <c r="AD9" s="359"/>
      <c r="AE9" s="357"/>
      <c r="AF9" s="359"/>
    </row>
    <row r="10" spans="1:32" ht="24.95" customHeight="1">
      <c r="A10" s="327" t="s">
        <v>45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270">
        <f>SUM(R6:R9)</f>
        <v>0</v>
      </c>
      <c r="S10" s="336"/>
      <c r="T10" s="271"/>
      <c r="U10" s="270">
        <f>SUM(U6:U9)</f>
        <v>4.0999999999999996</v>
      </c>
      <c r="V10" s="336"/>
      <c r="W10" s="271"/>
      <c r="X10" s="270">
        <f>SUM(X6:X9)</f>
        <v>0</v>
      </c>
      <c r="Y10" s="336"/>
      <c r="Z10" s="271"/>
      <c r="AA10" s="270">
        <f>X10-U10</f>
        <v>-4.0999999999999996</v>
      </c>
      <c r="AB10" s="271"/>
      <c r="AC10" s="373"/>
      <c r="AD10" s="375"/>
      <c r="AE10" s="373"/>
      <c r="AF10" s="375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102"/>
    </row>
    <row r="12" spans="1:32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4"/>
      <c r="Q12" s="34"/>
      <c r="R12" s="56"/>
      <c r="S12" s="56"/>
      <c r="T12" s="56"/>
      <c r="U12" s="56"/>
      <c r="V12" s="56"/>
      <c r="W12" s="56"/>
      <c r="X12" s="57"/>
      <c r="Y12" s="57"/>
      <c r="Z12" s="57"/>
      <c r="AA12" s="57"/>
      <c r="AB12" s="57"/>
      <c r="AC12" s="57"/>
      <c r="AD12" s="57"/>
      <c r="AE12" s="103"/>
      <c r="AF12" s="103"/>
    </row>
    <row r="13" spans="1:32" s="41" customFormat="1" ht="18.75" customHeight="1">
      <c r="C13" s="41" t="s">
        <v>243</v>
      </c>
    </row>
    <row r="14" spans="1:32" s="41" customFormat="1" ht="18.75" customHeight="1"/>
    <row r="15" spans="1:32" ht="45.75" customHeight="1">
      <c r="A15" s="209" t="s">
        <v>41</v>
      </c>
      <c r="B15" s="305" t="s">
        <v>134</v>
      </c>
      <c r="C15" s="307"/>
      <c r="D15" s="179" t="s">
        <v>131</v>
      </c>
      <c r="E15" s="179"/>
      <c r="F15" s="179"/>
      <c r="G15" s="179"/>
      <c r="H15" s="246" t="s">
        <v>223</v>
      </c>
      <c r="I15" s="247"/>
      <c r="J15" s="247"/>
      <c r="K15" s="247"/>
      <c r="L15" s="247"/>
      <c r="M15" s="247"/>
      <c r="N15" s="247"/>
      <c r="O15" s="248"/>
      <c r="P15" s="246" t="s">
        <v>259</v>
      </c>
      <c r="Q15" s="248"/>
      <c r="R15" s="274" t="s">
        <v>411</v>
      </c>
      <c r="S15" s="279"/>
      <c r="T15" s="279"/>
      <c r="U15" s="279"/>
      <c r="V15" s="279"/>
      <c r="W15" s="279"/>
      <c r="X15" s="279"/>
      <c r="Y15" s="279"/>
      <c r="Z15" s="275"/>
      <c r="AA15" s="179" t="s">
        <v>290</v>
      </c>
      <c r="AB15" s="175"/>
      <c r="AC15" s="175"/>
      <c r="AD15" s="179" t="s">
        <v>291</v>
      </c>
      <c r="AE15" s="175"/>
      <c r="AF15" s="175"/>
    </row>
    <row r="16" spans="1:32" ht="24.95" customHeight="1">
      <c r="A16" s="209"/>
      <c r="B16" s="308"/>
      <c r="C16" s="310"/>
      <c r="D16" s="179"/>
      <c r="E16" s="179"/>
      <c r="F16" s="179"/>
      <c r="G16" s="179"/>
      <c r="H16" s="300"/>
      <c r="I16" s="371"/>
      <c r="J16" s="371"/>
      <c r="K16" s="371"/>
      <c r="L16" s="371"/>
      <c r="M16" s="371"/>
      <c r="N16" s="371"/>
      <c r="O16" s="301"/>
      <c r="P16" s="300"/>
      <c r="Q16" s="301"/>
      <c r="R16" s="246" t="s">
        <v>412</v>
      </c>
      <c r="S16" s="247"/>
      <c r="T16" s="248"/>
      <c r="U16" s="246" t="s">
        <v>260</v>
      </c>
      <c r="V16" s="247"/>
      <c r="W16" s="248"/>
      <c r="X16" s="246" t="s">
        <v>261</v>
      </c>
      <c r="Y16" s="338"/>
      <c r="Z16" s="339"/>
      <c r="AA16" s="175"/>
      <c r="AB16" s="175"/>
      <c r="AC16" s="175"/>
      <c r="AD16" s="175"/>
      <c r="AE16" s="175"/>
      <c r="AF16" s="175"/>
    </row>
    <row r="17" spans="1:32" ht="48" customHeight="1">
      <c r="A17" s="209"/>
      <c r="B17" s="311"/>
      <c r="C17" s="313"/>
      <c r="D17" s="179"/>
      <c r="E17" s="179"/>
      <c r="F17" s="179"/>
      <c r="G17" s="179"/>
      <c r="H17" s="249"/>
      <c r="I17" s="250"/>
      <c r="J17" s="250"/>
      <c r="K17" s="250"/>
      <c r="L17" s="250"/>
      <c r="M17" s="250"/>
      <c r="N17" s="250"/>
      <c r="O17" s="251"/>
      <c r="P17" s="249"/>
      <c r="Q17" s="251"/>
      <c r="R17" s="249"/>
      <c r="S17" s="250"/>
      <c r="T17" s="251"/>
      <c r="U17" s="249"/>
      <c r="V17" s="250"/>
      <c r="W17" s="251"/>
      <c r="X17" s="340"/>
      <c r="Y17" s="341"/>
      <c r="Z17" s="342"/>
      <c r="AA17" s="175"/>
      <c r="AB17" s="175"/>
      <c r="AC17" s="175"/>
      <c r="AD17" s="175"/>
      <c r="AE17" s="175"/>
      <c r="AF17" s="175"/>
    </row>
    <row r="18" spans="1:32" ht="18.75" customHeight="1">
      <c r="A18" s="64">
        <v>1</v>
      </c>
      <c r="B18" s="349">
        <v>2</v>
      </c>
      <c r="C18" s="350"/>
      <c r="D18" s="372">
        <v>3</v>
      </c>
      <c r="E18" s="372"/>
      <c r="F18" s="372"/>
      <c r="G18" s="372"/>
      <c r="H18" s="345">
        <v>4</v>
      </c>
      <c r="I18" s="346"/>
      <c r="J18" s="346"/>
      <c r="K18" s="346"/>
      <c r="L18" s="346"/>
      <c r="M18" s="346"/>
      <c r="N18" s="346"/>
      <c r="O18" s="355"/>
      <c r="P18" s="345">
        <v>5</v>
      </c>
      <c r="Q18" s="355"/>
      <c r="R18" s="345">
        <v>6</v>
      </c>
      <c r="S18" s="346"/>
      <c r="T18" s="355"/>
      <c r="U18" s="345">
        <v>7</v>
      </c>
      <c r="V18" s="346"/>
      <c r="W18" s="355"/>
      <c r="X18" s="345">
        <v>8</v>
      </c>
      <c r="Y18" s="346"/>
      <c r="Z18" s="355"/>
      <c r="AA18" s="345">
        <v>9</v>
      </c>
      <c r="AB18" s="346"/>
      <c r="AC18" s="355"/>
      <c r="AD18" s="345">
        <v>10</v>
      </c>
      <c r="AE18" s="346"/>
      <c r="AF18" s="355"/>
    </row>
    <row r="19" spans="1:32" ht="20.100000000000001" customHeight="1">
      <c r="A19" s="88"/>
      <c r="B19" s="333" t="s">
        <v>307</v>
      </c>
      <c r="C19" s="334"/>
      <c r="D19" s="335" t="s">
        <v>307</v>
      </c>
      <c r="E19" s="335"/>
      <c r="F19" s="335"/>
      <c r="G19" s="335"/>
      <c r="H19" s="330" t="s">
        <v>307</v>
      </c>
      <c r="I19" s="331"/>
      <c r="J19" s="331"/>
      <c r="K19" s="331"/>
      <c r="L19" s="331"/>
      <c r="M19" s="331"/>
      <c r="N19" s="331"/>
      <c r="O19" s="332"/>
      <c r="P19" s="330" t="s">
        <v>307</v>
      </c>
      <c r="Q19" s="332"/>
      <c r="R19" s="218" t="s">
        <v>307</v>
      </c>
      <c r="S19" s="219"/>
      <c r="T19" s="220"/>
      <c r="U19" s="218" t="s">
        <v>307</v>
      </c>
      <c r="V19" s="219"/>
      <c r="W19" s="220"/>
      <c r="X19" s="218" t="s">
        <v>307</v>
      </c>
      <c r="Y19" s="219"/>
      <c r="Z19" s="220"/>
      <c r="AA19" s="218"/>
      <c r="AB19" s="219"/>
      <c r="AC19" s="220"/>
      <c r="AD19" s="357"/>
      <c r="AE19" s="358"/>
      <c r="AF19" s="359"/>
    </row>
    <row r="20" spans="1:32" ht="20.100000000000001" customHeight="1">
      <c r="A20" s="88"/>
      <c r="B20" s="333" t="s">
        <v>307</v>
      </c>
      <c r="C20" s="334"/>
      <c r="D20" s="335" t="s">
        <v>307</v>
      </c>
      <c r="E20" s="335"/>
      <c r="F20" s="335"/>
      <c r="G20" s="335"/>
      <c r="H20" s="330" t="s">
        <v>307</v>
      </c>
      <c r="I20" s="331"/>
      <c r="J20" s="331"/>
      <c r="K20" s="331"/>
      <c r="L20" s="331"/>
      <c r="M20" s="331"/>
      <c r="N20" s="331"/>
      <c r="O20" s="332"/>
      <c r="P20" s="330" t="s">
        <v>307</v>
      </c>
      <c r="Q20" s="332"/>
      <c r="R20" s="218" t="s">
        <v>307</v>
      </c>
      <c r="S20" s="219"/>
      <c r="T20" s="220"/>
      <c r="U20" s="218" t="s">
        <v>307</v>
      </c>
      <c r="V20" s="219"/>
      <c r="W20" s="220"/>
      <c r="X20" s="218" t="s">
        <v>307</v>
      </c>
      <c r="Y20" s="219"/>
      <c r="Z20" s="220"/>
      <c r="AA20" s="218"/>
      <c r="AB20" s="219"/>
      <c r="AC20" s="220"/>
      <c r="AD20" s="357"/>
      <c r="AE20" s="358"/>
      <c r="AF20" s="359"/>
    </row>
    <row r="21" spans="1:32" ht="20.100000000000001" customHeight="1">
      <c r="A21" s="88"/>
      <c r="B21" s="333" t="s">
        <v>307</v>
      </c>
      <c r="C21" s="334"/>
      <c r="D21" s="335" t="s">
        <v>307</v>
      </c>
      <c r="E21" s="335"/>
      <c r="F21" s="335"/>
      <c r="G21" s="335"/>
      <c r="H21" s="330" t="s">
        <v>307</v>
      </c>
      <c r="I21" s="331"/>
      <c r="J21" s="331"/>
      <c r="K21" s="331"/>
      <c r="L21" s="331"/>
      <c r="M21" s="331"/>
      <c r="N21" s="331"/>
      <c r="O21" s="332"/>
      <c r="P21" s="330" t="s">
        <v>309</v>
      </c>
      <c r="Q21" s="332"/>
      <c r="R21" s="218" t="s">
        <v>307</v>
      </c>
      <c r="S21" s="219"/>
      <c r="T21" s="220"/>
      <c r="U21" s="218" t="s">
        <v>307</v>
      </c>
      <c r="V21" s="219"/>
      <c r="W21" s="220"/>
      <c r="X21" s="360" t="s">
        <v>309</v>
      </c>
      <c r="Y21" s="219"/>
      <c r="Z21" s="220"/>
      <c r="AA21" s="218"/>
      <c r="AB21" s="219"/>
      <c r="AC21" s="220"/>
      <c r="AD21" s="357"/>
      <c r="AE21" s="358"/>
      <c r="AF21" s="359"/>
    </row>
    <row r="22" spans="1:32" ht="20.100000000000001" customHeight="1">
      <c r="A22" s="88"/>
      <c r="B22" s="333" t="s">
        <v>307</v>
      </c>
      <c r="C22" s="334"/>
      <c r="D22" s="335"/>
      <c r="E22" s="335"/>
      <c r="F22" s="335"/>
      <c r="G22" s="335"/>
      <c r="H22" s="330" t="s">
        <v>307</v>
      </c>
      <c r="I22" s="331"/>
      <c r="J22" s="331"/>
      <c r="K22" s="331"/>
      <c r="L22" s="331"/>
      <c r="M22" s="331"/>
      <c r="N22" s="331"/>
      <c r="O22" s="332"/>
      <c r="P22" s="330"/>
      <c r="Q22" s="332"/>
      <c r="R22" s="218"/>
      <c r="S22" s="219"/>
      <c r="T22" s="220"/>
      <c r="U22" s="218"/>
      <c r="V22" s="219"/>
      <c r="W22" s="220"/>
      <c r="X22" s="218"/>
      <c r="Y22" s="219"/>
      <c r="Z22" s="220"/>
      <c r="AA22" s="218">
        <f>X22-U22</f>
        <v>0</v>
      </c>
      <c r="AB22" s="219"/>
      <c r="AC22" s="220"/>
      <c r="AD22" s="357"/>
      <c r="AE22" s="358"/>
      <c r="AF22" s="359"/>
    </row>
    <row r="23" spans="1:32" ht="24.95" customHeight="1">
      <c r="A23" s="327" t="s">
        <v>45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9"/>
      <c r="R23" s="270">
        <f>SUM(R19:R22)</f>
        <v>0</v>
      </c>
      <c r="S23" s="336"/>
      <c r="T23" s="271"/>
      <c r="U23" s="270">
        <f>SUM(U19:U22)</f>
        <v>0</v>
      </c>
      <c r="V23" s="336"/>
      <c r="W23" s="271"/>
      <c r="X23" s="270">
        <f>SUM(X19:X22)</f>
        <v>0</v>
      </c>
      <c r="Y23" s="336"/>
      <c r="Z23" s="271"/>
      <c r="AA23" s="270">
        <f>X23-U23</f>
        <v>0</v>
      </c>
      <c r="AB23" s="336"/>
      <c r="AC23" s="271"/>
      <c r="AD23" s="373" t="e">
        <f>(X23/U23)*100</f>
        <v>#DIV/0!</v>
      </c>
      <c r="AE23" s="374"/>
      <c r="AF23" s="375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1" customFormat="1" ht="18.75" customHeight="1">
      <c r="C26" s="41" t="s">
        <v>142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26"/>
      <c r="Z27" s="362"/>
      <c r="AA27" s="362"/>
      <c r="AB27" s="362"/>
      <c r="AD27" s="361" t="s">
        <v>292</v>
      </c>
      <c r="AE27" s="361"/>
      <c r="AF27" s="361"/>
    </row>
    <row r="28" spans="1:32" ht="24.95" customHeight="1">
      <c r="A28" s="302" t="s">
        <v>41</v>
      </c>
      <c r="B28" s="305" t="s">
        <v>166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/>
      <c r="M28" s="319" t="s">
        <v>44</v>
      </c>
      <c r="N28" s="320"/>
      <c r="O28" s="320"/>
      <c r="P28" s="321"/>
      <c r="Q28" s="319" t="s">
        <v>73</v>
      </c>
      <c r="R28" s="320"/>
      <c r="S28" s="320"/>
      <c r="T28" s="321"/>
      <c r="U28" s="319" t="s">
        <v>200</v>
      </c>
      <c r="V28" s="320"/>
      <c r="W28" s="320"/>
      <c r="X28" s="321"/>
      <c r="Y28" s="319" t="s">
        <v>99</v>
      </c>
      <c r="Z28" s="320"/>
      <c r="AA28" s="320"/>
      <c r="AB28" s="321"/>
      <c r="AC28" s="319" t="s">
        <v>45</v>
      </c>
      <c r="AD28" s="320"/>
      <c r="AE28" s="320"/>
      <c r="AF28" s="321"/>
    </row>
    <row r="29" spans="1:32" ht="24.95" customHeight="1">
      <c r="A29" s="303"/>
      <c r="B29" s="308"/>
      <c r="C29" s="309"/>
      <c r="D29" s="309"/>
      <c r="E29" s="309"/>
      <c r="F29" s="309"/>
      <c r="G29" s="309"/>
      <c r="H29" s="309"/>
      <c r="I29" s="309"/>
      <c r="J29" s="309"/>
      <c r="K29" s="309"/>
      <c r="L29" s="310"/>
      <c r="M29" s="314" t="s">
        <v>162</v>
      </c>
      <c r="N29" s="314" t="s">
        <v>163</v>
      </c>
      <c r="O29" s="314" t="s">
        <v>182</v>
      </c>
      <c r="P29" s="314" t="s">
        <v>183</v>
      </c>
      <c r="Q29" s="314" t="s">
        <v>162</v>
      </c>
      <c r="R29" s="314" t="s">
        <v>163</v>
      </c>
      <c r="S29" s="314" t="s">
        <v>182</v>
      </c>
      <c r="T29" s="314" t="s">
        <v>183</v>
      </c>
      <c r="U29" s="314" t="s">
        <v>162</v>
      </c>
      <c r="V29" s="314" t="s">
        <v>163</v>
      </c>
      <c r="W29" s="314" t="s">
        <v>182</v>
      </c>
      <c r="X29" s="314" t="s">
        <v>183</v>
      </c>
      <c r="Y29" s="314" t="s">
        <v>162</v>
      </c>
      <c r="Z29" s="314" t="s">
        <v>163</v>
      </c>
      <c r="AA29" s="314" t="s">
        <v>182</v>
      </c>
      <c r="AB29" s="314" t="s">
        <v>183</v>
      </c>
      <c r="AC29" s="314" t="s">
        <v>162</v>
      </c>
      <c r="AD29" s="314" t="s">
        <v>163</v>
      </c>
      <c r="AE29" s="314" t="s">
        <v>182</v>
      </c>
      <c r="AF29" s="314" t="s">
        <v>183</v>
      </c>
    </row>
    <row r="30" spans="1:32" ht="24.95" customHeight="1">
      <c r="A30" s="304"/>
      <c r="B30" s="311"/>
      <c r="C30" s="312"/>
      <c r="D30" s="312"/>
      <c r="E30" s="312"/>
      <c r="F30" s="312"/>
      <c r="G30" s="312"/>
      <c r="H30" s="312"/>
      <c r="I30" s="312"/>
      <c r="J30" s="312"/>
      <c r="K30" s="312"/>
      <c r="L30" s="313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</row>
    <row r="31" spans="1:32" ht="18.75" customHeight="1">
      <c r="A31" s="99">
        <v>1</v>
      </c>
      <c r="B31" s="363">
        <v>2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87">
        <v>3</v>
      </c>
      <c r="N31" s="87">
        <v>4</v>
      </c>
      <c r="O31" s="87">
        <v>5</v>
      </c>
      <c r="P31" s="87">
        <v>6</v>
      </c>
      <c r="Q31" s="87">
        <v>7</v>
      </c>
      <c r="R31" s="87">
        <v>8</v>
      </c>
      <c r="S31" s="87">
        <v>9</v>
      </c>
      <c r="T31" s="87">
        <v>10</v>
      </c>
      <c r="U31" s="87">
        <v>11</v>
      </c>
      <c r="V31" s="87">
        <v>12</v>
      </c>
      <c r="W31" s="87">
        <v>13</v>
      </c>
      <c r="X31" s="87">
        <v>14</v>
      </c>
      <c r="Y31" s="87">
        <v>15</v>
      </c>
      <c r="Z31" s="87">
        <v>16</v>
      </c>
      <c r="AA31" s="87">
        <v>17</v>
      </c>
      <c r="AB31" s="87">
        <v>18</v>
      </c>
      <c r="AC31" s="87">
        <v>19</v>
      </c>
      <c r="AD31" s="87">
        <v>20</v>
      </c>
      <c r="AE31" s="87">
        <v>21</v>
      </c>
      <c r="AF31" s="87">
        <v>22</v>
      </c>
    </row>
    <row r="32" spans="1:32" ht="20.100000000000001" customHeight="1">
      <c r="A32" s="100">
        <v>1</v>
      </c>
      <c r="B32" s="296" t="s">
        <v>2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8"/>
      <c r="M32" s="110" t="s">
        <v>307</v>
      </c>
      <c r="N32" s="110" t="s">
        <v>307</v>
      </c>
      <c r="O32" s="110"/>
      <c r="P32" s="150"/>
      <c r="Q32" s="110" t="s">
        <v>307</v>
      </c>
      <c r="R32" s="110" t="s">
        <v>307</v>
      </c>
      <c r="S32" s="110"/>
      <c r="T32" s="150"/>
      <c r="U32" s="110"/>
      <c r="V32" s="110"/>
      <c r="W32" s="110">
        <f>V32-U32</f>
        <v>0</v>
      </c>
      <c r="X32" s="150"/>
      <c r="Y32" s="110" t="s">
        <v>307</v>
      </c>
      <c r="Z32" s="110" t="s">
        <v>307</v>
      </c>
      <c r="AA32" s="110"/>
      <c r="AB32" s="150"/>
      <c r="AC32" s="110">
        <f t="shared" ref="AC32:AD35" si="0">SUM(M32,Q32,U32,Y32)</f>
        <v>0</v>
      </c>
      <c r="AD32" s="110">
        <f t="shared" si="0"/>
        <v>0</v>
      </c>
      <c r="AE32" s="110">
        <f>AD32-AC32</f>
        <v>0</v>
      </c>
      <c r="AF32" s="150"/>
    </row>
    <row r="33" spans="1:32" ht="20.100000000000001" customHeight="1">
      <c r="A33" s="100">
        <v>2</v>
      </c>
      <c r="B33" s="293" t="s">
        <v>22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5"/>
      <c r="M33" s="110" t="s">
        <v>307</v>
      </c>
      <c r="N33" s="110" t="s">
        <v>307</v>
      </c>
      <c r="O33" s="110"/>
      <c r="P33" s="150"/>
      <c r="Q33" s="110" t="s">
        <v>307</v>
      </c>
      <c r="R33" s="110" t="s">
        <v>307</v>
      </c>
      <c r="S33" s="110"/>
      <c r="T33" s="150"/>
      <c r="U33" s="110"/>
      <c r="V33" s="110"/>
      <c r="W33" s="110">
        <f>V33-U33</f>
        <v>0</v>
      </c>
      <c r="X33" s="150"/>
      <c r="Y33" s="110" t="s">
        <v>307</v>
      </c>
      <c r="Z33" s="110" t="s">
        <v>307</v>
      </c>
      <c r="AA33" s="110"/>
      <c r="AB33" s="150"/>
      <c r="AC33" s="110">
        <f t="shared" si="0"/>
        <v>0</v>
      </c>
      <c r="AD33" s="110">
        <f t="shared" si="0"/>
        <v>0</v>
      </c>
      <c r="AE33" s="110">
        <f>AD33-AC33</f>
        <v>0</v>
      </c>
      <c r="AF33" s="150"/>
    </row>
    <row r="34" spans="1:32" ht="20.100000000000001" customHeight="1">
      <c r="A34" s="100">
        <v>3</v>
      </c>
      <c r="B34" s="296" t="s">
        <v>56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110"/>
      <c r="N34" s="110"/>
      <c r="O34" s="110"/>
      <c r="P34" s="150"/>
      <c r="Q34" s="110"/>
      <c r="R34" s="110"/>
      <c r="S34" s="110"/>
      <c r="T34" s="150"/>
      <c r="U34" s="110"/>
      <c r="V34" s="110">
        <v>13</v>
      </c>
      <c r="W34" s="110">
        <f>V34-U34</f>
        <v>13</v>
      </c>
      <c r="X34" s="150"/>
      <c r="Y34" s="110"/>
      <c r="Z34" s="110"/>
      <c r="AA34" s="110"/>
      <c r="AB34" s="150"/>
      <c r="AC34" s="110">
        <f t="shared" si="0"/>
        <v>0</v>
      </c>
      <c r="AD34" s="110">
        <f t="shared" si="0"/>
        <v>13</v>
      </c>
      <c r="AE34" s="110">
        <f>AD34-AC34</f>
        <v>13</v>
      </c>
      <c r="AF34" s="150"/>
    </row>
    <row r="35" spans="1:32" ht="20.100000000000001" customHeight="1">
      <c r="A35" s="100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110"/>
      <c r="N35" s="110"/>
      <c r="O35" s="110"/>
      <c r="P35" s="150"/>
      <c r="Q35" s="110"/>
      <c r="R35" s="110"/>
      <c r="S35" s="110"/>
      <c r="T35" s="150"/>
      <c r="U35" s="110"/>
      <c r="V35" s="110"/>
      <c r="W35" s="110">
        <f>V35-U35</f>
        <v>0</v>
      </c>
      <c r="X35" s="150"/>
      <c r="Y35" s="110"/>
      <c r="Z35" s="110"/>
      <c r="AA35" s="110">
        <f>Z35-Y35</f>
        <v>0</v>
      </c>
      <c r="AB35" s="150" t="e">
        <f>Z35/Y35*100</f>
        <v>#DIV/0!</v>
      </c>
      <c r="AC35" s="110">
        <f t="shared" si="0"/>
        <v>0</v>
      </c>
      <c r="AD35" s="110">
        <f t="shared" si="0"/>
        <v>0</v>
      </c>
      <c r="AE35" s="110">
        <f>AD35-AC35</f>
        <v>0</v>
      </c>
      <c r="AF35" s="150"/>
    </row>
    <row r="36" spans="1:32" ht="24.95" customHeight="1">
      <c r="A36" s="316" t="s">
        <v>45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8"/>
      <c r="M36" s="133">
        <f t="shared" ref="M36:AD36" si="1">SUM(M32:M35)</f>
        <v>0</v>
      </c>
      <c r="N36" s="133">
        <f t="shared" si="1"/>
        <v>0</v>
      </c>
      <c r="O36" s="133"/>
      <c r="P36" s="151"/>
      <c r="Q36" s="133">
        <f t="shared" si="1"/>
        <v>0</v>
      </c>
      <c r="R36" s="133">
        <f t="shared" si="1"/>
        <v>0</v>
      </c>
      <c r="S36" s="133"/>
      <c r="T36" s="151"/>
      <c r="U36" s="133">
        <f t="shared" si="1"/>
        <v>0</v>
      </c>
      <c r="V36" s="133">
        <f t="shared" si="1"/>
        <v>13</v>
      </c>
      <c r="W36" s="133">
        <f>SUM(W32:W35)</f>
        <v>13</v>
      </c>
      <c r="X36" s="151" t="e">
        <f>V36/U36*100</f>
        <v>#DIV/0!</v>
      </c>
      <c r="Y36" s="133">
        <f t="shared" si="1"/>
        <v>0</v>
      </c>
      <c r="Z36" s="133">
        <f t="shared" si="1"/>
        <v>0</v>
      </c>
      <c r="AA36" s="133">
        <f>SUM(AA32:AA35)</f>
        <v>0</v>
      </c>
      <c r="AB36" s="151" t="e">
        <f>Z36/Y36*100</f>
        <v>#DIV/0!</v>
      </c>
      <c r="AC36" s="133">
        <f t="shared" si="1"/>
        <v>0</v>
      </c>
      <c r="AD36" s="133">
        <f t="shared" si="1"/>
        <v>13</v>
      </c>
      <c r="AE36" s="133">
        <f>SUM(AE32:AE35)</f>
        <v>13</v>
      </c>
      <c r="AF36" s="151"/>
    </row>
    <row r="37" spans="1:32" ht="24.95" customHeight="1">
      <c r="A37" s="296" t="s">
        <v>46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85" t="e">
        <f>M36/AC36*100</f>
        <v>#DIV/0!</v>
      </c>
      <c r="N37" s="85">
        <f>N36/AD36*100</f>
        <v>0</v>
      </c>
      <c r="O37" s="85"/>
      <c r="P37" s="85"/>
      <c r="Q37" s="85" t="e">
        <f>Q36/AC36*100</f>
        <v>#DIV/0!</v>
      </c>
      <c r="R37" s="85">
        <f>R36/AD36*100</f>
        <v>0</v>
      </c>
      <c r="S37" s="85"/>
      <c r="T37" s="85"/>
      <c r="U37" s="85" t="e">
        <f>U36/AC36*100</f>
        <v>#DIV/0!</v>
      </c>
      <c r="V37" s="85">
        <f>V36/AD36*100</f>
        <v>100</v>
      </c>
      <c r="W37" s="85"/>
      <c r="X37" s="85"/>
      <c r="Y37" s="85" t="e">
        <f>Y36/AC36*100</f>
        <v>#DIV/0!</v>
      </c>
      <c r="Z37" s="85">
        <f>Z36/AD36*100</f>
        <v>0</v>
      </c>
      <c r="AA37" s="85"/>
      <c r="AB37" s="85"/>
      <c r="AC37" s="85" t="e">
        <f>SUM(M37,Q37,U37,Y37)</f>
        <v>#DIV/0!</v>
      </c>
      <c r="AD37" s="85">
        <f>SUM(N37,R37,V37,Z37)</f>
        <v>100</v>
      </c>
      <c r="AE37" s="85"/>
      <c r="AF37" s="85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1" customFormat="1" ht="31.5" customHeight="1">
      <c r="C40" s="41" t="s">
        <v>167</v>
      </c>
    </row>
    <row r="41" spans="1:32" s="78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22" t="s">
        <v>292</v>
      </c>
      <c r="AE41" s="322"/>
      <c r="AF41" s="322"/>
    </row>
    <row r="42" spans="1:32" s="79" customFormat="1" ht="34.5" customHeight="1">
      <c r="A42" s="175" t="s">
        <v>41</v>
      </c>
      <c r="B42" s="246" t="s">
        <v>213</v>
      </c>
      <c r="C42" s="248"/>
      <c r="D42" s="179" t="s">
        <v>215</v>
      </c>
      <c r="E42" s="179"/>
      <c r="F42" s="179" t="s">
        <v>139</v>
      </c>
      <c r="G42" s="179"/>
      <c r="H42" s="179" t="s">
        <v>252</v>
      </c>
      <c r="I42" s="179"/>
      <c r="J42" s="179" t="s">
        <v>253</v>
      </c>
      <c r="K42" s="179"/>
      <c r="L42" s="179" t="s">
        <v>265</v>
      </c>
      <c r="M42" s="179"/>
      <c r="N42" s="179"/>
      <c r="O42" s="179"/>
      <c r="P42" s="179"/>
      <c r="Q42" s="179"/>
      <c r="R42" s="179"/>
      <c r="S42" s="179"/>
      <c r="T42" s="179"/>
      <c r="U42" s="179"/>
      <c r="V42" s="179" t="s">
        <v>214</v>
      </c>
      <c r="W42" s="179"/>
      <c r="X42" s="179"/>
      <c r="Y42" s="179"/>
      <c r="Z42" s="179"/>
      <c r="AA42" s="179" t="s">
        <v>262</v>
      </c>
      <c r="AB42" s="179"/>
      <c r="AC42" s="179"/>
      <c r="AD42" s="179"/>
      <c r="AE42" s="179"/>
      <c r="AF42" s="179"/>
    </row>
    <row r="43" spans="1:32" s="79" customFormat="1" ht="52.5" customHeight="1">
      <c r="A43" s="175"/>
      <c r="B43" s="300"/>
      <c r="C43" s="301"/>
      <c r="D43" s="179"/>
      <c r="E43" s="179"/>
      <c r="F43" s="179"/>
      <c r="G43" s="179"/>
      <c r="H43" s="179"/>
      <c r="I43" s="179"/>
      <c r="J43" s="179"/>
      <c r="K43" s="179"/>
      <c r="L43" s="179" t="s">
        <v>195</v>
      </c>
      <c r="M43" s="179"/>
      <c r="N43" s="179" t="s">
        <v>199</v>
      </c>
      <c r="O43" s="179"/>
      <c r="P43" s="179" t="s">
        <v>308</v>
      </c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</row>
    <row r="44" spans="1:32" s="80" customFormat="1" ht="82.5" customHeight="1">
      <c r="A44" s="175"/>
      <c r="B44" s="249"/>
      <c r="C44" s="251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 t="s">
        <v>196</v>
      </c>
      <c r="Q44" s="179"/>
      <c r="R44" s="179" t="s">
        <v>197</v>
      </c>
      <c r="S44" s="179"/>
      <c r="T44" s="179" t="s">
        <v>198</v>
      </c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</row>
    <row r="45" spans="1:32" s="79" customFormat="1" ht="18.75" customHeight="1">
      <c r="A45" s="66">
        <v>1</v>
      </c>
      <c r="B45" s="232">
        <v>2</v>
      </c>
      <c r="C45" s="234"/>
      <c r="D45" s="179">
        <v>3</v>
      </c>
      <c r="E45" s="179"/>
      <c r="F45" s="179">
        <v>4</v>
      </c>
      <c r="G45" s="179"/>
      <c r="H45" s="179">
        <v>5</v>
      </c>
      <c r="I45" s="179"/>
      <c r="J45" s="179">
        <v>6</v>
      </c>
      <c r="K45" s="179"/>
      <c r="L45" s="232">
        <v>7</v>
      </c>
      <c r="M45" s="234"/>
      <c r="N45" s="232">
        <v>8</v>
      </c>
      <c r="O45" s="234"/>
      <c r="P45" s="179">
        <v>9</v>
      </c>
      <c r="Q45" s="179"/>
      <c r="R45" s="175">
        <v>10</v>
      </c>
      <c r="S45" s="175"/>
      <c r="T45" s="179">
        <v>11</v>
      </c>
      <c r="U45" s="179"/>
      <c r="V45" s="179">
        <v>12</v>
      </c>
      <c r="W45" s="179"/>
      <c r="X45" s="179"/>
      <c r="Y45" s="179"/>
      <c r="Z45" s="179"/>
      <c r="AA45" s="179">
        <v>13</v>
      </c>
      <c r="AB45" s="179"/>
      <c r="AC45" s="179"/>
      <c r="AD45" s="179"/>
      <c r="AE45" s="179"/>
      <c r="AF45" s="179"/>
    </row>
    <row r="46" spans="1:32" s="79" customFormat="1" ht="20.100000000000001" customHeight="1">
      <c r="A46" s="98"/>
      <c r="B46" s="323" t="s">
        <v>307</v>
      </c>
      <c r="C46" s="324"/>
      <c r="D46" s="278" t="s">
        <v>307</v>
      </c>
      <c r="E46" s="278"/>
      <c r="F46" s="256" t="s">
        <v>307</v>
      </c>
      <c r="G46" s="256"/>
      <c r="H46" s="256" t="s">
        <v>307</v>
      </c>
      <c r="I46" s="256"/>
      <c r="J46" s="256" t="s">
        <v>307</v>
      </c>
      <c r="K46" s="256"/>
      <c r="L46" s="218" t="s">
        <v>307</v>
      </c>
      <c r="M46" s="220"/>
      <c r="N46" s="325">
        <f t="shared" ref="N46:N52" si="2">SUM(P46,R46,T46)</f>
        <v>0</v>
      </c>
      <c r="O46" s="326"/>
      <c r="P46" s="256" t="s">
        <v>307</v>
      </c>
      <c r="Q46" s="256"/>
      <c r="R46" s="256" t="s">
        <v>307</v>
      </c>
      <c r="S46" s="256"/>
      <c r="T46" s="256" t="s">
        <v>307</v>
      </c>
      <c r="U46" s="256"/>
      <c r="V46" s="337" t="s">
        <v>307</v>
      </c>
      <c r="W46" s="337"/>
      <c r="X46" s="337"/>
      <c r="Y46" s="337"/>
      <c r="Z46" s="337"/>
      <c r="AA46" s="276" t="s">
        <v>307</v>
      </c>
      <c r="AB46" s="276"/>
      <c r="AC46" s="276"/>
      <c r="AD46" s="276"/>
      <c r="AE46" s="276"/>
      <c r="AF46" s="276"/>
    </row>
    <row r="47" spans="1:32" s="79" customFormat="1" ht="20.100000000000001" customHeight="1">
      <c r="A47" s="98"/>
      <c r="B47" s="323" t="s">
        <v>307</v>
      </c>
      <c r="C47" s="324"/>
      <c r="D47" s="278" t="s">
        <v>307</v>
      </c>
      <c r="E47" s="278"/>
      <c r="F47" s="256" t="s">
        <v>307</v>
      </c>
      <c r="G47" s="256"/>
      <c r="H47" s="256" t="s">
        <v>307</v>
      </c>
      <c r="I47" s="256"/>
      <c r="J47" s="256" t="s">
        <v>307</v>
      </c>
      <c r="K47" s="256"/>
      <c r="L47" s="218" t="s">
        <v>307</v>
      </c>
      <c r="M47" s="220"/>
      <c r="N47" s="218">
        <f t="shared" si="2"/>
        <v>0</v>
      </c>
      <c r="O47" s="220"/>
      <c r="P47" s="256" t="s">
        <v>307</v>
      </c>
      <c r="Q47" s="256"/>
      <c r="R47" s="256" t="s">
        <v>307</v>
      </c>
      <c r="S47" s="256"/>
      <c r="T47" s="256" t="s">
        <v>307</v>
      </c>
      <c r="U47" s="256"/>
      <c r="V47" s="337" t="s">
        <v>307</v>
      </c>
      <c r="W47" s="337"/>
      <c r="X47" s="337"/>
      <c r="Y47" s="337"/>
      <c r="Z47" s="337"/>
      <c r="AA47" s="276" t="s">
        <v>307</v>
      </c>
      <c r="AB47" s="276"/>
      <c r="AC47" s="276"/>
      <c r="AD47" s="276"/>
      <c r="AE47" s="276"/>
      <c r="AF47" s="276"/>
    </row>
    <row r="48" spans="1:32" s="79" customFormat="1" ht="20.100000000000001" customHeight="1">
      <c r="A48" s="98"/>
      <c r="B48" s="323" t="s">
        <v>307</v>
      </c>
      <c r="C48" s="324"/>
      <c r="D48" s="278" t="s">
        <v>307</v>
      </c>
      <c r="E48" s="278"/>
      <c r="F48" s="256" t="s">
        <v>307</v>
      </c>
      <c r="G48" s="256"/>
      <c r="H48" s="256" t="s">
        <v>307</v>
      </c>
      <c r="I48" s="256"/>
      <c r="J48" s="256" t="s">
        <v>307</v>
      </c>
      <c r="K48" s="256"/>
      <c r="L48" s="218" t="s">
        <v>307</v>
      </c>
      <c r="M48" s="220"/>
      <c r="N48" s="218">
        <f t="shared" si="2"/>
        <v>0</v>
      </c>
      <c r="O48" s="220"/>
      <c r="P48" s="256" t="s">
        <v>307</v>
      </c>
      <c r="Q48" s="256"/>
      <c r="R48" s="256" t="s">
        <v>307</v>
      </c>
      <c r="S48" s="256"/>
      <c r="T48" s="256" t="s">
        <v>307</v>
      </c>
      <c r="U48" s="256"/>
      <c r="V48" s="337" t="s">
        <v>307</v>
      </c>
      <c r="W48" s="337"/>
      <c r="X48" s="337"/>
      <c r="Y48" s="337"/>
      <c r="Z48" s="337"/>
      <c r="AA48" s="276" t="s">
        <v>307</v>
      </c>
      <c r="AB48" s="276"/>
      <c r="AC48" s="276"/>
      <c r="AD48" s="276"/>
      <c r="AE48" s="276"/>
      <c r="AF48" s="276"/>
    </row>
    <row r="49" spans="1:32" s="79" customFormat="1" ht="20.100000000000001" customHeight="1">
      <c r="A49" s="98"/>
      <c r="B49" s="323"/>
      <c r="C49" s="324"/>
      <c r="D49" s="278"/>
      <c r="E49" s="278"/>
      <c r="F49" s="256"/>
      <c r="G49" s="256"/>
      <c r="H49" s="256"/>
      <c r="I49" s="256"/>
      <c r="J49" s="256"/>
      <c r="K49" s="256"/>
      <c r="L49" s="218"/>
      <c r="M49" s="220"/>
      <c r="N49" s="218">
        <f t="shared" si="2"/>
        <v>0</v>
      </c>
      <c r="O49" s="220"/>
      <c r="P49" s="256"/>
      <c r="Q49" s="256"/>
      <c r="R49" s="256"/>
      <c r="S49" s="256"/>
      <c r="T49" s="256"/>
      <c r="U49" s="256"/>
      <c r="V49" s="337"/>
      <c r="W49" s="337"/>
      <c r="X49" s="337"/>
      <c r="Y49" s="337"/>
      <c r="Z49" s="337"/>
      <c r="AA49" s="276" t="s">
        <v>307</v>
      </c>
      <c r="AB49" s="276"/>
      <c r="AC49" s="276"/>
      <c r="AD49" s="276"/>
      <c r="AE49" s="276"/>
      <c r="AF49" s="276"/>
    </row>
    <row r="50" spans="1:32" s="79" customFormat="1" ht="20.100000000000001" customHeight="1">
      <c r="A50" s="98"/>
      <c r="B50" s="323"/>
      <c r="C50" s="324"/>
      <c r="D50" s="278"/>
      <c r="E50" s="278"/>
      <c r="F50" s="256"/>
      <c r="G50" s="256"/>
      <c r="H50" s="256"/>
      <c r="I50" s="256"/>
      <c r="J50" s="256"/>
      <c r="K50" s="256"/>
      <c r="L50" s="218"/>
      <c r="M50" s="220"/>
      <c r="N50" s="218">
        <f t="shared" si="2"/>
        <v>0</v>
      </c>
      <c r="O50" s="220"/>
      <c r="P50" s="256"/>
      <c r="Q50" s="256"/>
      <c r="R50" s="256"/>
      <c r="S50" s="256"/>
      <c r="T50" s="256"/>
      <c r="U50" s="256"/>
      <c r="V50" s="337"/>
      <c r="W50" s="337"/>
      <c r="X50" s="337"/>
      <c r="Y50" s="337"/>
      <c r="Z50" s="337"/>
      <c r="AA50" s="276"/>
      <c r="AB50" s="276"/>
      <c r="AC50" s="276"/>
      <c r="AD50" s="276"/>
      <c r="AE50" s="276"/>
      <c r="AF50" s="276"/>
    </row>
    <row r="51" spans="1:32" s="79" customFormat="1" ht="20.100000000000001" customHeight="1">
      <c r="A51" s="98"/>
      <c r="B51" s="323"/>
      <c r="C51" s="324"/>
      <c r="D51" s="278"/>
      <c r="E51" s="278"/>
      <c r="F51" s="256"/>
      <c r="G51" s="256"/>
      <c r="H51" s="256"/>
      <c r="I51" s="256"/>
      <c r="J51" s="256"/>
      <c r="K51" s="256"/>
      <c r="L51" s="218"/>
      <c r="M51" s="220"/>
      <c r="N51" s="218">
        <f t="shared" si="2"/>
        <v>0</v>
      </c>
      <c r="O51" s="220"/>
      <c r="P51" s="256"/>
      <c r="Q51" s="256"/>
      <c r="R51" s="256"/>
      <c r="S51" s="256"/>
      <c r="T51" s="256"/>
      <c r="U51" s="256"/>
      <c r="V51" s="337"/>
      <c r="W51" s="337"/>
      <c r="X51" s="337"/>
      <c r="Y51" s="337"/>
      <c r="Z51" s="337"/>
      <c r="AA51" s="276"/>
      <c r="AB51" s="276"/>
      <c r="AC51" s="276"/>
      <c r="AD51" s="276"/>
      <c r="AE51" s="276"/>
      <c r="AF51" s="276"/>
    </row>
    <row r="52" spans="1:32" s="79" customFormat="1" ht="20.100000000000001" customHeight="1">
      <c r="A52" s="98"/>
      <c r="B52" s="323"/>
      <c r="C52" s="324"/>
      <c r="D52" s="278"/>
      <c r="E52" s="278"/>
      <c r="F52" s="256"/>
      <c r="G52" s="256"/>
      <c r="H52" s="256"/>
      <c r="I52" s="256"/>
      <c r="J52" s="256"/>
      <c r="K52" s="256"/>
      <c r="L52" s="218"/>
      <c r="M52" s="220"/>
      <c r="N52" s="218">
        <f t="shared" si="2"/>
        <v>0</v>
      </c>
      <c r="O52" s="220"/>
      <c r="P52" s="256"/>
      <c r="Q52" s="256"/>
      <c r="R52" s="256"/>
      <c r="S52" s="256"/>
      <c r="T52" s="256"/>
      <c r="U52" s="256"/>
      <c r="V52" s="337"/>
      <c r="W52" s="337"/>
      <c r="X52" s="337"/>
      <c r="Y52" s="337"/>
      <c r="Z52" s="337"/>
      <c r="AA52" s="276"/>
      <c r="AB52" s="276"/>
      <c r="AC52" s="276"/>
      <c r="AD52" s="276"/>
      <c r="AE52" s="276"/>
      <c r="AF52" s="276"/>
    </row>
    <row r="53" spans="1:32" s="79" customFormat="1" ht="24.95" customHeight="1">
      <c r="A53" s="368" t="s">
        <v>45</v>
      </c>
      <c r="B53" s="369"/>
      <c r="C53" s="369"/>
      <c r="D53" s="369"/>
      <c r="E53" s="370"/>
      <c r="F53" s="267">
        <f>SUM(F46:F52)</f>
        <v>0</v>
      </c>
      <c r="G53" s="267"/>
      <c r="H53" s="267">
        <f>SUM(H46:H52)</f>
        <v>0</v>
      </c>
      <c r="I53" s="267"/>
      <c r="J53" s="267">
        <f>SUM(J46:J52)</f>
        <v>0</v>
      </c>
      <c r="K53" s="267"/>
      <c r="L53" s="267">
        <f>SUM(L46:L52)</f>
        <v>0</v>
      </c>
      <c r="M53" s="267"/>
      <c r="N53" s="267">
        <f>SUM(N46:N52)</f>
        <v>0</v>
      </c>
      <c r="O53" s="267"/>
      <c r="P53" s="267">
        <f>SUM(P46:P52)</f>
        <v>0</v>
      </c>
      <c r="Q53" s="267"/>
      <c r="R53" s="267">
        <f>SUM(R46:R52)</f>
        <v>0</v>
      </c>
      <c r="S53" s="267"/>
      <c r="T53" s="267">
        <f>SUM(T46:T52)</f>
        <v>0</v>
      </c>
      <c r="U53" s="267"/>
      <c r="V53" s="366"/>
      <c r="W53" s="366"/>
      <c r="X53" s="366"/>
      <c r="Y53" s="366"/>
      <c r="Z53" s="366"/>
      <c r="AA53" s="268"/>
      <c r="AB53" s="268"/>
      <c r="AC53" s="268"/>
      <c r="AD53" s="268"/>
      <c r="AE53" s="268"/>
      <c r="AF53" s="268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367" t="s">
        <v>426</v>
      </c>
      <c r="C57" s="367"/>
      <c r="D57" s="367"/>
      <c r="E57" s="367"/>
      <c r="F57" s="367"/>
      <c r="G57" s="36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193" t="s">
        <v>64</v>
      </c>
      <c r="C58" s="193"/>
      <c r="D58" s="193"/>
      <c r="E58" s="193"/>
      <c r="F58" s="193"/>
      <c r="G58" s="193"/>
      <c r="H58" s="19"/>
      <c r="I58" s="19"/>
      <c r="J58" s="19"/>
      <c r="K58" s="19"/>
      <c r="L58" s="19"/>
      <c r="M58" s="364" t="s">
        <v>194</v>
      </c>
      <c r="N58" s="364"/>
      <c r="O58" s="364"/>
      <c r="P58" s="364"/>
      <c r="Q58" s="364"/>
      <c r="R58" s="19"/>
      <c r="S58" s="19"/>
      <c r="T58" s="19"/>
      <c r="U58" s="19"/>
      <c r="V58" s="19"/>
      <c r="W58" s="365" t="s">
        <v>325</v>
      </c>
      <c r="X58" s="365"/>
      <c r="Y58" s="365"/>
      <c r="Z58" s="365"/>
      <c r="AA58" s="365"/>
    </row>
    <row r="59" spans="1:32" s="4" customFormat="1">
      <c r="F59" s="25"/>
      <c r="G59" s="25"/>
      <c r="H59" s="41"/>
      <c r="I59" s="41"/>
      <c r="J59" s="41"/>
      <c r="K59" s="41"/>
      <c r="L59" s="41"/>
      <c r="M59" s="193" t="s">
        <v>65</v>
      </c>
      <c r="N59" s="193"/>
      <c r="O59" s="193"/>
      <c r="P59" s="193"/>
      <c r="Q59" s="193"/>
      <c r="V59" s="2"/>
      <c r="W59" s="193" t="s">
        <v>100</v>
      </c>
      <c r="X59" s="193"/>
      <c r="Y59" s="193"/>
      <c r="Z59" s="193"/>
      <c r="AA59" s="193"/>
    </row>
    <row r="60" spans="1:32" s="4" customFormat="1">
      <c r="A60" s="4" t="s">
        <v>308</v>
      </c>
      <c r="B60" s="2"/>
      <c r="C60" s="158" t="s">
        <v>312</v>
      </c>
      <c r="D60" s="35"/>
      <c r="E60" s="35"/>
      <c r="F60" s="35"/>
      <c r="G60" s="35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158" t="s">
        <v>313</v>
      </c>
      <c r="D61" s="35"/>
      <c r="E61" s="35"/>
      <c r="F61" s="35"/>
      <c r="G61" s="35"/>
      <c r="H61" s="35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35"/>
      <c r="V61" s="35"/>
    </row>
    <row r="62" spans="1:32">
      <c r="C62" s="36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32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32">
      <c r="C64" s="36"/>
    </row>
    <row r="67" spans="3:3" ht="19.5">
      <c r="C67" s="37"/>
    </row>
    <row r="68" spans="3:3" ht="19.5">
      <c r="C68" s="37"/>
    </row>
    <row r="69" spans="3:3" ht="19.5">
      <c r="C69" s="37"/>
    </row>
    <row r="70" spans="3:3" ht="19.5">
      <c r="C70" s="37"/>
    </row>
    <row r="71" spans="3:3" ht="19.5">
      <c r="C71" s="37"/>
    </row>
    <row r="72" spans="3:3" ht="19.5">
      <c r="C72" s="37"/>
    </row>
    <row r="73" spans="3:3" ht="19.5">
      <c r="C73" s="37"/>
    </row>
  </sheetData>
  <mergeCells count="290">
    <mergeCell ref="AE5:AF5"/>
    <mergeCell ref="AE6:AF6"/>
    <mergeCell ref="AE7:AF7"/>
    <mergeCell ref="AE8:AF8"/>
    <mergeCell ref="AC9:AD9"/>
    <mergeCell ref="AC10:AD10"/>
    <mergeCell ref="AE9:AF9"/>
    <mergeCell ref="AE10:AF10"/>
    <mergeCell ref="AA7:AB7"/>
    <mergeCell ref="AA8:AB8"/>
    <mergeCell ref="AC5:AD5"/>
    <mergeCell ref="AC6:AD6"/>
    <mergeCell ref="AC7:AD7"/>
    <mergeCell ref="AC8:AD8"/>
    <mergeCell ref="AA10:AB10"/>
    <mergeCell ref="U3:AF3"/>
    <mergeCell ref="X7:Z7"/>
    <mergeCell ref="X8:Z8"/>
    <mergeCell ref="U8:W8"/>
    <mergeCell ref="AA4:AB4"/>
    <mergeCell ref="AE4:AF4"/>
    <mergeCell ref="AA6:AB6"/>
    <mergeCell ref="X6:Z6"/>
    <mergeCell ref="AA5:AB5"/>
    <mergeCell ref="AC4:AD4"/>
    <mergeCell ref="R23:T23"/>
    <mergeCell ref="AD18:AF18"/>
    <mergeCell ref="AD19:AF19"/>
    <mergeCell ref="AD20:AF20"/>
    <mergeCell ref="AD21:AF21"/>
    <mergeCell ref="AD23:AF23"/>
    <mergeCell ref="U22:W22"/>
    <mergeCell ref="AA18:AC18"/>
    <mergeCell ref="AA9:AB9"/>
    <mergeCell ref="H19:O19"/>
    <mergeCell ref="D9:F9"/>
    <mergeCell ref="D18:G18"/>
    <mergeCell ref="B19:C19"/>
    <mergeCell ref="H18:O18"/>
    <mergeCell ref="X4:Z4"/>
    <mergeCell ref="A15:A17"/>
    <mergeCell ref="D15:G17"/>
    <mergeCell ref="H15:O17"/>
    <mergeCell ref="B18:C18"/>
    <mergeCell ref="B15:C17"/>
    <mergeCell ref="B9:C9"/>
    <mergeCell ref="L46:M46"/>
    <mergeCell ref="H46:I46"/>
    <mergeCell ref="J45:K45"/>
    <mergeCell ref="P44:Q44"/>
    <mergeCell ref="N45:O45"/>
    <mergeCell ref="N43:O44"/>
    <mergeCell ref="L43:M44"/>
    <mergeCell ref="H42:I44"/>
    <mergeCell ref="J42:K44"/>
    <mergeCell ref="H45:I45"/>
    <mergeCell ref="P21:Q21"/>
    <mergeCell ref="R21:T21"/>
    <mergeCell ref="R9:T9"/>
    <mergeCell ref="P18:Q18"/>
    <mergeCell ref="R20:T20"/>
    <mergeCell ref="R16:T17"/>
    <mergeCell ref="R18:T18"/>
    <mergeCell ref="R19:T19"/>
    <mergeCell ref="L53:M53"/>
    <mergeCell ref="N53:O53"/>
    <mergeCell ref="V51:Z51"/>
    <mergeCell ref="G9:Q9"/>
    <mergeCell ref="D19:G19"/>
    <mergeCell ref="D20:G20"/>
    <mergeCell ref="A10:Q10"/>
    <mergeCell ref="P19:Q19"/>
    <mergeCell ref="P20:Q20"/>
    <mergeCell ref="B20:C20"/>
    <mergeCell ref="B58:G58"/>
    <mergeCell ref="J53:K53"/>
    <mergeCell ref="F53:G53"/>
    <mergeCell ref="B57:G57"/>
    <mergeCell ref="A53:E53"/>
    <mergeCell ref="H53:I53"/>
    <mergeCell ref="M58:Q58"/>
    <mergeCell ref="M59:Q59"/>
    <mergeCell ref="V52:Z52"/>
    <mergeCell ref="R53:S53"/>
    <mergeCell ref="W58:AA58"/>
    <mergeCell ref="T53:U53"/>
    <mergeCell ref="N52:O52"/>
    <mergeCell ref="P52:Q52"/>
    <mergeCell ref="V53:Z53"/>
    <mergeCell ref="P53:Q53"/>
    <mergeCell ref="V48:Z48"/>
    <mergeCell ref="T48:U48"/>
    <mergeCell ref="T52:U52"/>
    <mergeCell ref="W59:AA59"/>
    <mergeCell ref="T51:U51"/>
    <mergeCell ref="T50:U50"/>
    <mergeCell ref="V50:Z50"/>
    <mergeCell ref="T49:U49"/>
    <mergeCell ref="V49:Z49"/>
    <mergeCell ref="AA52:AF52"/>
    <mergeCell ref="AD27:AF27"/>
    <mergeCell ref="Z27:AB27"/>
    <mergeCell ref="B31:L31"/>
    <mergeCell ref="S29:S30"/>
    <mergeCell ref="M29:M30"/>
    <mergeCell ref="N29:N30"/>
    <mergeCell ref="T29:T30"/>
    <mergeCell ref="Q28:T28"/>
    <mergeCell ref="O29:O30"/>
    <mergeCell ref="Q29:Q30"/>
    <mergeCell ref="AA19:AC19"/>
    <mergeCell ref="AA20:AC20"/>
    <mergeCell ref="X20:Z20"/>
    <mergeCell ref="X21:Z21"/>
    <mergeCell ref="V45:Z45"/>
    <mergeCell ref="T44:U44"/>
    <mergeCell ref="T45:U45"/>
    <mergeCell ref="Y29:Y30"/>
    <mergeCell ref="Z29:Z30"/>
    <mergeCell ref="AA29:AA30"/>
    <mergeCell ref="AB29:AB30"/>
    <mergeCell ref="AA23:AC23"/>
    <mergeCell ref="X22:Z22"/>
    <mergeCell ref="U28:X28"/>
    <mergeCell ref="V29:V30"/>
    <mergeCell ref="R3:T4"/>
    <mergeCell ref="AD15:AF17"/>
    <mergeCell ref="AA15:AC17"/>
    <mergeCell ref="P15:Q17"/>
    <mergeCell ref="R15:Z15"/>
    <mergeCell ref="AD22:AF22"/>
    <mergeCell ref="AA22:AC22"/>
    <mergeCell ref="AA21:AC21"/>
    <mergeCell ref="X18:Z18"/>
    <mergeCell ref="X19:Z19"/>
    <mergeCell ref="U18:W18"/>
    <mergeCell ref="A3:A4"/>
    <mergeCell ref="U6:W6"/>
    <mergeCell ref="U4:W4"/>
    <mergeCell ref="R5:T5"/>
    <mergeCell ref="U5:W5"/>
    <mergeCell ref="G3:Q4"/>
    <mergeCell ref="G5:Q5"/>
    <mergeCell ref="B3:C4"/>
    <mergeCell ref="D3:F4"/>
    <mergeCell ref="D8:F8"/>
    <mergeCell ref="G8:Q8"/>
    <mergeCell ref="H20:O20"/>
    <mergeCell ref="X5:Z5"/>
    <mergeCell ref="G7:Q7"/>
    <mergeCell ref="U7:W7"/>
    <mergeCell ref="G6:Q6"/>
    <mergeCell ref="R6:T6"/>
    <mergeCell ref="R10:T10"/>
    <mergeCell ref="U10:W10"/>
    <mergeCell ref="X23:Z23"/>
    <mergeCell ref="V46:Z46"/>
    <mergeCell ref="U16:W17"/>
    <mergeCell ref="B8:C8"/>
    <mergeCell ref="D5:F5"/>
    <mergeCell ref="D6:F6"/>
    <mergeCell ref="D7:F7"/>
    <mergeCell ref="B5:C5"/>
    <mergeCell ref="B6:C6"/>
    <mergeCell ref="B7:C7"/>
    <mergeCell ref="X10:Z10"/>
    <mergeCell ref="R8:T8"/>
    <mergeCell ref="R7:T7"/>
    <mergeCell ref="U9:W9"/>
    <mergeCell ref="X9:Z9"/>
    <mergeCell ref="X16:Z17"/>
    <mergeCell ref="U23:W23"/>
    <mergeCell ref="U20:W20"/>
    <mergeCell ref="U19:W19"/>
    <mergeCell ref="W29:W30"/>
    <mergeCell ref="U21:W21"/>
    <mergeCell ref="U29:U30"/>
    <mergeCell ref="P22:Q22"/>
    <mergeCell ref="R22:T22"/>
    <mergeCell ref="H48:I48"/>
    <mergeCell ref="J48:K48"/>
    <mergeCell ref="H47:I47"/>
    <mergeCell ref="T47:U47"/>
    <mergeCell ref="R47:S47"/>
    <mergeCell ref="N48:O48"/>
    <mergeCell ref="P48:Q48"/>
    <mergeCell ref="L47:M47"/>
    <mergeCell ref="N51:O51"/>
    <mergeCell ref="P51:Q51"/>
    <mergeCell ref="R29:R30"/>
    <mergeCell ref="A23:Q23"/>
    <mergeCell ref="H22:O22"/>
    <mergeCell ref="B21:C21"/>
    <mergeCell ref="D22:G22"/>
    <mergeCell ref="B22:C22"/>
    <mergeCell ref="H21:O21"/>
    <mergeCell ref="D21:G21"/>
    <mergeCell ref="J52:K52"/>
    <mergeCell ref="J51:K51"/>
    <mergeCell ref="H52:I52"/>
    <mergeCell ref="R52:S52"/>
    <mergeCell ref="L49:M49"/>
    <mergeCell ref="R49:S49"/>
    <mergeCell ref="N49:O49"/>
    <mergeCell ref="P49:Q49"/>
    <mergeCell ref="R51:S51"/>
    <mergeCell ref="L51:M51"/>
    <mergeCell ref="D47:E47"/>
    <mergeCell ref="B48:C48"/>
    <mergeCell ref="F46:G46"/>
    <mergeCell ref="J46:K46"/>
    <mergeCell ref="J47:K47"/>
    <mergeCell ref="B46:C46"/>
    <mergeCell ref="B47:C47"/>
    <mergeCell ref="F47:G47"/>
    <mergeCell ref="H49:I49"/>
    <mergeCell ref="H50:I50"/>
    <mergeCell ref="B50:C50"/>
    <mergeCell ref="D52:E52"/>
    <mergeCell ref="F52:G52"/>
    <mergeCell ref="B51:C51"/>
    <mergeCell ref="B49:C49"/>
    <mergeCell ref="B52:C52"/>
    <mergeCell ref="D51:E51"/>
    <mergeCell ref="H51:I51"/>
    <mergeCell ref="D48:E48"/>
    <mergeCell ref="F48:G48"/>
    <mergeCell ref="D50:E50"/>
    <mergeCell ref="F51:G51"/>
    <mergeCell ref="D49:E49"/>
    <mergeCell ref="F49:G49"/>
    <mergeCell ref="F50:G50"/>
    <mergeCell ref="AA53:AF53"/>
    <mergeCell ref="AA48:AF48"/>
    <mergeCell ref="AA49:AF49"/>
    <mergeCell ref="AA50:AF50"/>
    <mergeCell ref="AA51:AF51"/>
    <mergeCell ref="L52:M52"/>
    <mergeCell ref="L50:M50"/>
    <mergeCell ref="L48:M48"/>
    <mergeCell ref="N50:O50"/>
    <mergeCell ref="P50:Q50"/>
    <mergeCell ref="AC28:AF28"/>
    <mergeCell ref="AD29:AD30"/>
    <mergeCell ref="AE29:AE30"/>
    <mergeCell ref="AF29:AF30"/>
    <mergeCell ref="R50:S50"/>
    <mergeCell ref="J49:K49"/>
    <mergeCell ref="J50:K50"/>
    <mergeCell ref="N46:O46"/>
    <mergeCell ref="R48:S48"/>
    <mergeCell ref="V47:Z47"/>
    <mergeCell ref="Y28:AB28"/>
    <mergeCell ref="N47:O47"/>
    <mergeCell ref="P46:Q46"/>
    <mergeCell ref="P47:Q47"/>
    <mergeCell ref="AA45:AF45"/>
    <mergeCell ref="AC29:AC30"/>
    <mergeCell ref="AA46:AF46"/>
    <mergeCell ref="AA47:AF47"/>
    <mergeCell ref="AA42:AF44"/>
    <mergeCell ref="AD41:AF41"/>
    <mergeCell ref="A28:A30"/>
    <mergeCell ref="D42:E44"/>
    <mergeCell ref="B28:L30"/>
    <mergeCell ref="V42:Z44"/>
    <mergeCell ref="P29:P30"/>
    <mergeCell ref="A36:L36"/>
    <mergeCell ref="A37:L37"/>
    <mergeCell ref="X29:X30"/>
    <mergeCell ref="M28:P28"/>
    <mergeCell ref="B32:L32"/>
    <mergeCell ref="B33:L33"/>
    <mergeCell ref="P45:Q45"/>
    <mergeCell ref="T46:U46"/>
    <mergeCell ref="R46:S46"/>
    <mergeCell ref="D46:E46"/>
    <mergeCell ref="B34:L34"/>
    <mergeCell ref="B35:L35"/>
    <mergeCell ref="L42:U42"/>
    <mergeCell ref="B42:C44"/>
    <mergeCell ref="F42:G44"/>
    <mergeCell ref="A42:A44"/>
    <mergeCell ref="P43:U43"/>
    <mergeCell ref="D45:E45"/>
    <mergeCell ref="B45:C45"/>
    <mergeCell ref="F45:G45"/>
    <mergeCell ref="L45:M45"/>
    <mergeCell ref="R45:S45"/>
    <mergeCell ref="R44:S44"/>
  </mergeCells>
  <phoneticPr fontId="3" type="noConversion"/>
  <pageMargins left="0.72" right="0.59055118110236227" top="0.78740157480314965" bottom="0.78740157480314965" header="0.31496062992125984" footer="0.31496062992125984"/>
  <pageSetup paperSize="9" scale="33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AE37:AF37 R10 U10:Z10 R23 M36:N36 F53:U53" formulaRange="1"/>
    <ignoredError sqref="AA37:AB37 O37 M37 P37:Q37 S37:U37 W37:Y37" evalError="1" formulaRange="1"/>
    <ignoredError sqref="AC37:AD37 AB35 N37 R37 V37 Z37 AD23:AF23 AE6:AE10" evalError="1"/>
    <ignoredError sqref="AC36:AD36 U36:V36 Y36:Z36 Q36:R36" evalError="1" formula="1" formulaRange="1"/>
    <ignoredError sqref="AB36 X36" evalError="1" formula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2017-05-16T07:56:16Z</cp:lastPrinted>
  <dcterms:created xsi:type="dcterms:W3CDTF">2003-03-13T16:00:22Z</dcterms:created>
  <dcterms:modified xsi:type="dcterms:W3CDTF">2018-03-21T13:23:36Z</dcterms:modified>
</cp:coreProperties>
</file>