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372"/>
  </bookViews>
  <sheets>
    <sheet name="інформація про бюджет" sheetId="2" r:id="rId1"/>
    <sheet name="Бюджет розвитку" sheetId="1" r:id="rId2"/>
  </sheets>
  <definedNames>
    <definedName name="_xlnm.Print_Area" localSheetId="1">'Бюджет розвитку'!$A$1:$J$106</definedName>
    <definedName name="_xlnm.Print_Area" localSheetId="0">'інформація про бюджет'!$A$1:$K$263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H58" i="1"/>
  <c r="G59" i="1"/>
  <c r="D58" i="1"/>
  <c r="C58" i="1"/>
  <c r="C59" i="1"/>
  <c r="H88" i="1" l="1"/>
  <c r="D88" i="1"/>
  <c r="H66" i="1"/>
  <c r="D66" i="1"/>
  <c r="H9" i="1"/>
  <c r="D9" i="1"/>
  <c r="C9" i="1" s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 l="1"/>
  <c r="J25" i="2" l="1"/>
  <c r="I140" i="2"/>
  <c r="G140" i="2"/>
  <c r="H47" i="2"/>
  <c r="H39" i="2"/>
  <c r="H155" i="2" l="1"/>
  <c r="I155" i="2" s="1"/>
  <c r="F155" i="2"/>
  <c r="G155" i="2" s="1"/>
  <c r="H137" i="2"/>
  <c r="H130" i="2"/>
  <c r="F130" i="2"/>
  <c r="F126" i="2"/>
  <c r="H60" i="2"/>
  <c r="F60" i="2"/>
  <c r="F47" i="2"/>
  <c r="F39" i="2"/>
  <c r="H38" i="2"/>
  <c r="F38" i="2"/>
  <c r="G32" i="2"/>
  <c r="H32" i="2"/>
  <c r="K32" i="2" s="1"/>
  <c r="I32" i="2"/>
  <c r="F32" i="2"/>
  <c r="J32" i="2" s="1"/>
  <c r="E25" i="2"/>
  <c r="I255" i="2"/>
  <c r="H255" i="2"/>
  <c r="G255" i="2"/>
  <c r="F255" i="2"/>
  <c r="E255" i="2"/>
  <c r="D255" i="2"/>
  <c r="I252" i="2"/>
  <c r="H252" i="2"/>
  <c r="G252" i="2"/>
  <c r="F252" i="2"/>
  <c r="E252" i="2"/>
  <c r="K252" i="2" s="1"/>
  <c r="D252" i="2"/>
  <c r="D245" i="2"/>
  <c r="D250" i="2"/>
  <c r="K257" i="2"/>
  <c r="J257" i="2"/>
  <c r="K256" i="2"/>
  <c r="J256" i="2"/>
  <c r="K254" i="2"/>
  <c r="J254" i="2"/>
  <c r="K253" i="2"/>
  <c r="J253" i="2"/>
  <c r="K25" i="2"/>
  <c r="D121" i="2"/>
  <c r="D120" i="2"/>
  <c r="D107" i="2"/>
  <c r="D108" i="2"/>
  <c r="K255" i="2" l="1"/>
  <c r="J252" i="2"/>
  <c r="J255" i="2"/>
  <c r="G13" i="2" l="1"/>
  <c r="I13" i="2"/>
  <c r="G14" i="2"/>
  <c r="I14" i="2"/>
  <c r="F19" i="2" l="1"/>
  <c r="G19" i="2"/>
  <c r="H19" i="2"/>
  <c r="I19" i="2"/>
  <c r="F24" i="2"/>
  <c r="G24" i="2"/>
  <c r="H24" i="2"/>
  <c r="I24" i="2"/>
  <c r="D76" i="2"/>
  <c r="E56" i="2"/>
  <c r="D56" i="2"/>
  <c r="G138" i="2"/>
  <c r="I138" i="2"/>
  <c r="F140" i="2"/>
  <c r="F138" i="2" s="1"/>
  <c r="K140" i="2"/>
  <c r="F26" i="2"/>
  <c r="G26" i="2"/>
  <c r="H26" i="2"/>
  <c r="I26" i="2"/>
  <c r="F27" i="2"/>
  <c r="G27" i="2"/>
  <c r="H27" i="2"/>
  <c r="I27" i="2"/>
  <c r="G23" i="2"/>
  <c r="H23" i="2"/>
  <c r="I23" i="2"/>
  <c r="F23" i="2"/>
  <c r="E22" i="2"/>
  <c r="K22" i="2" s="1"/>
  <c r="F22" i="2"/>
  <c r="G22" i="2"/>
  <c r="H22" i="2"/>
  <c r="I22" i="2"/>
  <c r="D22" i="2"/>
  <c r="J22" i="2" s="1"/>
  <c r="F21" i="2"/>
  <c r="G21" i="2"/>
  <c r="H21" i="2"/>
  <c r="I21" i="2"/>
  <c r="G20" i="2"/>
  <c r="I20" i="2"/>
  <c r="F18" i="2"/>
  <c r="G18" i="2"/>
  <c r="H18" i="2"/>
  <c r="I18" i="2"/>
  <c r="F17" i="2"/>
  <c r="G17" i="2"/>
  <c r="H17" i="2"/>
  <c r="I17" i="2"/>
  <c r="G15" i="2"/>
  <c r="I15" i="2"/>
  <c r="J16" i="2"/>
  <c r="K16" i="2"/>
  <c r="G12" i="2"/>
  <c r="I12" i="2"/>
  <c r="G11" i="2"/>
  <c r="I11" i="2"/>
  <c r="H49" i="2"/>
  <c r="F49" i="2"/>
  <c r="H48" i="2"/>
  <c r="F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I35" i="2"/>
  <c r="G35" i="2"/>
  <c r="E35" i="2"/>
  <c r="D35" i="2"/>
  <c r="F35" i="2" l="1"/>
  <c r="J48" i="2"/>
  <c r="K48" i="2"/>
  <c r="K35" i="2" s="1"/>
  <c r="J49" i="2"/>
  <c r="J35" i="2" s="1"/>
  <c r="K49" i="2"/>
  <c r="H140" i="2"/>
  <c r="J140" i="2"/>
  <c r="H35" i="2"/>
  <c r="H138" i="2" l="1"/>
  <c r="I166" i="2"/>
  <c r="I165" i="2"/>
  <c r="K166" i="2"/>
  <c r="J166" i="2"/>
  <c r="G166" i="2"/>
  <c r="K165" i="2"/>
  <c r="J165" i="2"/>
  <c r="G165" i="2"/>
  <c r="K164" i="2"/>
  <c r="J164" i="2"/>
  <c r="K163" i="2"/>
  <c r="J163" i="2"/>
  <c r="H162" i="2"/>
  <c r="F162" i="2"/>
  <c r="E162" i="2"/>
  <c r="D162" i="2"/>
  <c r="K251" i="2"/>
  <c r="K250" i="2" s="1"/>
  <c r="J251" i="2"/>
  <c r="J250" i="2" s="1"/>
  <c r="E250" i="2"/>
  <c r="K206" i="2"/>
  <c r="J206" i="2"/>
  <c r="K205" i="2"/>
  <c r="J205" i="2"/>
  <c r="K204" i="2"/>
  <c r="J204" i="2"/>
  <c r="K203" i="2"/>
  <c r="J203" i="2"/>
  <c r="E202" i="2"/>
  <c r="D202" i="2"/>
  <c r="K201" i="2"/>
  <c r="J201" i="2"/>
  <c r="K200" i="2"/>
  <c r="J200" i="2"/>
  <c r="K199" i="2"/>
  <c r="J199" i="2"/>
  <c r="I198" i="2"/>
  <c r="H198" i="2"/>
  <c r="G198" i="2"/>
  <c r="F198" i="2"/>
  <c r="K197" i="2"/>
  <c r="K196" i="2" s="1"/>
  <c r="J197" i="2"/>
  <c r="J196" i="2" s="1"/>
  <c r="E196" i="2"/>
  <c r="D196" i="2"/>
  <c r="K182" i="2"/>
  <c r="J182" i="2"/>
  <c r="K181" i="2"/>
  <c r="J181" i="2"/>
  <c r="E180" i="2"/>
  <c r="D180" i="2"/>
  <c r="K118" i="2"/>
  <c r="J118" i="2"/>
  <c r="K117" i="2"/>
  <c r="J117" i="2"/>
  <c r="E116" i="2"/>
  <c r="D116" i="2"/>
  <c r="K92" i="2"/>
  <c r="J92" i="2"/>
  <c r="K91" i="2"/>
  <c r="J91" i="2"/>
  <c r="K90" i="2"/>
  <c r="J90" i="2"/>
  <c r="E89" i="2"/>
  <c r="D89" i="2"/>
  <c r="F115" i="2"/>
  <c r="F104" i="2" s="1"/>
  <c r="H103" i="2"/>
  <c r="H93" i="2" s="1"/>
  <c r="F103" i="2"/>
  <c r="F93" i="2" s="1"/>
  <c r="G93" i="2"/>
  <c r="H249" i="2"/>
  <c r="H14" i="2" s="1"/>
  <c r="F249" i="2"/>
  <c r="F14" i="2" s="1"/>
  <c r="H248" i="2"/>
  <c r="K248" i="2" s="1"/>
  <c r="F248" i="2"/>
  <c r="J248" i="2" s="1"/>
  <c r="K247" i="2"/>
  <c r="J247" i="2"/>
  <c r="K246" i="2"/>
  <c r="J246" i="2"/>
  <c r="I245" i="2"/>
  <c r="G245" i="2"/>
  <c r="E245" i="2"/>
  <c r="E244" i="2"/>
  <c r="K244" i="2" s="1"/>
  <c r="D244" i="2"/>
  <c r="J244" i="2" s="1"/>
  <c r="E243" i="2"/>
  <c r="K243" i="2" s="1"/>
  <c r="D243" i="2"/>
  <c r="J243" i="2" s="1"/>
  <c r="E242" i="2"/>
  <c r="K242" i="2" s="1"/>
  <c r="D242" i="2"/>
  <c r="J242" i="2" s="1"/>
  <c r="E241" i="2"/>
  <c r="K241" i="2" s="1"/>
  <c r="D241" i="2"/>
  <c r="J241" i="2" s="1"/>
  <c r="E240" i="2"/>
  <c r="K240" i="2" s="1"/>
  <c r="D240" i="2"/>
  <c r="J240" i="2" s="1"/>
  <c r="K238" i="2"/>
  <c r="J238" i="2"/>
  <c r="E237" i="2"/>
  <c r="K237" i="2" s="1"/>
  <c r="D237" i="2"/>
  <c r="J237" i="2" s="1"/>
  <c r="E236" i="2"/>
  <c r="K236" i="2" s="1"/>
  <c r="D236" i="2"/>
  <c r="J236" i="2" s="1"/>
  <c r="K235" i="2"/>
  <c r="J235" i="2"/>
  <c r="K234" i="2"/>
  <c r="J234" i="2"/>
  <c r="I233" i="2"/>
  <c r="H233" i="2"/>
  <c r="G233" i="2"/>
  <c r="F233" i="2"/>
  <c r="I232" i="2"/>
  <c r="I221" i="2" s="1"/>
  <c r="H232" i="2"/>
  <c r="K232" i="2" s="1"/>
  <c r="G232" i="2"/>
  <c r="F232" i="2"/>
  <c r="J232" i="2" s="1"/>
  <c r="E231" i="2"/>
  <c r="K231" i="2" s="1"/>
  <c r="D231" i="2"/>
  <c r="J231" i="2" s="1"/>
  <c r="E230" i="2"/>
  <c r="D230" i="2"/>
  <c r="D21" i="2" s="1"/>
  <c r="J21" i="2" s="1"/>
  <c r="H229" i="2"/>
  <c r="F229" i="2"/>
  <c r="E229" i="2"/>
  <c r="D229" i="2"/>
  <c r="D20" i="2" s="1"/>
  <c r="E228" i="2"/>
  <c r="K228" i="2" s="1"/>
  <c r="D228" i="2"/>
  <c r="J228" i="2" s="1"/>
  <c r="G227" i="2"/>
  <c r="G221" i="2" s="1"/>
  <c r="H226" i="2"/>
  <c r="H15" i="2" s="1"/>
  <c r="F226" i="2"/>
  <c r="F15" i="2" s="1"/>
  <c r="E226" i="2"/>
  <c r="D226" i="2"/>
  <c r="E225" i="2"/>
  <c r="K225" i="2" s="1"/>
  <c r="D225" i="2"/>
  <c r="J225" i="2" s="1"/>
  <c r="H224" i="2"/>
  <c r="F224" i="2"/>
  <c r="E224" i="2"/>
  <c r="D224" i="2"/>
  <c r="H223" i="2"/>
  <c r="H12" i="2" s="1"/>
  <c r="F223" i="2"/>
  <c r="F12" i="2" s="1"/>
  <c r="E223" i="2"/>
  <c r="D223" i="2"/>
  <c r="H222" i="2"/>
  <c r="H11" i="2" s="1"/>
  <c r="F222" i="2"/>
  <c r="F11" i="2" s="1"/>
  <c r="E222" i="2"/>
  <c r="D222" i="2"/>
  <c r="H220" i="2"/>
  <c r="F220" i="2"/>
  <c r="H219" i="2"/>
  <c r="I219" i="2" s="1"/>
  <c r="F219" i="2"/>
  <c r="J219" i="2" s="1"/>
  <c r="K218" i="2"/>
  <c r="J218" i="2"/>
  <c r="K217" i="2"/>
  <c r="J217" i="2"/>
  <c r="E216" i="2"/>
  <c r="E213" i="2" s="1"/>
  <c r="D216" i="2"/>
  <c r="J216" i="2" s="1"/>
  <c r="K215" i="2"/>
  <c r="J215" i="2"/>
  <c r="K214" i="2"/>
  <c r="J214" i="2"/>
  <c r="K212" i="2"/>
  <c r="J212" i="2"/>
  <c r="E211" i="2"/>
  <c r="K211" i="2" s="1"/>
  <c r="D211" i="2"/>
  <c r="J211" i="2" s="1"/>
  <c r="E210" i="2"/>
  <c r="K210" i="2" s="1"/>
  <c r="D210" i="2"/>
  <c r="J210" i="2" s="1"/>
  <c r="K209" i="2"/>
  <c r="J209" i="2"/>
  <c r="K208" i="2"/>
  <c r="J208" i="2"/>
  <c r="H195" i="2"/>
  <c r="I195" i="2" s="1"/>
  <c r="F195" i="2"/>
  <c r="K194" i="2"/>
  <c r="J194" i="2"/>
  <c r="K193" i="2"/>
  <c r="J193" i="2"/>
  <c r="K192" i="2"/>
  <c r="J192" i="2"/>
  <c r="K191" i="2"/>
  <c r="J191" i="2"/>
  <c r="K190" i="2"/>
  <c r="J190" i="2"/>
  <c r="E189" i="2"/>
  <c r="E183" i="2" s="1"/>
  <c r="D189" i="2"/>
  <c r="D183" i="2" s="1"/>
  <c r="K188" i="2"/>
  <c r="J188" i="2"/>
  <c r="K187" i="2"/>
  <c r="J187" i="2"/>
  <c r="K186" i="2"/>
  <c r="J186" i="2"/>
  <c r="K185" i="2"/>
  <c r="J185" i="2"/>
  <c r="K184" i="2"/>
  <c r="J184" i="2"/>
  <c r="H179" i="2"/>
  <c r="K179" i="2" s="1"/>
  <c r="F179" i="2"/>
  <c r="G179" i="2" s="1"/>
  <c r="G167" i="2" s="1"/>
  <c r="K178" i="2"/>
  <c r="J178" i="2"/>
  <c r="K177" i="2"/>
  <c r="J177" i="2"/>
  <c r="K176" i="2"/>
  <c r="J176" i="2"/>
  <c r="K175" i="2"/>
  <c r="J175" i="2"/>
  <c r="K174" i="2"/>
  <c r="J174" i="2"/>
  <c r="E173" i="2"/>
  <c r="K173" i="2" s="1"/>
  <c r="D173" i="2"/>
  <c r="J173" i="2" s="1"/>
  <c r="K172" i="2"/>
  <c r="J172" i="2"/>
  <c r="E171" i="2"/>
  <c r="K171" i="2" s="1"/>
  <c r="D171" i="2"/>
  <c r="J171" i="2" s="1"/>
  <c r="E170" i="2"/>
  <c r="K170" i="2" s="1"/>
  <c r="D170" i="2"/>
  <c r="J170" i="2" s="1"/>
  <c r="K169" i="2"/>
  <c r="J169" i="2"/>
  <c r="K168" i="2"/>
  <c r="J168" i="2"/>
  <c r="E161" i="2"/>
  <c r="E160" i="2" s="1"/>
  <c r="D161" i="2"/>
  <c r="J161" i="2" s="1"/>
  <c r="J160" i="2" s="1"/>
  <c r="E159" i="2"/>
  <c r="E158" i="2" s="1"/>
  <c r="D159" i="2"/>
  <c r="J159" i="2" s="1"/>
  <c r="J158" i="2" s="1"/>
  <c r="E157" i="2"/>
  <c r="K157" i="2" s="1"/>
  <c r="K156" i="2" s="1"/>
  <c r="D157" i="2"/>
  <c r="J157" i="2" s="1"/>
  <c r="J156" i="2" s="1"/>
  <c r="E88" i="2"/>
  <c r="D88" i="2"/>
  <c r="E87" i="2"/>
  <c r="K87" i="2" s="1"/>
  <c r="D87" i="2"/>
  <c r="J87" i="2" s="1"/>
  <c r="E86" i="2"/>
  <c r="K86" i="2" s="1"/>
  <c r="D86" i="2"/>
  <c r="J86" i="2" s="1"/>
  <c r="E85" i="2"/>
  <c r="K85" i="2" s="1"/>
  <c r="D85" i="2"/>
  <c r="K83" i="2"/>
  <c r="J83" i="2"/>
  <c r="E82" i="2"/>
  <c r="K82" i="2" s="1"/>
  <c r="D82" i="2"/>
  <c r="J82" i="2" s="1"/>
  <c r="H81" i="2"/>
  <c r="F81" i="2"/>
  <c r="F13" i="2" s="1"/>
  <c r="E81" i="2"/>
  <c r="D81" i="2"/>
  <c r="E80" i="2"/>
  <c r="K80" i="2" s="1"/>
  <c r="D80" i="2"/>
  <c r="J80" i="2" s="1"/>
  <c r="E79" i="2"/>
  <c r="K79" i="2" s="1"/>
  <c r="D79" i="2"/>
  <c r="J79" i="2" s="1"/>
  <c r="I78" i="2"/>
  <c r="G78" i="2"/>
  <c r="H70" i="2"/>
  <c r="H30" i="2" s="1"/>
  <c r="K30" i="2" s="1"/>
  <c r="F70" i="2"/>
  <c r="F30" i="2" s="1"/>
  <c r="J30" i="2" s="1"/>
  <c r="H69" i="2"/>
  <c r="H57" i="2" s="1"/>
  <c r="F69" i="2"/>
  <c r="F57" i="2" s="1"/>
  <c r="E68" i="2"/>
  <c r="D68" i="2"/>
  <c r="E67" i="2"/>
  <c r="K67" i="2" s="1"/>
  <c r="D67" i="2"/>
  <c r="J67" i="2" s="1"/>
  <c r="E66" i="2"/>
  <c r="D66" i="2"/>
  <c r="E65" i="2"/>
  <c r="D65" i="2"/>
  <c r="E64" i="2"/>
  <c r="D64" i="2"/>
  <c r="E62" i="2"/>
  <c r="D62" i="2"/>
  <c r="E61" i="2"/>
  <c r="D61" i="2"/>
  <c r="E60" i="2"/>
  <c r="D60" i="2"/>
  <c r="E59" i="2"/>
  <c r="D59" i="2"/>
  <c r="E58" i="2"/>
  <c r="D58" i="2"/>
  <c r="K56" i="2"/>
  <c r="K55" i="2" s="1"/>
  <c r="J56" i="2"/>
  <c r="J55" i="2" s="1"/>
  <c r="D55" i="2"/>
  <c r="E54" i="2"/>
  <c r="D54" i="2"/>
  <c r="F28" i="2" l="1"/>
  <c r="J28" i="2" s="1"/>
  <c r="K198" i="2"/>
  <c r="J202" i="2"/>
  <c r="H13" i="2"/>
  <c r="J198" i="2"/>
  <c r="I162" i="2"/>
  <c r="J54" i="2"/>
  <c r="J53" i="2" s="1"/>
  <c r="K64" i="2"/>
  <c r="K66" i="2"/>
  <c r="K68" i="2"/>
  <c r="K70" i="2"/>
  <c r="F227" i="2"/>
  <c r="F20" i="2"/>
  <c r="J20" i="2" s="1"/>
  <c r="K54" i="2"/>
  <c r="K53" i="2" s="1"/>
  <c r="J65" i="2"/>
  <c r="J88" i="2"/>
  <c r="J195" i="2"/>
  <c r="F31" i="2"/>
  <c r="J31" i="2" s="1"/>
  <c r="K219" i="2"/>
  <c r="H227" i="2"/>
  <c r="H221" i="2" s="1"/>
  <c r="H20" i="2"/>
  <c r="J249" i="2"/>
  <c r="K65" i="2"/>
  <c r="K69" i="2"/>
  <c r="K88" i="2"/>
  <c r="I183" i="2"/>
  <c r="I31" i="2"/>
  <c r="G220" i="2"/>
  <c r="G29" i="2" s="1"/>
  <c r="F29" i="2"/>
  <c r="J29" i="2" s="1"/>
  <c r="K249" i="2"/>
  <c r="G162" i="2"/>
  <c r="H31" i="2"/>
  <c r="K31" i="2" s="1"/>
  <c r="J64" i="2"/>
  <c r="J66" i="2"/>
  <c r="J68" i="2"/>
  <c r="G70" i="2"/>
  <c r="G30" i="2" s="1"/>
  <c r="K159" i="2"/>
  <c r="K158" i="2" s="1"/>
  <c r="K220" i="2"/>
  <c r="H29" i="2"/>
  <c r="K29" i="2" s="1"/>
  <c r="E20" i="2"/>
  <c r="K230" i="2"/>
  <c r="E21" i="2"/>
  <c r="K21" i="2" s="1"/>
  <c r="K162" i="2"/>
  <c r="J162" i="2"/>
  <c r="K58" i="2"/>
  <c r="H78" i="2"/>
  <c r="J59" i="2"/>
  <c r="J61" i="2"/>
  <c r="G195" i="2"/>
  <c r="K59" i="2"/>
  <c r="E84" i="2"/>
  <c r="K84" i="2" s="1"/>
  <c r="D158" i="2"/>
  <c r="E227" i="2"/>
  <c r="E221" i="2" s="1"/>
  <c r="E239" i="2"/>
  <c r="K239" i="2" s="1"/>
  <c r="K180" i="2"/>
  <c r="K202" i="2"/>
  <c r="K60" i="2"/>
  <c r="K62" i="2"/>
  <c r="K61" i="2"/>
  <c r="K81" i="2"/>
  <c r="J58" i="2"/>
  <c r="J60" i="2"/>
  <c r="J62" i="2"/>
  <c r="F78" i="2"/>
  <c r="D156" i="2"/>
  <c r="K161" i="2"/>
  <c r="K160" i="2" s="1"/>
  <c r="K195" i="2"/>
  <c r="D213" i="2"/>
  <c r="J213" i="2" s="1"/>
  <c r="K226" i="2"/>
  <c r="J180" i="2"/>
  <c r="K89" i="2"/>
  <c r="K116" i="2"/>
  <c r="E156" i="2"/>
  <c r="F167" i="2"/>
  <c r="G219" i="2"/>
  <c r="G207" i="2" s="1"/>
  <c r="K222" i="2"/>
  <c r="K223" i="2"/>
  <c r="K224" i="2"/>
  <c r="J229" i="2"/>
  <c r="H183" i="2"/>
  <c r="K183" i="2" s="1"/>
  <c r="H245" i="2"/>
  <c r="K245" i="2" s="1"/>
  <c r="J89" i="2"/>
  <c r="J116" i="2"/>
  <c r="D227" i="2"/>
  <c r="D221" i="2" s="1"/>
  <c r="D160" i="2"/>
  <c r="I179" i="2"/>
  <c r="I167" i="2" s="1"/>
  <c r="J189" i="2"/>
  <c r="F207" i="2"/>
  <c r="I220" i="2"/>
  <c r="J222" i="2"/>
  <c r="K229" i="2"/>
  <c r="K189" i="2"/>
  <c r="J223" i="2"/>
  <c r="J224" i="2"/>
  <c r="J226" i="2"/>
  <c r="F221" i="2"/>
  <c r="K213" i="2"/>
  <c r="E207" i="2"/>
  <c r="D239" i="2"/>
  <c r="D167" i="2"/>
  <c r="H167" i="2"/>
  <c r="J179" i="2"/>
  <c r="F183" i="2"/>
  <c r="J183" i="2" s="1"/>
  <c r="D207" i="2"/>
  <c r="H207" i="2"/>
  <c r="J220" i="2"/>
  <c r="E167" i="2"/>
  <c r="K216" i="2"/>
  <c r="J230" i="2"/>
  <c r="F245" i="2"/>
  <c r="J245" i="2" s="1"/>
  <c r="I69" i="2"/>
  <c r="I57" i="2" s="1"/>
  <c r="D84" i="2"/>
  <c r="D78" i="2" s="1"/>
  <c r="D63" i="2"/>
  <c r="D53" i="2"/>
  <c r="J81" i="2"/>
  <c r="J69" i="2"/>
  <c r="E53" i="2"/>
  <c r="E55" i="2"/>
  <c r="G69" i="2"/>
  <c r="G57" i="2" s="1"/>
  <c r="I70" i="2"/>
  <c r="J70" i="2"/>
  <c r="J85" i="2"/>
  <c r="E63" i="2"/>
  <c r="E57" i="2" s="1"/>
  <c r="K20" i="2" l="1"/>
  <c r="G28" i="2"/>
  <c r="F9" i="2"/>
  <c r="I207" i="2"/>
  <c r="I29" i="2"/>
  <c r="J221" i="2"/>
  <c r="G183" i="2"/>
  <c r="G31" i="2"/>
  <c r="E78" i="2"/>
  <c r="K78" i="2" s="1"/>
  <c r="K221" i="2"/>
  <c r="K227" i="2"/>
  <c r="J167" i="2"/>
  <c r="E233" i="2"/>
  <c r="K233" i="2" s="1"/>
  <c r="J207" i="2"/>
  <c r="J227" i="2"/>
  <c r="J78" i="2"/>
  <c r="K167" i="2"/>
  <c r="J239" i="2"/>
  <c r="D233" i="2"/>
  <c r="J233" i="2" s="1"/>
  <c r="K207" i="2"/>
  <c r="J84" i="2"/>
  <c r="J63" i="2"/>
  <c r="D57" i="2"/>
  <c r="J57" i="2" s="1"/>
  <c r="K63" i="2"/>
  <c r="K57" i="2"/>
  <c r="G9" i="2" l="1"/>
  <c r="E50" i="2"/>
  <c r="D50" i="2"/>
  <c r="G51" i="1" l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H42" i="1"/>
  <c r="G42" i="1"/>
  <c r="D42" i="1"/>
  <c r="C42" i="1" s="1"/>
  <c r="G41" i="1"/>
  <c r="C41" i="1"/>
  <c r="G40" i="1"/>
  <c r="C40" i="1"/>
  <c r="H39" i="1"/>
  <c r="G39" i="1"/>
  <c r="D39" i="1"/>
  <c r="C39" i="1" s="1"/>
  <c r="H38" i="1"/>
  <c r="G38" i="1" s="1"/>
  <c r="D38" i="1"/>
  <c r="C38" i="1" s="1"/>
  <c r="H37" i="1"/>
  <c r="G37" i="1"/>
  <c r="C37" i="1"/>
  <c r="H36" i="1"/>
  <c r="G36" i="1" s="1"/>
  <c r="D36" i="1"/>
  <c r="C36" i="1"/>
  <c r="G35" i="1"/>
  <c r="C35" i="1"/>
  <c r="G34" i="1"/>
  <c r="C34" i="1"/>
  <c r="H33" i="1"/>
  <c r="G33" i="1" s="1"/>
  <c r="D33" i="1"/>
  <c r="C33" i="1"/>
  <c r="H32" i="1"/>
  <c r="G32" i="1" s="1"/>
  <c r="D32" i="1"/>
  <c r="C32" i="1"/>
  <c r="G31" i="1"/>
  <c r="C31" i="1"/>
  <c r="H30" i="1"/>
  <c r="G30" i="1"/>
  <c r="D30" i="1"/>
  <c r="C30" i="1" s="1"/>
  <c r="H29" i="1"/>
  <c r="G29" i="1" s="1"/>
  <c r="D29" i="1"/>
  <c r="C29" i="1" s="1"/>
  <c r="G28" i="1"/>
  <c r="D28" i="1"/>
  <c r="C28" i="1" s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D21" i="1"/>
  <c r="C21" i="1"/>
  <c r="H20" i="1"/>
  <c r="G20" i="1" s="1"/>
  <c r="D20" i="1"/>
  <c r="C20" i="1" s="1"/>
  <c r="F19" i="1"/>
  <c r="E19" i="1"/>
  <c r="G19" i="1" l="1"/>
  <c r="D19" i="1"/>
  <c r="C19" i="1"/>
  <c r="H19" i="1"/>
  <c r="H100" i="1" l="1"/>
  <c r="G100" i="1" s="1"/>
  <c r="D100" i="1"/>
  <c r="D99" i="1" s="1"/>
  <c r="C99" i="1" s="1"/>
  <c r="H98" i="1"/>
  <c r="G98" i="1" s="1"/>
  <c r="D98" i="1"/>
  <c r="C98" i="1" s="1"/>
  <c r="H97" i="1"/>
  <c r="D97" i="1"/>
  <c r="C97" i="1" s="1"/>
  <c r="H99" i="1" l="1"/>
  <c r="G99" i="1" s="1"/>
  <c r="H96" i="1"/>
  <c r="C100" i="1"/>
  <c r="D96" i="1"/>
  <c r="C96" i="1" s="1"/>
  <c r="G97" i="1"/>
  <c r="H53" i="1"/>
  <c r="H52" i="1" s="1"/>
  <c r="D53" i="1"/>
  <c r="D52" i="1" s="1"/>
  <c r="H57" i="1"/>
  <c r="G57" i="1" s="1"/>
  <c r="D57" i="1"/>
  <c r="C57" i="1" s="1"/>
  <c r="C53" i="1"/>
  <c r="H56" i="1"/>
  <c r="G56" i="1" s="1"/>
  <c r="H55" i="1"/>
  <c r="D56" i="1"/>
  <c r="C56" i="1" s="1"/>
  <c r="D55" i="1"/>
  <c r="G96" i="1"/>
  <c r="C55" i="1"/>
  <c r="G53" i="1" l="1"/>
  <c r="D54" i="1"/>
  <c r="C52" i="1"/>
  <c r="H54" i="1"/>
  <c r="G52" i="1"/>
  <c r="G55" i="1"/>
  <c r="G54" i="1" l="1"/>
  <c r="H101" i="1"/>
  <c r="C54" i="1"/>
  <c r="D101" i="1"/>
  <c r="D8" i="1"/>
  <c r="C8" i="1" s="1"/>
  <c r="H8" i="1"/>
  <c r="G8" i="1"/>
  <c r="H95" i="1" l="1"/>
  <c r="D95" i="1"/>
  <c r="H94" i="1"/>
  <c r="D94" i="1"/>
  <c r="D93" i="1" l="1"/>
  <c r="C93" i="1" s="1"/>
  <c r="H93" i="1"/>
  <c r="G93" i="1" s="1"/>
  <c r="C94" i="1"/>
  <c r="G95" i="1"/>
  <c r="C95" i="1"/>
  <c r="G94" i="1"/>
  <c r="E139" i="2" l="1"/>
  <c r="E138" i="2" s="1"/>
  <c r="D139" i="2"/>
  <c r="D138" i="2" s="1"/>
  <c r="J138" i="2" s="1"/>
  <c r="J115" i="2"/>
  <c r="I115" i="2"/>
  <c r="E114" i="2"/>
  <c r="D114" i="2"/>
  <c r="J114" i="2" s="1"/>
  <c r="E113" i="2"/>
  <c r="K113" i="2" s="1"/>
  <c r="D113" i="2"/>
  <c r="J113" i="2" s="1"/>
  <c r="E112" i="2"/>
  <c r="K112" i="2" s="1"/>
  <c r="D112" i="2"/>
  <c r="J112" i="2" s="1"/>
  <c r="E111" i="2"/>
  <c r="K111" i="2" s="1"/>
  <c r="D111" i="2"/>
  <c r="J111" i="2" s="1"/>
  <c r="E110" i="2"/>
  <c r="K110" i="2" s="1"/>
  <c r="D110" i="2"/>
  <c r="J110" i="2" s="1"/>
  <c r="E109" i="2"/>
  <c r="D109" i="2"/>
  <c r="D15" i="2" s="1"/>
  <c r="J15" i="2" s="1"/>
  <c r="E108" i="2"/>
  <c r="K108" i="2" s="1"/>
  <c r="J108" i="2"/>
  <c r="E107" i="2"/>
  <c r="K107" i="2" s="1"/>
  <c r="J107" i="2"/>
  <c r="E106" i="2"/>
  <c r="K106" i="2" s="1"/>
  <c r="D106" i="2"/>
  <c r="J106" i="2" s="1"/>
  <c r="E105" i="2"/>
  <c r="K105" i="2" s="1"/>
  <c r="D105" i="2"/>
  <c r="J105" i="2" s="1"/>
  <c r="G104" i="2"/>
  <c r="K103" i="2"/>
  <c r="J103" i="2"/>
  <c r="K102" i="2"/>
  <c r="D102" i="2"/>
  <c r="E101" i="2"/>
  <c r="D101" i="2"/>
  <c r="E100" i="2"/>
  <c r="D100" i="2"/>
  <c r="E99" i="2"/>
  <c r="D99" i="2"/>
  <c r="E98" i="2"/>
  <c r="D98" i="2"/>
  <c r="E97" i="2"/>
  <c r="D97" i="2"/>
  <c r="J97" i="2" s="1"/>
  <c r="E96" i="2"/>
  <c r="K96" i="2" s="1"/>
  <c r="D96" i="2"/>
  <c r="J96" i="2" s="1"/>
  <c r="E95" i="2"/>
  <c r="D95" i="2"/>
  <c r="E94" i="2"/>
  <c r="D94" i="2"/>
  <c r="I93" i="2"/>
  <c r="K77" i="2"/>
  <c r="K76" i="2" s="1"/>
  <c r="J77" i="2"/>
  <c r="J76" i="2" s="1"/>
  <c r="E76" i="2"/>
  <c r="E75" i="2"/>
  <c r="D75" i="2"/>
  <c r="E74" i="2"/>
  <c r="D74" i="2"/>
  <c r="E73" i="2"/>
  <c r="E14" i="2" s="1"/>
  <c r="K14" i="2" s="1"/>
  <c r="D73" i="2"/>
  <c r="D14" i="2" s="1"/>
  <c r="J14" i="2" s="1"/>
  <c r="E72" i="2"/>
  <c r="D72" i="2"/>
  <c r="D13" i="2" s="1"/>
  <c r="H92" i="1"/>
  <c r="G92" i="1" s="1"/>
  <c r="D92" i="1"/>
  <c r="C92" i="1" s="1"/>
  <c r="H90" i="1"/>
  <c r="G90" i="1" s="1"/>
  <c r="D90" i="1"/>
  <c r="C90" i="1"/>
  <c r="D89" i="1"/>
  <c r="C89" i="1" s="1"/>
  <c r="G88" i="1"/>
  <c r="D87" i="1"/>
  <c r="C87" i="1" s="1"/>
  <c r="C88" i="1"/>
  <c r="H86" i="1"/>
  <c r="G86" i="1" s="1"/>
  <c r="D86" i="1"/>
  <c r="C86" i="1" s="1"/>
  <c r="H85" i="1"/>
  <c r="G85" i="1" s="1"/>
  <c r="D85" i="1"/>
  <c r="C85" i="1" s="1"/>
  <c r="H84" i="1"/>
  <c r="G84" i="1" s="1"/>
  <c r="D84" i="1"/>
  <c r="C84" i="1" s="1"/>
  <c r="H83" i="1" l="1"/>
  <c r="G83" i="1" s="1"/>
  <c r="J73" i="2"/>
  <c r="E13" i="2"/>
  <c r="K13" i="2" s="1"/>
  <c r="K75" i="2"/>
  <c r="E26" i="2"/>
  <c r="K26" i="2" s="1"/>
  <c r="K99" i="2"/>
  <c r="E18" i="2"/>
  <c r="K18" i="2" s="1"/>
  <c r="K101" i="2"/>
  <c r="E23" i="2"/>
  <c r="K23" i="2" s="1"/>
  <c r="J74" i="2"/>
  <c r="D24" i="2"/>
  <c r="J24" i="2" s="1"/>
  <c r="J98" i="2"/>
  <c r="D17" i="2"/>
  <c r="J17" i="2" s="1"/>
  <c r="J100" i="2"/>
  <c r="D19" i="2"/>
  <c r="J19" i="2" s="1"/>
  <c r="J102" i="2"/>
  <c r="D27" i="2"/>
  <c r="J27" i="2" s="1"/>
  <c r="K114" i="2"/>
  <c r="E27" i="2"/>
  <c r="K27" i="2" s="1"/>
  <c r="K74" i="2"/>
  <c r="E24" i="2"/>
  <c r="K24" i="2" s="1"/>
  <c r="K98" i="2"/>
  <c r="E17" i="2"/>
  <c r="K17" i="2" s="1"/>
  <c r="K100" i="2"/>
  <c r="E19" i="2"/>
  <c r="K19" i="2" s="1"/>
  <c r="J75" i="2"/>
  <c r="D26" i="2"/>
  <c r="J26" i="2" s="1"/>
  <c r="D12" i="2"/>
  <c r="J12" i="2" s="1"/>
  <c r="J99" i="2"/>
  <c r="D18" i="2"/>
  <c r="J18" i="2" s="1"/>
  <c r="J101" i="2"/>
  <c r="D23" i="2"/>
  <c r="J23" i="2" s="1"/>
  <c r="K138" i="2"/>
  <c r="D71" i="2"/>
  <c r="K94" i="2"/>
  <c r="E11" i="2"/>
  <c r="K11" i="2" s="1"/>
  <c r="J109" i="2"/>
  <c r="J95" i="2"/>
  <c r="K109" i="2"/>
  <c r="E15" i="2"/>
  <c r="K15" i="2" s="1"/>
  <c r="K95" i="2"/>
  <c r="E12" i="2"/>
  <c r="K12" i="2" s="1"/>
  <c r="K73" i="2"/>
  <c r="J94" i="2"/>
  <c r="D11" i="2"/>
  <c r="J11" i="2" s="1"/>
  <c r="E71" i="2"/>
  <c r="J72" i="2"/>
  <c r="K115" i="2"/>
  <c r="H115" i="2"/>
  <c r="H28" i="2" s="1"/>
  <c r="K72" i="2"/>
  <c r="E93" i="2"/>
  <c r="K97" i="2"/>
  <c r="I104" i="2"/>
  <c r="D104" i="2"/>
  <c r="J104" i="2" s="1"/>
  <c r="E104" i="2"/>
  <c r="D83" i="1"/>
  <c r="C83" i="1" s="1"/>
  <c r="D91" i="1"/>
  <c r="C91" i="1" s="1"/>
  <c r="C101" i="1" s="1"/>
  <c r="H89" i="1"/>
  <c r="G89" i="1" s="1"/>
  <c r="G101" i="1" s="1"/>
  <c r="H87" i="1"/>
  <c r="G87" i="1" s="1"/>
  <c r="H91" i="1"/>
  <c r="G91" i="1" s="1"/>
  <c r="J139" i="2"/>
  <c r="K139" i="2"/>
  <c r="D93" i="2"/>
  <c r="H9" i="2" l="1"/>
  <c r="K28" i="2"/>
  <c r="D9" i="2"/>
  <c r="J9" i="2" s="1"/>
  <c r="E9" i="2"/>
  <c r="K71" i="2"/>
  <c r="J71" i="2"/>
  <c r="H104" i="2"/>
  <c r="J93" i="2"/>
  <c r="J13" i="2"/>
  <c r="K93" i="2"/>
  <c r="K104" i="2"/>
  <c r="G81" i="1"/>
  <c r="G80" i="1" s="1"/>
  <c r="C81" i="1"/>
  <c r="C80" i="1" s="1"/>
  <c r="H80" i="1"/>
  <c r="D80" i="1"/>
  <c r="D77" i="1"/>
  <c r="H77" i="1"/>
  <c r="G79" i="1"/>
  <c r="C79" i="1"/>
  <c r="G78" i="1"/>
  <c r="G77" i="1" s="1"/>
  <c r="C78" i="1"/>
  <c r="C77" i="1" s="1"/>
  <c r="K9" i="2" l="1"/>
  <c r="G76" i="1"/>
  <c r="C76" i="1"/>
  <c r="C75" i="1" s="1"/>
  <c r="H75" i="1"/>
  <c r="D75" i="1"/>
  <c r="H69" i="1"/>
  <c r="D69" i="1"/>
  <c r="G74" i="1"/>
  <c r="C74" i="1"/>
  <c r="G71" i="1"/>
  <c r="C71" i="1"/>
  <c r="G72" i="1"/>
  <c r="G73" i="1"/>
  <c r="C72" i="1"/>
  <c r="C73" i="1"/>
  <c r="C70" i="1"/>
  <c r="G70" i="1"/>
  <c r="G68" i="1"/>
  <c r="C68" i="1"/>
  <c r="G67" i="1"/>
  <c r="G66" i="1" s="1"/>
  <c r="C67" i="1"/>
  <c r="D61" i="1"/>
  <c r="H61" i="1"/>
  <c r="G65" i="1"/>
  <c r="C65" i="1"/>
  <c r="G64" i="1"/>
  <c r="C64" i="1"/>
  <c r="G63" i="1"/>
  <c r="C63" i="1"/>
  <c r="G62" i="1"/>
  <c r="C62" i="1"/>
  <c r="C66" i="1" l="1"/>
  <c r="G69" i="1"/>
  <c r="C61" i="1"/>
  <c r="G61" i="1"/>
  <c r="C69" i="1"/>
  <c r="G75" i="1"/>
  <c r="K155" i="2"/>
  <c r="J155" i="2"/>
  <c r="K154" i="2"/>
  <c r="J154" i="2"/>
  <c r="K153" i="2"/>
  <c r="J153" i="2"/>
  <c r="J152" i="2" s="1"/>
  <c r="I152" i="2"/>
  <c r="H152" i="2"/>
  <c r="G152" i="2"/>
  <c r="F152" i="2"/>
  <c r="E152" i="2"/>
  <c r="D152" i="2"/>
  <c r="K151" i="2"/>
  <c r="J151" i="2"/>
  <c r="I151" i="2"/>
  <c r="I30" i="2" s="1"/>
  <c r="K150" i="2"/>
  <c r="J150" i="2"/>
  <c r="I150" i="2"/>
  <c r="I28" i="2" s="1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H141" i="2"/>
  <c r="G141" i="2"/>
  <c r="F141" i="2"/>
  <c r="E141" i="2"/>
  <c r="D141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I126" i="2"/>
  <c r="H126" i="2"/>
  <c r="G126" i="2"/>
  <c r="E126" i="2"/>
  <c r="D126" i="2"/>
  <c r="K125" i="2"/>
  <c r="J125" i="2"/>
  <c r="K124" i="2"/>
  <c r="J124" i="2"/>
  <c r="J123" i="2" s="1"/>
  <c r="E123" i="2"/>
  <c r="D123" i="2"/>
  <c r="K122" i="2"/>
  <c r="J122" i="2"/>
  <c r="K121" i="2"/>
  <c r="J121" i="2"/>
  <c r="K120" i="2"/>
  <c r="J120" i="2"/>
  <c r="I119" i="2"/>
  <c r="H119" i="2"/>
  <c r="G119" i="2"/>
  <c r="F119" i="2"/>
  <c r="E119" i="2"/>
  <c r="D119" i="2"/>
  <c r="K123" i="2" l="1"/>
  <c r="I9" i="2"/>
  <c r="J119" i="2"/>
  <c r="K141" i="2"/>
  <c r="K152" i="2"/>
  <c r="K126" i="2"/>
  <c r="J141" i="2"/>
  <c r="K119" i="2"/>
  <c r="J126" i="2"/>
  <c r="I141" i="2"/>
  <c r="J52" i="2" l="1"/>
  <c r="K52" i="2"/>
  <c r="K51" i="2"/>
  <c r="J51" i="2"/>
  <c r="J50" i="2" l="1"/>
  <c r="K50" i="2"/>
</calcChain>
</file>

<file path=xl/sharedStrings.xml><?xml version="1.0" encoding="utf-8"?>
<sst xmlns="http://schemas.openxmlformats.org/spreadsheetml/2006/main" count="463" uniqueCount="239">
  <si>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</si>
  <si>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</si>
  <si>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</si>
  <si>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</si>
  <si>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</si>
  <si>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</si>
  <si>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</si>
  <si>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</si>
  <si>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</si>
  <si>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</si>
  <si>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</si>
  <si>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</si>
  <si>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</si>
  <si>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</si>
  <si>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</si>
  <si>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</si>
  <si>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</si>
  <si>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</si>
  <si>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</si>
  <si>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</si>
  <si>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</si>
  <si>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2800</t>
  </si>
  <si>
    <t>3110</t>
  </si>
  <si>
    <t>3210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</si>
  <si>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</si>
  <si>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</si>
  <si>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</si>
  <si>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</si>
  <si>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</si>
  <si>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</si>
  <si>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</si>
  <si>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</si>
  <si>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</si>
  <si>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</si>
  <si>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</si>
  <si>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</si>
  <si>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</si>
  <si>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</si>
  <si>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</si>
  <si>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</si>
  <si>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</si>
  <si>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</si>
  <si>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</si>
  <si>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</si>
  <si>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"Інша діяльність у сфері державного управління"</t>
  </si>
  <si>
    <t>0210180</t>
  </si>
  <si>
    <t>0213242</t>
  </si>
  <si>
    <t>2730</t>
  </si>
  <si>
    <t>0215011</t>
  </si>
  <si>
    <t>0810</t>
  </si>
  <si>
    <t>"Проведення навчально-тренувальних зборів та змагань з олімпійських видів спорту"</t>
  </si>
  <si>
    <t>0215012</t>
  </si>
  <si>
    <t>"Проведення навчально-тренувальних зборів та змагань з неолімпійських видів спорту"</t>
  </si>
  <si>
    <t>0215031</t>
  </si>
  <si>
    <t>"Утримання та навчально-тренувальна робота комунальних дитячо-юнацьких спортивних шкіл"</t>
  </si>
  <si>
    <t>2111</t>
  </si>
  <si>
    <t>2271</t>
  </si>
  <si>
    <t>2272</t>
  </si>
  <si>
    <t>2273</t>
  </si>
  <si>
    <t>2282</t>
  </si>
  <si>
    <t>0215061</t>
  </si>
  <si>
    <t>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</t>
  </si>
  <si>
    <t>3132</t>
  </si>
  <si>
    <t>0215062</t>
  </si>
  <si>
    <t>"Підтримка спорту вищих досягнень та організацій, які здійснюють фізкультурно-спортивну діяльність в регіоні"</t>
  </si>
  <si>
    <t>2610</t>
  </si>
  <si>
    <r>
      <t xml:space="preserve">Інформація про видатки бюджету розвитку за 2018 рік по </t>
    </r>
    <r>
      <rPr>
        <u/>
        <sz val="14"/>
        <color theme="1"/>
        <rFont val="Times New Roman"/>
        <family val="1"/>
        <charset val="204"/>
      </rPr>
      <t>Виконавчому комітету Сумської міської ради</t>
    </r>
  </si>
  <si>
    <t>придбання комп'ютеру</t>
  </si>
  <si>
    <t>придбання ноутбуку</t>
  </si>
  <si>
    <t>придбання тренажеру</t>
  </si>
  <si>
    <t>придбання МФУ</t>
  </si>
  <si>
    <t>придбання конденціонеру</t>
  </si>
  <si>
    <t>придбання тренажеру для розвитку м'язів стегна</t>
  </si>
  <si>
    <t>придбання блоку для мязів спини</t>
  </si>
  <si>
    <t>придбання тренажеру важільна тяга</t>
  </si>
  <si>
    <t>придбання бігової доріжки електричної</t>
  </si>
  <si>
    <t>придбання татамі</t>
  </si>
  <si>
    <t>проведення капітального ремонту стадіону "Авангард"</t>
  </si>
  <si>
    <t>(стадіон "Авангард", вул.Праці, 5)</t>
  </si>
  <si>
    <t>покриття для рингу</t>
  </si>
  <si>
    <t>0213131</t>
  </si>
  <si>
    <t>1040</t>
  </si>
  <si>
    <t>"Здійснення заходів та реалізація проектів на виконання Державної цільової соціальної програми
"Молодь України"</t>
  </si>
  <si>
    <t>0213140</t>
  </si>
  <si>
    <t>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</t>
  </si>
  <si>
    <t>0214060</t>
  </si>
  <si>
    <t>0829</t>
  </si>
  <si>
    <t>0214081</t>
  </si>
  <si>
    <t>0215032</t>
  </si>
  <si>
    <t>08010</t>
  </si>
  <si>
    <t>"Фінансова підтримка дитячо-юнацьких спортивних шкіл фізкультурно-спортивних товариств"</t>
  </si>
  <si>
    <t>придбання комп'ютера</t>
  </si>
  <si>
    <t>капітальний ремонт нежитлових приміщень установи</t>
  </si>
  <si>
    <t>0217610</t>
  </si>
  <si>
    <t xml:space="preserve">вул. Харківська, 42 в м.Суми </t>
  </si>
  <si>
    <t>0218110</t>
  </si>
  <si>
    <t>придбання намету УСБ-56</t>
  </si>
  <si>
    <t xml:space="preserve">придбання мотопомпи     </t>
  </si>
  <si>
    <t>проектування: «Нове будівництво місцевої автоматизованої системи централізованого оповіщення м.Суми</t>
  </si>
  <si>
    <t>м. Суми</t>
  </si>
  <si>
    <t>придбання мотопомпи з понтонами</t>
  </si>
  <si>
    <t>Виконавчий комітет Сумської міської ради, майдан Незалежності, 2</t>
  </si>
  <si>
    <t>0217530</t>
  </si>
  <si>
    <t>МКЗ "ДЮСШ з вільної боротьби"(0215031)</t>
  </si>
  <si>
    <t>СДЮСШОР В.Голубничого з легкої атлетики (0215031)</t>
  </si>
  <si>
    <t>КЗ "КДЮСШ єдиноборств" СМР (0215031)</t>
  </si>
  <si>
    <t>МКЗ "КДЮСШ "Суми" (0215031)</t>
  </si>
  <si>
    <t>СМДЮСШ "Спартак" (0215032)</t>
  </si>
  <si>
    <t>КДЮСШ "Україна" (0215032)</t>
  </si>
  <si>
    <t>Виконавчий комітет Сумської міської ради</t>
  </si>
  <si>
    <t>Начальник відділу бухгалтерського обліку та звітності, головний бухгалтер</t>
  </si>
  <si>
    <t>О.А.Костенко</t>
  </si>
  <si>
    <t>0213033</t>
  </si>
  <si>
    <t>1070</t>
  </si>
  <si>
    <t>"Компенсаційні виплати на пільговий проїзд автомобільним транспортом окремим категоріям громадян"</t>
  </si>
  <si>
    <t>0213036</t>
  </si>
  <si>
    <t>"Компенсаційні виплати на пільговий проїзд електротранспортом окремим категоріям громадян"</t>
  </si>
  <si>
    <t>0213121</t>
  </si>
  <si>
    <t>"Утримання та забезпечення діяльності центрів соціальних служб для сім’ї, дітей та молоді"</t>
  </si>
  <si>
    <t>0213241</t>
  </si>
  <si>
    <t>1090</t>
  </si>
  <si>
    <t>"Забезпечення діяльності інших закладів у сфері соціального захисту і соціального забезпечення"</t>
  </si>
  <si>
    <t>0217412</t>
  </si>
  <si>
    <t>0451</t>
  </si>
  <si>
    <t>"Регулювання цін на послуги місцевого автотранспорту"</t>
  </si>
  <si>
    <t>0217422</t>
  </si>
  <si>
    <t>0453</t>
  </si>
  <si>
    <t>"Регулювання цін на послуги місцевого наземного електротранспорту"</t>
  </si>
  <si>
    <t>0217450</t>
  </si>
  <si>
    <t>0456</t>
  </si>
  <si>
    <t>"Інша діяльність у сфері транспорту"</t>
  </si>
  <si>
    <t>0411</t>
  </si>
  <si>
    <t>"Сприяння розвитку малого та середнього підприємництва"</t>
  </si>
  <si>
    <t>0217670</t>
  </si>
  <si>
    <t>0490</t>
  </si>
  <si>
    <t>"Внески до статутного капіталу суб’єктів господарювання"</t>
  </si>
  <si>
    <t>0320</t>
  </si>
  <si>
    <t>"Заходи запобігання та ліквідації надзвичайних ситуацій та наслідків стихійного лиха"</t>
  </si>
  <si>
    <t>3122</t>
  </si>
  <si>
    <t>0218120</t>
  </si>
  <si>
    <t>"Заходи з організації рятування на водах"</t>
  </si>
  <si>
    <t>2274</t>
  </si>
  <si>
    <t>2275</t>
  </si>
  <si>
    <t>0218230</t>
  </si>
  <si>
    <t>0380</t>
  </si>
  <si>
    <t>"Інші заходи громадського порядку та безпеки"</t>
  </si>
  <si>
    <t>0218340</t>
  </si>
  <si>
    <t>0540</t>
  </si>
  <si>
    <t>"Природоохоронні заходи за рахунок цільових фондів"</t>
  </si>
  <si>
    <t>"Забезпечення діяльності палаців i будинків культури, клубів, центрів дозвілля та інших клубних закладів"</t>
  </si>
  <si>
    <t>"Забезпечення діяльності інших закладів у галузі культури і мистецтва"</t>
  </si>
  <si>
    <t>"Інші заходи у сфері соціального захисту і соціального забезпечення"</t>
  </si>
  <si>
    <t>0214082</t>
  </si>
  <si>
    <t>"Інші заходи в галузі культури і містецтва"</t>
  </si>
  <si>
    <t>0460</t>
  </si>
  <si>
    <t>"Інші заходи у сфері зв'язку, телекомунікацій та інформатики"</t>
  </si>
  <si>
    <t>0217640</t>
  </si>
  <si>
    <t>0470</t>
  </si>
  <si>
    <t>"Заходи з енергозбереження"</t>
  </si>
  <si>
    <t>0217680</t>
  </si>
  <si>
    <t>0217691</t>
  </si>
  <si>
    <t>0217693</t>
  </si>
  <si>
    <t>"Інші заходи, пов'язані з економічною діяльністю"</t>
  </si>
  <si>
    <t>0218420</t>
  </si>
  <si>
    <t>0830</t>
  </si>
  <si>
    <t>"Інші заходи у сфері засобів масової інформації"</t>
  </si>
  <si>
    <t>"Членські внески до асоціацій органів місцевого самоврядування"</t>
  </si>
  <si>
    <t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</t>
  </si>
  <si>
    <t>0210160</t>
  </si>
  <si>
    <t>0111</t>
  </si>
  <si>
    <t xml:space="preserve">"Керівництво і управління у відповідній сфері у містах (місті Києві), селищах, селах, об'єднаних територіальних громадах" </t>
  </si>
  <si>
    <t>2620</t>
  </si>
  <si>
    <t>3220</t>
  </si>
  <si>
    <t>0219770</t>
  </si>
  <si>
    <t>0180</t>
  </si>
  <si>
    <t>"Інші субвенції з місцевого бюджету"</t>
  </si>
  <si>
    <t>0219800</t>
  </si>
  <si>
    <t xml:space="preserve">"Субвенція з місцевого бюджету державному бюджету на виконання програм соціально-економічного та культурного розвитку регіонів"  </t>
  </si>
  <si>
    <t>капітальний ремонт нежитлового приміщення по вул. Р.Атманюка, 49А з виготовленням проектно-кошторисної та технічної документації</t>
  </si>
  <si>
    <t>виготовлення проектно-кошторисної документації та послуги державної експертизи  капітального ремонту нежитлового приміщення по
вул. 4-Продольна,76</t>
  </si>
  <si>
    <t>виготовлення проектно-кошторисної документації та послуги державної експертизи  капітального ремонту теплових мереж в адмінприміщенні по вул.Харківська, 35</t>
  </si>
  <si>
    <t>капітальний ремонт приміщення по вул.Горького, 21,  ЦНАП</t>
  </si>
  <si>
    <t>придбання металевого каркасу боксерського рингу</t>
  </si>
  <si>
    <t>придбання тролейбусів (4од.)</t>
  </si>
  <si>
    <t>придбання автобусів середньої місткості (4од.)</t>
  </si>
  <si>
    <t>придбання автомобілів (2од.)</t>
  </si>
  <si>
    <t xml:space="preserve"> з передачею до КДЮСШ "Україна"</t>
  </si>
  <si>
    <t>0215031
"Утримання та навчально-тренувальна робота комунальних дитячо-юнацьких спортивних шкіл"</t>
  </si>
  <si>
    <t>Міський центр фізичного здоров'я населення "Спорт для всіх"(0215061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регіону")</t>
  </si>
  <si>
    <t>КП СМР "Муніципальний спортивний клуб з хокею на траві "Сумчанка" (0215062 "Підтримка спорту вищих досягнень та організацій, які здійснюють фізкультурно-спортивну діяльність в регіоні")</t>
  </si>
  <si>
    <t>0215032 "Фінансова підтримка дитячо-юнацьких спортивних шкіл фізкультурно-спортивних товариств"</t>
  </si>
  <si>
    <t>КУ "Сумський міський центр дозвілля молоді" СМР (0214060 "Забезпечення діяльності палаців i будинків культури, клубів, центрів дозвілля та інших клубних закладів")</t>
  </si>
  <si>
    <t>КУ "Агенція промоції "Суми" СМР (0214081 "Забезпечення діяльності інших закладів у галузі культури і мистецтва")</t>
  </si>
  <si>
    <t>Сумський міський центр соціальних служб для сім'ї, дітей та молоді (0213121 "Утримання та забезпечення діяльності центрів соціальних служб для сім’ї, дітей та молоді")</t>
  </si>
  <si>
    <t>КП СМР "Електроавтотранс" (0217670 "Внески до статутного капіталу суб’єктів господарювання")</t>
  </si>
  <si>
    <t>КУ "Сумська міська рятувально-водолазна служба" (0218120 "Заходи з організації рятування на водах")</t>
  </si>
  <si>
    <t>Виконавчий комітет Сумської міської ради (0215011
"Проведення навчально-тренувальних зборів та змагань з олімпійських видів спорту")</t>
  </si>
  <si>
    <t>придбання та установка кондиціонеру (5од.)</t>
  </si>
  <si>
    <t>придбання холодильників (2од.)</t>
  </si>
  <si>
    <t>придбання меблів (дивани 10од.)</t>
  </si>
  <si>
    <t>капітальний ремонт ліфтів в адмінприміщенні по вул.Харківська, 35 (2од.)</t>
  </si>
  <si>
    <t>придбання спортивних байдарок (11од.)</t>
  </si>
  <si>
    <t>придбання комп'ютерів (2од.)</t>
  </si>
  <si>
    <t>придбання каяків (3од.)</t>
  </si>
  <si>
    <t>придбання наметів (2од.)</t>
  </si>
  <si>
    <t>придбання конденціонерів (2од.)</t>
  </si>
  <si>
    <t>придбання захисної сітки</t>
  </si>
  <si>
    <t>Персональні комп'ютери(266 од.)</t>
  </si>
  <si>
    <t>Системні блоки (20 од.)</t>
  </si>
  <si>
    <t>Планшети (6 од.)</t>
  </si>
  <si>
    <t>Ноутбуки(11 од.)</t>
  </si>
  <si>
    <t>Сенсорний моноблок (5 од.)</t>
  </si>
  <si>
    <t>Багатофункціональний пристрій(10 од.)</t>
  </si>
  <si>
    <t>Принтер кольоровий(4 од.)</t>
  </si>
  <si>
    <t>Система відеоконференцзв’язку(веб-камера) (6 од.)</t>
  </si>
  <si>
    <t>Монітор 24"(5 од.)</t>
  </si>
  <si>
    <t>Сканер(11 од.)</t>
  </si>
  <si>
    <t>Сканер потоковий(14 од.)</t>
  </si>
  <si>
    <t>Інформаційне табло(1 од.)</t>
  </si>
  <si>
    <t>Пересувне кріплення для екрану(1 од.)</t>
  </si>
  <si>
    <t>Проектор (3 од.)</t>
  </si>
  <si>
    <t>Презентаційний екран(2 од.)</t>
  </si>
  <si>
    <t>Джерело безперебійного живлення (4 од.)</t>
  </si>
  <si>
    <t>Точка доступу для масових заходів (6 од.)</t>
  </si>
  <si>
    <t>Відеокарта(1 од.)</t>
  </si>
  <si>
    <t>Мережевий накопичувач(4 од.)</t>
  </si>
  <si>
    <t>Кingston (1 од.)</t>
  </si>
  <si>
    <t>Контролер(1 од.)</t>
  </si>
  <si>
    <t>Інтелектуальний монітор(1 од.)</t>
  </si>
  <si>
    <t>Фотоапарат (1 од.)</t>
  </si>
  <si>
    <t>Придбання запчастин для модернізації комп'ютерної техніки(100 од.)</t>
  </si>
  <si>
    <t>Шафа серверна(4 од.)</t>
  </si>
  <si>
    <t>Комутатори для РОЕ для WI-FI (6од.)</t>
  </si>
  <si>
    <t>Автоматизовані робочі місця (23од)</t>
  </si>
  <si>
    <t>Портативне робоче місце (2 од.)</t>
  </si>
  <si>
    <t>Широкоформатний монітор (1од.)</t>
  </si>
  <si>
    <t>Комутатори для РОЕ для IP (6од.)</t>
  </si>
  <si>
    <t>Блок живлення для комутатора (1од.)</t>
  </si>
  <si>
    <t>Вакуумний очищувач портативний (1 од.)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</si>
</sst>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_₴"/>
    <numFmt numFmtId="168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5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6" xfId="0" applyFont="1" applyBorder="1"/>
    <xf numFmtId="49" fontId="15" fillId="2" borderId="0" xfId="1" applyNumberFormat="1" applyFont="1" applyFill="1" applyBorder="1" applyAlignment="1">
      <alignment horizontal="right" wrapText="1"/>
    </xf>
    <xf numFmtId="165" fontId="15" fillId="2" borderId="0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right" wrapText="1"/>
    </xf>
    <xf numFmtId="165" fontId="15" fillId="2" borderId="1" xfId="1" applyNumberFormat="1" applyFont="1" applyFill="1" applyBorder="1" applyAlignment="1">
      <alignment wrapText="1"/>
    </xf>
    <xf numFmtId="166" fontId="15" fillId="2" borderId="1" xfId="1" applyNumberFormat="1" applyFont="1" applyFill="1" applyBorder="1" applyAlignment="1">
      <alignment wrapText="1"/>
    </xf>
    <xf numFmtId="165" fontId="15" fillId="2" borderId="0" xfId="1" applyNumberFormat="1" applyFont="1" applyFill="1"/>
    <xf numFmtId="49" fontId="18" fillId="2" borderId="1" xfId="1" applyNumberFormat="1" applyFont="1" applyFill="1" applyBorder="1" applyAlignment="1">
      <alignment horizontal="left" wrapText="1"/>
    </xf>
    <xf numFmtId="49" fontId="16" fillId="2" borderId="1" xfId="1" applyNumberFormat="1" applyFont="1" applyFill="1" applyBorder="1" applyAlignment="1">
      <alignment horizontal="right" wrapText="1"/>
    </xf>
    <xf numFmtId="49" fontId="16" fillId="2" borderId="1" xfId="1" applyNumberFormat="1" applyFont="1" applyFill="1" applyBorder="1" applyAlignment="1">
      <alignment horizontal="center" wrapText="1"/>
    </xf>
    <xf numFmtId="165" fontId="15" fillId="2" borderId="3" xfId="1" applyNumberFormat="1" applyFont="1" applyFill="1" applyBorder="1" applyAlignment="1">
      <alignment wrapText="1"/>
    </xf>
    <xf numFmtId="167" fontId="15" fillId="2" borderId="5" xfId="1" applyNumberFormat="1" applyFont="1" applyFill="1" applyBorder="1" applyAlignment="1">
      <alignment horizontal="right" wrapText="1"/>
    </xf>
    <xf numFmtId="167" fontId="15" fillId="2" borderId="1" xfId="1" applyNumberFormat="1" applyFont="1" applyFill="1" applyBorder="1" applyAlignment="1">
      <alignment horizontal="right" wrapText="1"/>
    </xf>
    <xf numFmtId="165" fontId="15" fillId="2" borderId="0" xfId="1" applyNumberFormat="1" applyFont="1" applyFill="1" applyBorder="1" applyAlignment="1">
      <alignment wrapText="1"/>
    </xf>
    <xf numFmtId="165" fontId="19" fillId="2" borderId="0" xfId="1" applyNumberFormat="1" applyFont="1" applyFill="1"/>
    <xf numFmtId="165" fontId="16" fillId="2" borderId="0" xfId="1" applyNumberFormat="1" applyFont="1" applyFill="1"/>
    <xf numFmtId="49" fontId="19" fillId="2" borderId="0" xfId="1" applyNumberFormat="1" applyFont="1" applyFill="1" applyAlignment="1">
      <alignment horizontal="right"/>
    </xf>
    <xf numFmtId="165" fontId="19" fillId="2" borderId="6" xfId="1" applyNumberFormat="1" applyFont="1" applyFill="1" applyBorder="1"/>
    <xf numFmtId="49" fontId="20" fillId="2" borderId="0" xfId="1" applyNumberFormat="1" applyFont="1" applyFill="1" applyAlignment="1">
      <alignment horizontal="right"/>
    </xf>
    <xf numFmtId="165" fontId="20" fillId="2" borderId="0" xfId="1" applyNumberFormat="1" applyFont="1" applyFill="1"/>
    <xf numFmtId="165" fontId="21" fillId="2" borderId="0" xfId="1" applyNumberFormat="1" applyFont="1" applyFill="1" applyAlignment="1">
      <alignment horizontal="center"/>
    </xf>
    <xf numFmtId="49" fontId="21" fillId="0" borderId="1" xfId="1" applyNumberFormat="1" applyFont="1" applyFill="1" applyBorder="1" applyAlignment="1">
      <alignment horizontal="right" wrapText="1"/>
    </xf>
    <xf numFmtId="166" fontId="15" fillId="2" borderId="1" xfId="1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4" fillId="0" borderId="1" xfId="0" applyFont="1" applyBorder="1"/>
    <xf numFmtId="0" fontId="12" fillId="0" borderId="1" xfId="0" applyFont="1" applyBorder="1"/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4" fillId="0" borderId="0" xfId="0" applyFont="1"/>
    <xf numFmtId="165" fontId="15" fillId="2" borderId="1" xfId="1" applyNumberFormat="1" applyFont="1" applyFill="1" applyBorder="1" applyAlignment="1">
      <alignment horizontal="center" wrapText="1"/>
    </xf>
    <xf numFmtId="0" fontId="0" fillId="0" borderId="0" xfId="0" applyFill="1"/>
    <xf numFmtId="49" fontId="10" fillId="0" borderId="1" xfId="0" applyNumberFormat="1" applyFont="1" applyFill="1" applyBorder="1" applyAlignment="1">
      <alignment wrapText="1"/>
    </xf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6" fillId="0" borderId="0" xfId="0" applyFont="1" applyFill="1"/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165" fontId="16" fillId="2" borderId="1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wrapText="1"/>
    </xf>
    <xf numFmtId="166" fontId="16" fillId="2" borderId="1" xfId="1" applyNumberFormat="1" applyFont="1" applyFill="1" applyBorder="1" applyAlignment="1">
      <alignment horizontal="right" wrapText="1"/>
    </xf>
    <xf numFmtId="49" fontId="16" fillId="0" borderId="1" xfId="1" applyNumberFormat="1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right" wrapText="1"/>
    </xf>
    <xf numFmtId="49" fontId="16" fillId="0" borderId="1" xfId="1" applyNumberFormat="1" applyFont="1" applyFill="1" applyBorder="1" applyAlignment="1">
      <alignment horizontal="center" wrapText="1"/>
    </xf>
    <xf numFmtId="165" fontId="16" fillId="0" borderId="3" xfId="1" applyNumberFormat="1" applyFont="1" applyFill="1" applyBorder="1" applyAlignment="1">
      <alignment wrapText="1"/>
    </xf>
    <xf numFmtId="166" fontId="16" fillId="0" borderId="1" xfId="1" applyNumberFormat="1" applyFont="1" applyFill="1" applyBorder="1" applyAlignment="1">
      <alignment horizontal="right" wrapText="1"/>
    </xf>
    <xf numFmtId="0" fontId="4" fillId="0" borderId="0" xfId="0" applyFont="1" applyFill="1"/>
    <xf numFmtId="49" fontId="15" fillId="0" borderId="1" xfId="1" applyNumberFormat="1" applyFont="1" applyFill="1" applyBorder="1" applyAlignment="1">
      <alignment horizontal="right" wrapText="1"/>
    </xf>
    <xf numFmtId="165" fontId="15" fillId="0" borderId="1" xfId="1" applyNumberFormat="1" applyFont="1" applyFill="1" applyBorder="1" applyAlignment="1">
      <alignment wrapText="1"/>
    </xf>
    <xf numFmtId="167" fontId="15" fillId="0" borderId="1" xfId="1" applyNumberFormat="1" applyFont="1" applyFill="1" applyBorder="1" applyAlignment="1">
      <alignment horizontal="right" wrapText="1"/>
    </xf>
    <xf numFmtId="167" fontId="15" fillId="0" borderId="5" xfId="1" applyNumberFormat="1" applyFont="1" applyFill="1" applyBorder="1" applyAlignment="1">
      <alignment horizontal="right" wrapText="1"/>
    </xf>
    <xf numFmtId="165" fontId="15" fillId="0" borderId="3" xfId="1" applyNumberFormat="1" applyFont="1" applyFill="1" applyBorder="1" applyAlignment="1">
      <alignment wrapText="1"/>
    </xf>
    <xf numFmtId="166" fontId="16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49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7" fontId="15" fillId="0" borderId="5" xfId="1" applyNumberFormat="1" applyFont="1" applyFill="1" applyBorder="1" applyAlignment="1">
      <alignment horizontal="right" vertical="center" wrapText="1"/>
    </xf>
    <xf numFmtId="167" fontId="15" fillId="0" borderId="1" xfId="1" applyNumberFormat="1" applyFont="1" applyFill="1" applyBorder="1" applyAlignment="1">
      <alignment horizontal="right" vertical="center" wrapText="1"/>
    </xf>
    <xf numFmtId="168" fontId="16" fillId="0" borderId="1" xfId="1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 applyProtection="1">
      <alignment horizontal="right" vertical="center"/>
    </xf>
    <xf numFmtId="166" fontId="15" fillId="0" borderId="1" xfId="1" applyNumberFormat="1" applyFont="1" applyFill="1" applyBorder="1" applyAlignment="1">
      <alignment horizontal="right" wrapText="1"/>
    </xf>
    <xf numFmtId="166" fontId="15" fillId="0" borderId="5" xfId="1" applyNumberFormat="1" applyFont="1" applyFill="1" applyBorder="1" applyAlignment="1">
      <alignment horizontal="right" wrapText="1"/>
    </xf>
    <xf numFmtId="167" fontId="16" fillId="0" borderId="1" xfId="1" applyNumberFormat="1" applyFont="1" applyFill="1" applyBorder="1" applyAlignment="1">
      <alignment horizontal="right" wrapText="1"/>
    </xf>
    <xf numFmtId="166" fontId="16" fillId="0" borderId="1" xfId="1" applyNumberFormat="1" applyFont="1" applyFill="1" applyBorder="1" applyAlignment="1">
      <alignment wrapText="1"/>
    </xf>
    <xf numFmtId="166" fontId="15" fillId="0" borderId="1" xfId="1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center" wrapText="1"/>
    </xf>
    <xf numFmtId="0" fontId="22" fillId="0" borderId="0" xfId="0" applyFont="1" applyFill="1"/>
    <xf numFmtId="0" fontId="4" fillId="0" borderId="1" xfId="0" applyFont="1" applyFill="1" applyBorder="1" applyAlignment="1">
      <alignment horizontal="right"/>
    </xf>
    <xf numFmtId="49" fontId="15" fillId="0" borderId="1" xfId="1" applyNumberFormat="1" applyFont="1" applyFill="1" applyBorder="1" applyAlignment="1">
      <alignment horizontal="center" wrapText="1"/>
    </xf>
    <xf numFmtId="49" fontId="15" fillId="0" borderId="0" xfId="1" applyNumberFormat="1" applyFont="1" applyFill="1" applyBorder="1" applyAlignment="1">
      <alignment horizontal="right" wrapText="1"/>
    </xf>
    <xf numFmtId="165" fontId="15" fillId="0" borderId="0" xfId="1" applyNumberFormat="1" applyFont="1" applyFill="1" applyBorder="1" applyAlignment="1">
      <alignment wrapText="1"/>
    </xf>
    <xf numFmtId="165" fontId="19" fillId="2" borderId="0" xfId="1" applyNumberFormat="1" applyFont="1" applyFill="1" applyBorder="1"/>
    <xf numFmtId="165" fontId="21" fillId="2" borderId="0" xfId="1" applyNumberFormat="1" applyFont="1" applyFill="1" applyBorder="1" applyAlignment="1">
      <alignment horizontal="center"/>
    </xf>
    <xf numFmtId="165" fontId="16" fillId="0" borderId="3" xfId="1" applyNumberFormat="1" applyFont="1" applyFill="1" applyBorder="1" applyAlignment="1">
      <alignment vertical="center" wrapText="1"/>
    </xf>
    <xf numFmtId="165" fontId="15" fillId="0" borderId="3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vertical="center" wrapText="1"/>
    </xf>
    <xf numFmtId="49" fontId="16" fillId="0" borderId="3" xfId="1" applyNumberFormat="1" applyFont="1" applyFill="1" applyBorder="1" applyAlignment="1">
      <alignment vertical="center" wrapText="1"/>
    </xf>
    <xf numFmtId="0" fontId="4" fillId="3" borderId="0" xfId="0" applyFont="1" applyFill="1"/>
    <xf numFmtId="165" fontId="16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wrapText="1"/>
    </xf>
    <xf numFmtId="168" fontId="27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vertical="center" wrapText="1"/>
    </xf>
    <xf numFmtId="168" fontId="12" fillId="0" borderId="1" xfId="0" applyNumberFormat="1" applyFont="1" applyFill="1" applyBorder="1"/>
    <xf numFmtId="168" fontId="10" fillId="0" borderId="1" xfId="0" applyNumberFormat="1" applyFont="1" applyFill="1" applyBorder="1"/>
    <xf numFmtId="168" fontId="10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/>
    <xf numFmtId="168" fontId="12" fillId="0" borderId="1" xfId="0" applyNumberFormat="1" applyFont="1" applyBorder="1"/>
    <xf numFmtId="168" fontId="10" fillId="0" borderId="1" xfId="0" applyNumberFormat="1" applyFont="1" applyBorder="1"/>
    <xf numFmtId="49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168" fontId="10" fillId="4" borderId="1" xfId="0" applyNumberFormat="1" applyFont="1" applyFill="1" applyBorder="1"/>
    <xf numFmtId="0" fontId="0" fillId="4" borderId="0" xfId="0" applyFill="1"/>
    <xf numFmtId="0" fontId="0" fillId="0" borderId="1" xfId="0" applyBorder="1"/>
    <xf numFmtId="165" fontId="19" fillId="2" borderId="0" xfId="1" applyNumberFormat="1" applyFont="1" applyFill="1" applyAlignment="1">
      <alignment horizontal="left" wrapText="1"/>
    </xf>
    <xf numFmtId="165" fontId="19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 wrapText="1"/>
    </xf>
    <xf numFmtId="165" fontId="5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165" fontId="1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wrapText="1"/>
    </xf>
    <xf numFmtId="165" fontId="16" fillId="2" borderId="3" xfId="1" applyNumberFormat="1" applyFont="1" applyFill="1" applyBorder="1" applyAlignment="1">
      <alignment horizontal="center" wrapText="1"/>
    </xf>
    <xf numFmtId="165" fontId="16" fillId="2" borderId="4" xfId="1" applyNumberFormat="1" applyFont="1" applyFill="1" applyBorder="1" applyAlignment="1">
      <alignment horizontal="center" wrapText="1"/>
    </xf>
    <xf numFmtId="165" fontId="16" fillId="2" borderId="5" xfId="1" applyNumberFormat="1" applyFont="1" applyFill="1" applyBorder="1" applyAlignment="1">
      <alignment horizontal="center" wrapText="1"/>
    </xf>
    <xf numFmtId="165" fontId="16" fillId="0" borderId="1" xfId="1" applyNumberFormat="1" applyFont="1" applyFill="1" applyBorder="1" applyAlignment="1">
      <alignment wrapText="1"/>
    </xf>
    <xf numFmtId="165" fontId="16" fillId="2" borderId="1" xfId="1" applyNumberFormat="1" applyFont="1" applyFill="1" applyBorder="1" applyAlignment="1">
      <alignment wrapText="1"/>
    </xf>
    <xf numFmtId="165" fontId="16" fillId="0" borderId="3" xfId="1" applyNumberFormat="1" applyFont="1" applyFill="1" applyBorder="1" applyAlignment="1">
      <alignment horizontal="left" wrapText="1"/>
    </xf>
    <xf numFmtId="165" fontId="16" fillId="0" borderId="4" xfId="1" applyNumberFormat="1" applyFont="1" applyFill="1" applyBorder="1" applyAlignment="1">
      <alignment horizontal="left" wrapText="1"/>
    </xf>
    <xf numFmtId="165" fontId="16" fillId="0" borderId="5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left" wrapText="1"/>
    </xf>
    <xf numFmtId="49" fontId="25" fillId="0" borderId="9" xfId="0" applyNumberFormat="1" applyFont="1" applyFill="1" applyBorder="1" applyAlignment="1">
      <alignment horizontal="left" wrapText="1"/>
    </xf>
    <xf numFmtId="168" fontId="12" fillId="0" borderId="1" xfId="0" applyNumberFormat="1" applyFont="1" applyBorder="1" applyAlignment="1">
      <alignment vertical="center"/>
    </xf>
    <xf numFmtId="49" fontId="25" fillId="4" borderId="1" xfId="0" applyNumberFormat="1" applyFont="1" applyFill="1" applyBorder="1" applyAlignment="1">
      <alignment vertical="center" wrapText="1"/>
    </xf>
    <xf numFmtId="0" fontId="25" fillId="4" borderId="1" xfId="0" applyFont="1" applyFill="1" applyBorder="1" applyAlignment="1">
      <alignment wrapText="1"/>
    </xf>
    <xf numFmtId="168" fontId="25" fillId="4" borderId="1" xfId="0" applyNumberFormat="1" applyFont="1" applyFill="1" applyBorder="1"/>
    <xf numFmtId="0" fontId="26" fillId="4" borderId="0" xfId="0" applyFont="1" applyFill="1"/>
    <xf numFmtId="0" fontId="25" fillId="0" borderId="1" xfId="0" applyFont="1" applyBorder="1" applyAlignment="1">
      <alignment wrapText="1"/>
    </xf>
    <xf numFmtId="168" fontId="25" fillId="0" borderId="1" xfId="0" applyNumberFormat="1" applyFont="1" applyBorder="1"/>
    <xf numFmtId="0" fontId="26" fillId="0" borderId="0" xfId="0" applyFont="1"/>
    <xf numFmtId="0" fontId="30" fillId="0" borderId="1" xfId="0" applyFont="1" applyFill="1" applyBorder="1" applyAlignment="1">
      <alignment wrapText="1"/>
    </xf>
    <xf numFmtId="168" fontId="25" fillId="0" borderId="1" xfId="0" applyNumberFormat="1" applyFont="1" applyBorder="1" applyAlignment="1">
      <alignment vertical="center"/>
    </xf>
    <xf numFmtId="168" fontId="30" fillId="0" borderId="1" xfId="0" applyNumberFormat="1" applyFont="1" applyFill="1" applyBorder="1"/>
    <xf numFmtId="0" fontId="31" fillId="0" borderId="0" xfId="0" applyFont="1" applyFill="1"/>
    <xf numFmtId="0" fontId="32" fillId="0" borderId="9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265"/>
  <sheetViews>
    <sheetView tabSelected="1" view="pageBreakPreview" topLeftCell="A67" zoomScale="85" zoomScaleNormal="85" zoomScaleSheetLayoutView="85" workbookViewId="0">
      <selection activeCell="D92" activeCellId="10" sqref="D54 D56 D62 D67 D68 D74 D75 D77 D82 D88 D92"/>
    </sheetView>
  </sheetViews>
  <sheetFormatPr defaultColWidth="8.88671875" defaultRowHeight="13.8" x14ac:dyDescent="0.25"/>
  <cols>
    <col min="1" max="1" width="15.5546875" style="2" customWidth="1"/>
    <col min="2" max="2" width="15.6640625" style="3" customWidth="1"/>
    <col min="3" max="3" width="27.5546875" style="3" customWidth="1"/>
    <col min="4" max="4" width="18.5546875" style="3" customWidth="1"/>
    <col min="5" max="5" width="13.6640625" style="3" customWidth="1"/>
    <col min="6" max="6" width="16" style="3" customWidth="1"/>
    <col min="7" max="7" width="14.33203125" style="3" customWidth="1"/>
    <col min="8" max="8" width="16.33203125" style="3" customWidth="1"/>
    <col min="9" max="9" width="15" style="3" customWidth="1"/>
    <col min="10" max="10" width="16.44140625" style="3" customWidth="1"/>
    <col min="11" max="11" width="15.5546875" style="3" customWidth="1"/>
    <col min="12" max="12" width="11.6640625" style="4" bestFit="1" customWidth="1"/>
    <col min="13" max="258" width="8.88671875" style="4"/>
    <col min="259" max="259" width="15.5546875" style="4" customWidth="1"/>
    <col min="260" max="260" width="15.6640625" style="4" customWidth="1"/>
    <col min="261" max="261" width="31.109375" style="4" customWidth="1"/>
    <col min="262" max="262" width="16.109375" style="4" customWidth="1"/>
    <col min="263" max="263" width="15.5546875" style="4" customWidth="1"/>
    <col min="264" max="264" width="16" style="4" customWidth="1"/>
    <col min="265" max="265" width="16.33203125" style="4" customWidth="1"/>
    <col min="266" max="266" width="16.44140625" style="4" customWidth="1"/>
    <col min="267" max="267" width="15.5546875" style="4" customWidth="1"/>
    <col min="268" max="268" width="11.6640625" style="4" bestFit="1" customWidth="1"/>
    <col min="269" max="514" width="8.88671875" style="4"/>
    <col min="515" max="515" width="15.5546875" style="4" customWidth="1"/>
    <col min="516" max="516" width="15.6640625" style="4" customWidth="1"/>
    <col min="517" max="517" width="31.109375" style="4" customWidth="1"/>
    <col min="518" max="518" width="16.109375" style="4" customWidth="1"/>
    <col min="519" max="519" width="15.5546875" style="4" customWidth="1"/>
    <col min="520" max="520" width="16" style="4" customWidth="1"/>
    <col min="521" max="521" width="16.33203125" style="4" customWidth="1"/>
    <col min="522" max="522" width="16.44140625" style="4" customWidth="1"/>
    <col min="523" max="523" width="15.5546875" style="4" customWidth="1"/>
    <col min="524" max="524" width="11.6640625" style="4" bestFit="1" customWidth="1"/>
    <col min="525" max="770" width="8.88671875" style="4"/>
    <col min="771" max="771" width="15.5546875" style="4" customWidth="1"/>
    <col min="772" max="772" width="15.6640625" style="4" customWidth="1"/>
    <col min="773" max="773" width="31.109375" style="4" customWidth="1"/>
    <col min="774" max="774" width="16.109375" style="4" customWidth="1"/>
    <col min="775" max="775" width="15.5546875" style="4" customWidth="1"/>
    <col min="776" max="776" width="16" style="4" customWidth="1"/>
    <col min="777" max="777" width="16.33203125" style="4" customWidth="1"/>
    <col min="778" max="778" width="16.44140625" style="4" customWidth="1"/>
    <col min="779" max="779" width="15.5546875" style="4" customWidth="1"/>
    <col min="780" max="780" width="11.6640625" style="4" bestFit="1" customWidth="1"/>
    <col min="781" max="1026" width="8.88671875" style="4"/>
    <col min="1027" max="1027" width="15.5546875" style="4" customWidth="1"/>
    <col min="1028" max="1028" width="15.6640625" style="4" customWidth="1"/>
    <col min="1029" max="1029" width="31.109375" style="4" customWidth="1"/>
    <col min="1030" max="1030" width="16.109375" style="4" customWidth="1"/>
    <col min="1031" max="1031" width="15.5546875" style="4" customWidth="1"/>
    <col min="1032" max="1032" width="16" style="4" customWidth="1"/>
    <col min="1033" max="1033" width="16.33203125" style="4" customWidth="1"/>
    <col min="1034" max="1034" width="16.44140625" style="4" customWidth="1"/>
    <col min="1035" max="1035" width="15.5546875" style="4" customWidth="1"/>
    <col min="1036" max="1036" width="11.6640625" style="4" bestFit="1" customWidth="1"/>
    <col min="1037" max="1282" width="8.88671875" style="4"/>
    <col min="1283" max="1283" width="15.5546875" style="4" customWidth="1"/>
    <col min="1284" max="1284" width="15.6640625" style="4" customWidth="1"/>
    <col min="1285" max="1285" width="31.109375" style="4" customWidth="1"/>
    <col min="1286" max="1286" width="16.109375" style="4" customWidth="1"/>
    <col min="1287" max="1287" width="15.5546875" style="4" customWidth="1"/>
    <col min="1288" max="1288" width="16" style="4" customWidth="1"/>
    <col min="1289" max="1289" width="16.33203125" style="4" customWidth="1"/>
    <col min="1290" max="1290" width="16.44140625" style="4" customWidth="1"/>
    <col min="1291" max="1291" width="15.5546875" style="4" customWidth="1"/>
    <col min="1292" max="1292" width="11.6640625" style="4" bestFit="1" customWidth="1"/>
    <col min="1293" max="1538" width="8.88671875" style="4"/>
    <col min="1539" max="1539" width="15.5546875" style="4" customWidth="1"/>
    <col min="1540" max="1540" width="15.6640625" style="4" customWidth="1"/>
    <col min="1541" max="1541" width="31.109375" style="4" customWidth="1"/>
    <col min="1542" max="1542" width="16.109375" style="4" customWidth="1"/>
    <col min="1543" max="1543" width="15.5546875" style="4" customWidth="1"/>
    <col min="1544" max="1544" width="16" style="4" customWidth="1"/>
    <col min="1545" max="1545" width="16.33203125" style="4" customWidth="1"/>
    <col min="1546" max="1546" width="16.44140625" style="4" customWidth="1"/>
    <col min="1547" max="1547" width="15.5546875" style="4" customWidth="1"/>
    <col min="1548" max="1548" width="11.6640625" style="4" bestFit="1" customWidth="1"/>
    <col min="1549" max="1794" width="8.88671875" style="4"/>
    <col min="1795" max="1795" width="15.5546875" style="4" customWidth="1"/>
    <col min="1796" max="1796" width="15.6640625" style="4" customWidth="1"/>
    <col min="1797" max="1797" width="31.109375" style="4" customWidth="1"/>
    <col min="1798" max="1798" width="16.109375" style="4" customWidth="1"/>
    <col min="1799" max="1799" width="15.5546875" style="4" customWidth="1"/>
    <col min="1800" max="1800" width="16" style="4" customWidth="1"/>
    <col min="1801" max="1801" width="16.33203125" style="4" customWidth="1"/>
    <col min="1802" max="1802" width="16.44140625" style="4" customWidth="1"/>
    <col min="1803" max="1803" width="15.5546875" style="4" customWidth="1"/>
    <col min="1804" max="1804" width="11.6640625" style="4" bestFit="1" customWidth="1"/>
    <col min="1805" max="2050" width="8.88671875" style="4"/>
    <col min="2051" max="2051" width="15.5546875" style="4" customWidth="1"/>
    <col min="2052" max="2052" width="15.6640625" style="4" customWidth="1"/>
    <col min="2053" max="2053" width="31.109375" style="4" customWidth="1"/>
    <col min="2054" max="2054" width="16.109375" style="4" customWidth="1"/>
    <col min="2055" max="2055" width="15.5546875" style="4" customWidth="1"/>
    <col min="2056" max="2056" width="16" style="4" customWidth="1"/>
    <col min="2057" max="2057" width="16.33203125" style="4" customWidth="1"/>
    <col min="2058" max="2058" width="16.44140625" style="4" customWidth="1"/>
    <col min="2059" max="2059" width="15.5546875" style="4" customWidth="1"/>
    <col min="2060" max="2060" width="11.6640625" style="4" bestFit="1" customWidth="1"/>
    <col min="2061" max="2306" width="8.88671875" style="4"/>
    <col min="2307" max="2307" width="15.5546875" style="4" customWidth="1"/>
    <col min="2308" max="2308" width="15.6640625" style="4" customWidth="1"/>
    <col min="2309" max="2309" width="31.109375" style="4" customWidth="1"/>
    <col min="2310" max="2310" width="16.109375" style="4" customWidth="1"/>
    <col min="2311" max="2311" width="15.5546875" style="4" customWidth="1"/>
    <col min="2312" max="2312" width="16" style="4" customWidth="1"/>
    <col min="2313" max="2313" width="16.33203125" style="4" customWidth="1"/>
    <col min="2314" max="2314" width="16.44140625" style="4" customWidth="1"/>
    <col min="2315" max="2315" width="15.5546875" style="4" customWidth="1"/>
    <col min="2316" max="2316" width="11.6640625" style="4" bestFit="1" customWidth="1"/>
    <col min="2317" max="2562" width="8.88671875" style="4"/>
    <col min="2563" max="2563" width="15.5546875" style="4" customWidth="1"/>
    <col min="2564" max="2564" width="15.6640625" style="4" customWidth="1"/>
    <col min="2565" max="2565" width="31.109375" style="4" customWidth="1"/>
    <col min="2566" max="2566" width="16.109375" style="4" customWidth="1"/>
    <col min="2567" max="2567" width="15.5546875" style="4" customWidth="1"/>
    <col min="2568" max="2568" width="16" style="4" customWidth="1"/>
    <col min="2569" max="2569" width="16.33203125" style="4" customWidth="1"/>
    <col min="2570" max="2570" width="16.44140625" style="4" customWidth="1"/>
    <col min="2571" max="2571" width="15.5546875" style="4" customWidth="1"/>
    <col min="2572" max="2572" width="11.6640625" style="4" bestFit="1" customWidth="1"/>
    <col min="2573" max="2818" width="8.88671875" style="4"/>
    <col min="2819" max="2819" width="15.5546875" style="4" customWidth="1"/>
    <col min="2820" max="2820" width="15.6640625" style="4" customWidth="1"/>
    <col min="2821" max="2821" width="31.109375" style="4" customWidth="1"/>
    <col min="2822" max="2822" width="16.109375" style="4" customWidth="1"/>
    <col min="2823" max="2823" width="15.5546875" style="4" customWidth="1"/>
    <col min="2824" max="2824" width="16" style="4" customWidth="1"/>
    <col min="2825" max="2825" width="16.33203125" style="4" customWidth="1"/>
    <col min="2826" max="2826" width="16.44140625" style="4" customWidth="1"/>
    <col min="2827" max="2827" width="15.5546875" style="4" customWidth="1"/>
    <col min="2828" max="2828" width="11.6640625" style="4" bestFit="1" customWidth="1"/>
    <col min="2829" max="3074" width="8.88671875" style="4"/>
    <col min="3075" max="3075" width="15.5546875" style="4" customWidth="1"/>
    <col min="3076" max="3076" width="15.6640625" style="4" customWidth="1"/>
    <col min="3077" max="3077" width="31.109375" style="4" customWidth="1"/>
    <col min="3078" max="3078" width="16.109375" style="4" customWidth="1"/>
    <col min="3079" max="3079" width="15.5546875" style="4" customWidth="1"/>
    <col min="3080" max="3080" width="16" style="4" customWidth="1"/>
    <col min="3081" max="3081" width="16.33203125" style="4" customWidth="1"/>
    <col min="3082" max="3082" width="16.44140625" style="4" customWidth="1"/>
    <col min="3083" max="3083" width="15.5546875" style="4" customWidth="1"/>
    <col min="3084" max="3084" width="11.6640625" style="4" bestFit="1" customWidth="1"/>
    <col min="3085" max="3330" width="8.88671875" style="4"/>
    <col min="3331" max="3331" width="15.5546875" style="4" customWidth="1"/>
    <col min="3332" max="3332" width="15.6640625" style="4" customWidth="1"/>
    <col min="3333" max="3333" width="31.109375" style="4" customWidth="1"/>
    <col min="3334" max="3334" width="16.109375" style="4" customWidth="1"/>
    <col min="3335" max="3335" width="15.5546875" style="4" customWidth="1"/>
    <col min="3336" max="3336" width="16" style="4" customWidth="1"/>
    <col min="3337" max="3337" width="16.33203125" style="4" customWidth="1"/>
    <col min="3338" max="3338" width="16.44140625" style="4" customWidth="1"/>
    <col min="3339" max="3339" width="15.5546875" style="4" customWidth="1"/>
    <col min="3340" max="3340" width="11.6640625" style="4" bestFit="1" customWidth="1"/>
    <col min="3341" max="3586" width="8.88671875" style="4"/>
    <col min="3587" max="3587" width="15.5546875" style="4" customWidth="1"/>
    <col min="3588" max="3588" width="15.6640625" style="4" customWidth="1"/>
    <col min="3589" max="3589" width="31.109375" style="4" customWidth="1"/>
    <col min="3590" max="3590" width="16.109375" style="4" customWidth="1"/>
    <col min="3591" max="3591" width="15.5546875" style="4" customWidth="1"/>
    <col min="3592" max="3592" width="16" style="4" customWidth="1"/>
    <col min="3593" max="3593" width="16.33203125" style="4" customWidth="1"/>
    <col min="3594" max="3594" width="16.44140625" style="4" customWidth="1"/>
    <col min="3595" max="3595" width="15.5546875" style="4" customWidth="1"/>
    <col min="3596" max="3596" width="11.6640625" style="4" bestFit="1" customWidth="1"/>
    <col min="3597" max="3842" width="8.88671875" style="4"/>
    <col min="3843" max="3843" width="15.5546875" style="4" customWidth="1"/>
    <col min="3844" max="3844" width="15.6640625" style="4" customWidth="1"/>
    <col min="3845" max="3845" width="31.109375" style="4" customWidth="1"/>
    <col min="3846" max="3846" width="16.109375" style="4" customWidth="1"/>
    <col min="3847" max="3847" width="15.5546875" style="4" customWidth="1"/>
    <col min="3848" max="3848" width="16" style="4" customWidth="1"/>
    <col min="3849" max="3849" width="16.33203125" style="4" customWidth="1"/>
    <col min="3850" max="3850" width="16.44140625" style="4" customWidth="1"/>
    <col min="3851" max="3851" width="15.5546875" style="4" customWidth="1"/>
    <col min="3852" max="3852" width="11.6640625" style="4" bestFit="1" customWidth="1"/>
    <col min="3853" max="4098" width="8.88671875" style="4"/>
    <col min="4099" max="4099" width="15.5546875" style="4" customWidth="1"/>
    <col min="4100" max="4100" width="15.6640625" style="4" customWidth="1"/>
    <col min="4101" max="4101" width="31.109375" style="4" customWidth="1"/>
    <col min="4102" max="4102" width="16.109375" style="4" customWidth="1"/>
    <col min="4103" max="4103" width="15.5546875" style="4" customWidth="1"/>
    <col min="4104" max="4104" width="16" style="4" customWidth="1"/>
    <col min="4105" max="4105" width="16.33203125" style="4" customWidth="1"/>
    <col min="4106" max="4106" width="16.44140625" style="4" customWidth="1"/>
    <col min="4107" max="4107" width="15.5546875" style="4" customWidth="1"/>
    <col min="4108" max="4108" width="11.6640625" style="4" bestFit="1" customWidth="1"/>
    <col min="4109" max="4354" width="8.88671875" style="4"/>
    <col min="4355" max="4355" width="15.5546875" style="4" customWidth="1"/>
    <col min="4356" max="4356" width="15.6640625" style="4" customWidth="1"/>
    <col min="4357" max="4357" width="31.109375" style="4" customWidth="1"/>
    <col min="4358" max="4358" width="16.109375" style="4" customWidth="1"/>
    <col min="4359" max="4359" width="15.5546875" style="4" customWidth="1"/>
    <col min="4360" max="4360" width="16" style="4" customWidth="1"/>
    <col min="4361" max="4361" width="16.33203125" style="4" customWidth="1"/>
    <col min="4362" max="4362" width="16.44140625" style="4" customWidth="1"/>
    <col min="4363" max="4363" width="15.5546875" style="4" customWidth="1"/>
    <col min="4364" max="4364" width="11.6640625" style="4" bestFit="1" customWidth="1"/>
    <col min="4365" max="4610" width="8.88671875" style="4"/>
    <col min="4611" max="4611" width="15.5546875" style="4" customWidth="1"/>
    <col min="4612" max="4612" width="15.6640625" style="4" customWidth="1"/>
    <col min="4613" max="4613" width="31.109375" style="4" customWidth="1"/>
    <col min="4614" max="4614" width="16.109375" style="4" customWidth="1"/>
    <col min="4615" max="4615" width="15.5546875" style="4" customWidth="1"/>
    <col min="4616" max="4616" width="16" style="4" customWidth="1"/>
    <col min="4617" max="4617" width="16.33203125" style="4" customWidth="1"/>
    <col min="4618" max="4618" width="16.44140625" style="4" customWidth="1"/>
    <col min="4619" max="4619" width="15.5546875" style="4" customWidth="1"/>
    <col min="4620" max="4620" width="11.6640625" style="4" bestFit="1" customWidth="1"/>
    <col min="4621" max="4866" width="8.88671875" style="4"/>
    <col min="4867" max="4867" width="15.5546875" style="4" customWidth="1"/>
    <col min="4868" max="4868" width="15.6640625" style="4" customWidth="1"/>
    <col min="4869" max="4869" width="31.109375" style="4" customWidth="1"/>
    <col min="4870" max="4870" width="16.109375" style="4" customWidth="1"/>
    <col min="4871" max="4871" width="15.5546875" style="4" customWidth="1"/>
    <col min="4872" max="4872" width="16" style="4" customWidth="1"/>
    <col min="4873" max="4873" width="16.33203125" style="4" customWidth="1"/>
    <col min="4874" max="4874" width="16.44140625" style="4" customWidth="1"/>
    <col min="4875" max="4875" width="15.5546875" style="4" customWidth="1"/>
    <col min="4876" max="4876" width="11.6640625" style="4" bestFit="1" customWidth="1"/>
    <col min="4877" max="5122" width="8.88671875" style="4"/>
    <col min="5123" max="5123" width="15.5546875" style="4" customWidth="1"/>
    <col min="5124" max="5124" width="15.6640625" style="4" customWidth="1"/>
    <col min="5125" max="5125" width="31.109375" style="4" customWidth="1"/>
    <col min="5126" max="5126" width="16.109375" style="4" customWidth="1"/>
    <col min="5127" max="5127" width="15.5546875" style="4" customWidth="1"/>
    <col min="5128" max="5128" width="16" style="4" customWidth="1"/>
    <col min="5129" max="5129" width="16.33203125" style="4" customWidth="1"/>
    <col min="5130" max="5130" width="16.44140625" style="4" customWidth="1"/>
    <col min="5131" max="5131" width="15.5546875" style="4" customWidth="1"/>
    <col min="5132" max="5132" width="11.6640625" style="4" bestFit="1" customWidth="1"/>
    <col min="5133" max="5378" width="8.88671875" style="4"/>
    <col min="5379" max="5379" width="15.5546875" style="4" customWidth="1"/>
    <col min="5380" max="5380" width="15.6640625" style="4" customWidth="1"/>
    <col min="5381" max="5381" width="31.109375" style="4" customWidth="1"/>
    <col min="5382" max="5382" width="16.109375" style="4" customWidth="1"/>
    <col min="5383" max="5383" width="15.5546875" style="4" customWidth="1"/>
    <col min="5384" max="5384" width="16" style="4" customWidth="1"/>
    <col min="5385" max="5385" width="16.33203125" style="4" customWidth="1"/>
    <col min="5386" max="5386" width="16.44140625" style="4" customWidth="1"/>
    <col min="5387" max="5387" width="15.5546875" style="4" customWidth="1"/>
    <col min="5388" max="5388" width="11.6640625" style="4" bestFit="1" customWidth="1"/>
    <col min="5389" max="5634" width="8.88671875" style="4"/>
    <col min="5635" max="5635" width="15.5546875" style="4" customWidth="1"/>
    <col min="5636" max="5636" width="15.6640625" style="4" customWidth="1"/>
    <col min="5637" max="5637" width="31.109375" style="4" customWidth="1"/>
    <col min="5638" max="5638" width="16.109375" style="4" customWidth="1"/>
    <col min="5639" max="5639" width="15.5546875" style="4" customWidth="1"/>
    <col min="5640" max="5640" width="16" style="4" customWidth="1"/>
    <col min="5641" max="5641" width="16.33203125" style="4" customWidth="1"/>
    <col min="5642" max="5642" width="16.44140625" style="4" customWidth="1"/>
    <col min="5643" max="5643" width="15.5546875" style="4" customWidth="1"/>
    <col min="5644" max="5644" width="11.6640625" style="4" bestFit="1" customWidth="1"/>
    <col min="5645" max="5890" width="8.88671875" style="4"/>
    <col min="5891" max="5891" width="15.5546875" style="4" customWidth="1"/>
    <col min="5892" max="5892" width="15.6640625" style="4" customWidth="1"/>
    <col min="5893" max="5893" width="31.109375" style="4" customWidth="1"/>
    <col min="5894" max="5894" width="16.109375" style="4" customWidth="1"/>
    <col min="5895" max="5895" width="15.5546875" style="4" customWidth="1"/>
    <col min="5896" max="5896" width="16" style="4" customWidth="1"/>
    <col min="5897" max="5897" width="16.33203125" style="4" customWidth="1"/>
    <col min="5898" max="5898" width="16.44140625" style="4" customWidth="1"/>
    <col min="5899" max="5899" width="15.5546875" style="4" customWidth="1"/>
    <col min="5900" max="5900" width="11.6640625" style="4" bestFit="1" customWidth="1"/>
    <col min="5901" max="6146" width="8.88671875" style="4"/>
    <col min="6147" max="6147" width="15.5546875" style="4" customWidth="1"/>
    <col min="6148" max="6148" width="15.6640625" style="4" customWidth="1"/>
    <col min="6149" max="6149" width="31.109375" style="4" customWidth="1"/>
    <col min="6150" max="6150" width="16.109375" style="4" customWidth="1"/>
    <col min="6151" max="6151" width="15.5546875" style="4" customWidth="1"/>
    <col min="6152" max="6152" width="16" style="4" customWidth="1"/>
    <col min="6153" max="6153" width="16.33203125" style="4" customWidth="1"/>
    <col min="6154" max="6154" width="16.44140625" style="4" customWidth="1"/>
    <col min="6155" max="6155" width="15.5546875" style="4" customWidth="1"/>
    <col min="6156" max="6156" width="11.6640625" style="4" bestFit="1" customWidth="1"/>
    <col min="6157" max="6402" width="8.88671875" style="4"/>
    <col min="6403" max="6403" width="15.5546875" style="4" customWidth="1"/>
    <col min="6404" max="6404" width="15.6640625" style="4" customWidth="1"/>
    <col min="6405" max="6405" width="31.109375" style="4" customWidth="1"/>
    <col min="6406" max="6406" width="16.109375" style="4" customWidth="1"/>
    <col min="6407" max="6407" width="15.5546875" style="4" customWidth="1"/>
    <col min="6408" max="6408" width="16" style="4" customWidth="1"/>
    <col min="6409" max="6409" width="16.33203125" style="4" customWidth="1"/>
    <col min="6410" max="6410" width="16.44140625" style="4" customWidth="1"/>
    <col min="6411" max="6411" width="15.5546875" style="4" customWidth="1"/>
    <col min="6412" max="6412" width="11.6640625" style="4" bestFit="1" customWidth="1"/>
    <col min="6413" max="6658" width="8.88671875" style="4"/>
    <col min="6659" max="6659" width="15.5546875" style="4" customWidth="1"/>
    <col min="6660" max="6660" width="15.6640625" style="4" customWidth="1"/>
    <col min="6661" max="6661" width="31.109375" style="4" customWidth="1"/>
    <col min="6662" max="6662" width="16.109375" style="4" customWidth="1"/>
    <col min="6663" max="6663" width="15.5546875" style="4" customWidth="1"/>
    <col min="6664" max="6664" width="16" style="4" customWidth="1"/>
    <col min="6665" max="6665" width="16.33203125" style="4" customWidth="1"/>
    <col min="6666" max="6666" width="16.44140625" style="4" customWidth="1"/>
    <col min="6667" max="6667" width="15.5546875" style="4" customWidth="1"/>
    <col min="6668" max="6668" width="11.6640625" style="4" bestFit="1" customWidth="1"/>
    <col min="6669" max="6914" width="8.88671875" style="4"/>
    <col min="6915" max="6915" width="15.5546875" style="4" customWidth="1"/>
    <col min="6916" max="6916" width="15.6640625" style="4" customWidth="1"/>
    <col min="6917" max="6917" width="31.109375" style="4" customWidth="1"/>
    <col min="6918" max="6918" width="16.109375" style="4" customWidth="1"/>
    <col min="6919" max="6919" width="15.5546875" style="4" customWidth="1"/>
    <col min="6920" max="6920" width="16" style="4" customWidth="1"/>
    <col min="6921" max="6921" width="16.33203125" style="4" customWidth="1"/>
    <col min="6922" max="6922" width="16.44140625" style="4" customWidth="1"/>
    <col min="6923" max="6923" width="15.5546875" style="4" customWidth="1"/>
    <col min="6924" max="6924" width="11.6640625" style="4" bestFit="1" customWidth="1"/>
    <col min="6925" max="7170" width="8.88671875" style="4"/>
    <col min="7171" max="7171" width="15.5546875" style="4" customWidth="1"/>
    <col min="7172" max="7172" width="15.6640625" style="4" customWidth="1"/>
    <col min="7173" max="7173" width="31.109375" style="4" customWidth="1"/>
    <col min="7174" max="7174" width="16.109375" style="4" customWidth="1"/>
    <col min="7175" max="7175" width="15.5546875" style="4" customWidth="1"/>
    <col min="7176" max="7176" width="16" style="4" customWidth="1"/>
    <col min="7177" max="7177" width="16.33203125" style="4" customWidth="1"/>
    <col min="7178" max="7178" width="16.44140625" style="4" customWidth="1"/>
    <col min="7179" max="7179" width="15.5546875" style="4" customWidth="1"/>
    <col min="7180" max="7180" width="11.6640625" style="4" bestFit="1" customWidth="1"/>
    <col min="7181" max="7426" width="8.88671875" style="4"/>
    <col min="7427" max="7427" width="15.5546875" style="4" customWidth="1"/>
    <col min="7428" max="7428" width="15.6640625" style="4" customWidth="1"/>
    <col min="7429" max="7429" width="31.109375" style="4" customWidth="1"/>
    <col min="7430" max="7430" width="16.109375" style="4" customWidth="1"/>
    <col min="7431" max="7431" width="15.5546875" style="4" customWidth="1"/>
    <col min="7432" max="7432" width="16" style="4" customWidth="1"/>
    <col min="7433" max="7433" width="16.33203125" style="4" customWidth="1"/>
    <col min="7434" max="7434" width="16.44140625" style="4" customWidth="1"/>
    <col min="7435" max="7435" width="15.5546875" style="4" customWidth="1"/>
    <col min="7436" max="7436" width="11.6640625" style="4" bestFit="1" customWidth="1"/>
    <col min="7437" max="7682" width="8.88671875" style="4"/>
    <col min="7683" max="7683" width="15.5546875" style="4" customWidth="1"/>
    <col min="7684" max="7684" width="15.6640625" style="4" customWidth="1"/>
    <col min="7685" max="7685" width="31.109375" style="4" customWidth="1"/>
    <col min="7686" max="7686" width="16.109375" style="4" customWidth="1"/>
    <col min="7687" max="7687" width="15.5546875" style="4" customWidth="1"/>
    <col min="7688" max="7688" width="16" style="4" customWidth="1"/>
    <col min="7689" max="7689" width="16.33203125" style="4" customWidth="1"/>
    <col min="7690" max="7690" width="16.44140625" style="4" customWidth="1"/>
    <col min="7691" max="7691" width="15.5546875" style="4" customWidth="1"/>
    <col min="7692" max="7692" width="11.6640625" style="4" bestFit="1" customWidth="1"/>
    <col min="7693" max="7938" width="8.88671875" style="4"/>
    <col min="7939" max="7939" width="15.5546875" style="4" customWidth="1"/>
    <col min="7940" max="7940" width="15.6640625" style="4" customWidth="1"/>
    <col min="7941" max="7941" width="31.109375" style="4" customWidth="1"/>
    <col min="7942" max="7942" width="16.109375" style="4" customWidth="1"/>
    <col min="7943" max="7943" width="15.5546875" style="4" customWidth="1"/>
    <col min="7944" max="7944" width="16" style="4" customWidth="1"/>
    <col min="7945" max="7945" width="16.33203125" style="4" customWidth="1"/>
    <col min="7946" max="7946" width="16.44140625" style="4" customWidth="1"/>
    <col min="7947" max="7947" width="15.5546875" style="4" customWidth="1"/>
    <col min="7948" max="7948" width="11.6640625" style="4" bestFit="1" customWidth="1"/>
    <col min="7949" max="8194" width="8.88671875" style="4"/>
    <col min="8195" max="8195" width="15.5546875" style="4" customWidth="1"/>
    <col min="8196" max="8196" width="15.6640625" style="4" customWidth="1"/>
    <col min="8197" max="8197" width="31.109375" style="4" customWidth="1"/>
    <col min="8198" max="8198" width="16.109375" style="4" customWidth="1"/>
    <col min="8199" max="8199" width="15.5546875" style="4" customWidth="1"/>
    <col min="8200" max="8200" width="16" style="4" customWidth="1"/>
    <col min="8201" max="8201" width="16.33203125" style="4" customWidth="1"/>
    <col min="8202" max="8202" width="16.44140625" style="4" customWidth="1"/>
    <col min="8203" max="8203" width="15.5546875" style="4" customWidth="1"/>
    <col min="8204" max="8204" width="11.6640625" style="4" bestFit="1" customWidth="1"/>
    <col min="8205" max="8450" width="8.88671875" style="4"/>
    <col min="8451" max="8451" width="15.5546875" style="4" customWidth="1"/>
    <col min="8452" max="8452" width="15.6640625" style="4" customWidth="1"/>
    <col min="8453" max="8453" width="31.109375" style="4" customWidth="1"/>
    <col min="8454" max="8454" width="16.109375" style="4" customWidth="1"/>
    <col min="8455" max="8455" width="15.5546875" style="4" customWidth="1"/>
    <col min="8456" max="8456" width="16" style="4" customWidth="1"/>
    <col min="8457" max="8457" width="16.33203125" style="4" customWidth="1"/>
    <col min="8458" max="8458" width="16.44140625" style="4" customWidth="1"/>
    <col min="8459" max="8459" width="15.5546875" style="4" customWidth="1"/>
    <col min="8460" max="8460" width="11.6640625" style="4" bestFit="1" customWidth="1"/>
    <col min="8461" max="8706" width="8.88671875" style="4"/>
    <col min="8707" max="8707" width="15.5546875" style="4" customWidth="1"/>
    <col min="8708" max="8708" width="15.6640625" style="4" customWidth="1"/>
    <col min="8709" max="8709" width="31.109375" style="4" customWidth="1"/>
    <col min="8710" max="8710" width="16.109375" style="4" customWidth="1"/>
    <col min="8711" max="8711" width="15.5546875" style="4" customWidth="1"/>
    <col min="8712" max="8712" width="16" style="4" customWidth="1"/>
    <col min="8713" max="8713" width="16.33203125" style="4" customWidth="1"/>
    <col min="8714" max="8714" width="16.44140625" style="4" customWidth="1"/>
    <col min="8715" max="8715" width="15.5546875" style="4" customWidth="1"/>
    <col min="8716" max="8716" width="11.6640625" style="4" bestFit="1" customWidth="1"/>
    <col min="8717" max="8962" width="8.88671875" style="4"/>
    <col min="8963" max="8963" width="15.5546875" style="4" customWidth="1"/>
    <col min="8964" max="8964" width="15.6640625" style="4" customWidth="1"/>
    <col min="8965" max="8965" width="31.109375" style="4" customWidth="1"/>
    <col min="8966" max="8966" width="16.109375" style="4" customWidth="1"/>
    <col min="8967" max="8967" width="15.5546875" style="4" customWidth="1"/>
    <col min="8968" max="8968" width="16" style="4" customWidth="1"/>
    <col min="8969" max="8969" width="16.33203125" style="4" customWidth="1"/>
    <col min="8970" max="8970" width="16.44140625" style="4" customWidth="1"/>
    <col min="8971" max="8971" width="15.5546875" style="4" customWidth="1"/>
    <col min="8972" max="8972" width="11.6640625" style="4" bestFit="1" customWidth="1"/>
    <col min="8973" max="9218" width="8.88671875" style="4"/>
    <col min="9219" max="9219" width="15.5546875" style="4" customWidth="1"/>
    <col min="9220" max="9220" width="15.6640625" style="4" customWidth="1"/>
    <col min="9221" max="9221" width="31.109375" style="4" customWidth="1"/>
    <col min="9222" max="9222" width="16.109375" style="4" customWidth="1"/>
    <col min="9223" max="9223" width="15.5546875" style="4" customWidth="1"/>
    <col min="9224" max="9224" width="16" style="4" customWidth="1"/>
    <col min="9225" max="9225" width="16.33203125" style="4" customWidth="1"/>
    <col min="9226" max="9226" width="16.44140625" style="4" customWidth="1"/>
    <col min="9227" max="9227" width="15.5546875" style="4" customWidth="1"/>
    <col min="9228" max="9228" width="11.6640625" style="4" bestFit="1" customWidth="1"/>
    <col min="9229" max="9474" width="8.88671875" style="4"/>
    <col min="9475" max="9475" width="15.5546875" style="4" customWidth="1"/>
    <col min="9476" max="9476" width="15.6640625" style="4" customWidth="1"/>
    <col min="9477" max="9477" width="31.109375" style="4" customWidth="1"/>
    <col min="9478" max="9478" width="16.109375" style="4" customWidth="1"/>
    <col min="9479" max="9479" width="15.5546875" style="4" customWidth="1"/>
    <col min="9480" max="9480" width="16" style="4" customWidth="1"/>
    <col min="9481" max="9481" width="16.33203125" style="4" customWidth="1"/>
    <col min="9482" max="9482" width="16.44140625" style="4" customWidth="1"/>
    <col min="9483" max="9483" width="15.5546875" style="4" customWidth="1"/>
    <col min="9484" max="9484" width="11.6640625" style="4" bestFit="1" customWidth="1"/>
    <col min="9485" max="9730" width="8.88671875" style="4"/>
    <col min="9731" max="9731" width="15.5546875" style="4" customWidth="1"/>
    <col min="9732" max="9732" width="15.6640625" style="4" customWidth="1"/>
    <col min="9733" max="9733" width="31.109375" style="4" customWidth="1"/>
    <col min="9734" max="9734" width="16.109375" style="4" customWidth="1"/>
    <col min="9735" max="9735" width="15.5546875" style="4" customWidth="1"/>
    <col min="9736" max="9736" width="16" style="4" customWidth="1"/>
    <col min="9737" max="9737" width="16.33203125" style="4" customWidth="1"/>
    <col min="9738" max="9738" width="16.44140625" style="4" customWidth="1"/>
    <col min="9739" max="9739" width="15.5546875" style="4" customWidth="1"/>
    <col min="9740" max="9740" width="11.6640625" style="4" bestFit="1" customWidth="1"/>
    <col min="9741" max="9986" width="8.88671875" style="4"/>
    <col min="9987" max="9987" width="15.5546875" style="4" customWidth="1"/>
    <col min="9988" max="9988" width="15.6640625" style="4" customWidth="1"/>
    <col min="9989" max="9989" width="31.109375" style="4" customWidth="1"/>
    <col min="9990" max="9990" width="16.109375" style="4" customWidth="1"/>
    <col min="9991" max="9991" width="15.5546875" style="4" customWidth="1"/>
    <col min="9992" max="9992" width="16" style="4" customWidth="1"/>
    <col min="9993" max="9993" width="16.33203125" style="4" customWidth="1"/>
    <col min="9994" max="9994" width="16.44140625" style="4" customWidth="1"/>
    <col min="9995" max="9995" width="15.5546875" style="4" customWidth="1"/>
    <col min="9996" max="9996" width="11.6640625" style="4" bestFit="1" customWidth="1"/>
    <col min="9997" max="10242" width="8.88671875" style="4"/>
    <col min="10243" max="10243" width="15.5546875" style="4" customWidth="1"/>
    <col min="10244" max="10244" width="15.6640625" style="4" customWidth="1"/>
    <col min="10245" max="10245" width="31.109375" style="4" customWidth="1"/>
    <col min="10246" max="10246" width="16.109375" style="4" customWidth="1"/>
    <col min="10247" max="10247" width="15.5546875" style="4" customWidth="1"/>
    <col min="10248" max="10248" width="16" style="4" customWidth="1"/>
    <col min="10249" max="10249" width="16.33203125" style="4" customWidth="1"/>
    <col min="10250" max="10250" width="16.44140625" style="4" customWidth="1"/>
    <col min="10251" max="10251" width="15.5546875" style="4" customWidth="1"/>
    <col min="10252" max="10252" width="11.6640625" style="4" bestFit="1" customWidth="1"/>
    <col min="10253" max="10498" width="8.88671875" style="4"/>
    <col min="10499" max="10499" width="15.5546875" style="4" customWidth="1"/>
    <col min="10500" max="10500" width="15.6640625" style="4" customWidth="1"/>
    <col min="10501" max="10501" width="31.109375" style="4" customWidth="1"/>
    <col min="10502" max="10502" width="16.109375" style="4" customWidth="1"/>
    <col min="10503" max="10503" width="15.5546875" style="4" customWidth="1"/>
    <col min="10504" max="10504" width="16" style="4" customWidth="1"/>
    <col min="10505" max="10505" width="16.33203125" style="4" customWidth="1"/>
    <col min="10506" max="10506" width="16.44140625" style="4" customWidth="1"/>
    <col min="10507" max="10507" width="15.5546875" style="4" customWidth="1"/>
    <col min="10508" max="10508" width="11.6640625" style="4" bestFit="1" customWidth="1"/>
    <col min="10509" max="10754" width="8.88671875" style="4"/>
    <col min="10755" max="10755" width="15.5546875" style="4" customWidth="1"/>
    <col min="10756" max="10756" width="15.6640625" style="4" customWidth="1"/>
    <col min="10757" max="10757" width="31.109375" style="4" customWidth="1"/>
    <col min="10758" max="10758" width="16.109375" style="4" customWidth="1"/>
    <col min="10759" max="10759" width="15.5546875" style="4" customWidth="1"/>
    <col min="10760" max="10760" width="16" style="4" customWidth="1"/>
    <col min="10761" max="10761" width="16.33203125" style="4" customWidth="1"/>
    <col min="10762" max="10762" width="16.44140625" style="4" customWidth="1"/>
    <col min="10763" max="10763" width="15.5546875" style="4" customWidth="1"/>
    <col min="10764" max="10764" width="11.6640625" style="4" bestFit="1" customWidth="1"/>
    <col min="10765" max="11010" width="8.88671875" style="4"/>
    <col min="11011" max="11011" width="15.5546875" style="4" customWidth="1"/>
    <col min="11012" max="11012" width="15.6640625" style="4" customWidth="1"/>
    <col min="11013" max="11013" width="31.109375" style="4" customWidth="1"/>
    <col min="11014" max="11014" width="16.109375" style="4" customWidth="1"/>
    <col min="11015" max="11015" width="15.5546875" style="4" customWidth="1"/>
    <col min="11016" max="11016" width="16" style="4" customWidth="1"/>
    <col min="11017" max="11017" width="16.33203125" style="4" customWidth="1"/>
    <col min="11018" max="11018" width="16.44140625" style="4" customWidth="1"/>
    <col min="11019" max="11019" width="15.5546875" style="4" customWidth="1"/>
    <col min="11020" max="11020" width="11.6640625" style="4" bestFit="1" customWidth="1"/>
    <col min="11021" max="11266" width="8.88671875" style="4"/>
    <col min="11267" max="11267" width="15.5546875" style="4" customWidth="1"/>
    <col min="11268" max="11268" width="15.6640625" style="4" customWidth="1"/>
    <col min="11269" max="11269" width="31.109375" style="4" customWidth="1"/>
    <col min="11270" max="11270" width="16.109375" style="4" customWidth="1"/>
    <col min="11271" max="11271" width="15.5546875" style="4" customWidth="1"/>
    <col min="11272" max="11272" width="16" style="4" customWidth="1"/>
    <col min="11273" max="11273" width="16.33203125" style="4" customWidth="1"/>
    <col min="11274" max="11274" width="16.44140625" style="4" customWidth="1"/>
    <col min="11275" max="11275" width="15.5546875" style="4" customWidth="1"/>
    <col min="11276" max="11276" width="11.6640625" style="4" bestFit="1" customWidth="1"/>
    <col min="11277" max="11522" width="8.88671875" style="4"/>
    <col min="11523" max="11523" width="15.5546875" style="4" customWidth="1"/>
    <col min="11524" max="11524" width="15.6640625" style="4" customWidth="1"/>
    <col min="11525" max="11525" width="31.109375" style="4" customWidth="1"/>
    <col min="11526" max="11526" width="16.109375" style="4" customWidth="1"/>
    <col min="11527" max="11527" width="15.5546875" style="4" customWidth="1"/>
    <col min="11528" max="11528" width="16" style="4" customWidth="1"/>
    <col min="11529" max="11529" width="16.33203125" style="4" customWidth="1"/>
    <col min="11530" max="11530" width="16.44140625" style="4" customWidth="1"/>
    <col min="11531" max="11531" width="15.5546875" style="4" customWidth="1"/>
    <col min="11532" max="11532" width="11.6640625" style="4" bestFit="1" customWidth="1"/>
    <col min="11533" max="11778" width="8.88671875" style="4"/>
    <col min="11779" max="11779" width="15.5546875" style="4" customWidth="1"/>
    <col min="11780" max="11780" width="15.6640625" style="4" customWidth="1"/>
    <col min="11781" max="11781" width="31.109375" style="4" customWidth="1"/>
    <col min="11782" max="11782" width="16.109375" style="4" customWidth="1"/>
    <col min="11783" max="11783" width="15.5546875" style="4" customWidth="1"/>
    <col min="11784" max="11784" width="16" style="4" customWidth="1"/>
    <col min="11785" max="11785" width="16.33203125" style="4" customWidth="1"/>
    <col min="11786" max="11786" width="16.44140625" style="4" customWidth="1"/>
    <col min="11787" max="11787" width="15.5546875" style="4" customWidth="1"/>
    <col min="11788" max="11788" width="11.6640625" style="4" bestFit="1" customWidth="1"/>
    <col min="11789" max="12034" width="8.88671875" style="4"/>
    <col min="12035" max="12035" width="15.5546875" style="4" customWidth="1"/>
    <col min="12036" max="12036" width="15.6640625" style="4" customWidth="1"/>
    <col min="12037" max="12037" width="31.109375" style="4" customWidth="1"/>
    <col min="12038" max="12038" width="16.109375" style="4" customWidth="1"/>
    <col min="12039" max="12039" width="15.5546875" style="4" customWidth="1"/>
    <col min="12040" max="12040" width="16" style="4" customWidth="1"/>
    <col min="12041" max="12041" width="16.33203125" style="4" customWidth="1"/>
    <col min="12042" max="12042" width="16.44140625" style="4" customWidth="1"/>
    <col min="12043" max="12043" width="15.5546875" style="4" customWidth="1"/>
    <col min="12044" max="12044" width="11.6640625" style="4" bestFit="1" customWidth="1"/>
    <col min="12045" max="12290" width="8.88671875" style="4"/>
    <col min="12291" max="12291" width="15.5546875" style="4" customWidth="1"/>
    <col min="12292" max="12292" width="15.6640625" style="4" customWidth="1"/>
    <col min="12293" max="12293" width="31.109375" style="4" customWidth="1"/>
    <col min="12294" max="12294" width="16.109375" style="4" customWidth="1"/>
    <col min="12295" max="12295" width="15.5546875" style="4" customWidth="1"/>
    <col min="12296" max="12296" width="16" style="4" customWidth="1"/>
    <col min="12297" max="12297" width="16.33203125" style="4" customWidth="1"/>
    <col min="12298" max="12298" width="16.44140625" style="4" customWidth="1"/>
    <col min="12299" max="12299" width="15.5546875" style="4" customWidth="1"/>
    <col min="12300" max="12300" width="11.6640625" style="4" bestFit="1" customWidth="1"/>
    <col min="12301" max="12546" width="8.88671875" style="4"/>
    <col min="12547" max="12547" width="15.5546875" style="4" customWidth="1"/>
    <col min="12548" max="12548" width="15.6640625" style="4" customWidth="1"/>
    <col min="12549" max="12549" width="31.109375" style="4" customWidth="1"/>
    <col min="12550" max="12550" width="16.109375" style="4" customWidth="1"/>
    <col min="12551" max="12551" width="15.5546875" style="4" customWidth="1"/>
    <col min="12552" max="12552" width="16" style="4" customWidth="1"/>
    <col min="12553" max="12553" width="16.33203125" style="4" customWidth="1"/>
    <col min="12554" max="12554" width="16.44140625" style="4" customWidth="1"/>
    <col min="12555" max="12555" width="15.5546875" style="4" customWidth="1"/>
    <col min="12556" max="12556" width="11.6640625" style="4" bestFit="1" customWidth="1"/>
    <col min="12557" max="12802" width="8.88671875" style="4"/>
    <col min="12803" max="12803" width="15.5546875" style="4" customWidth="1"/>
    <col min="12804" max="12804" width="15.6640625" style="4" customWidth="1"/>
    <col min="12805" max="12805" width="31.109375" style="4" customWidth="1"/>
    <col min="12806" max="12806" width="16.109375" style="4" customWidth="1"/>
    <col min="12807" max="12807" width="15.5546875" style="4" customWidth="1"/>
    <col min="12808" max="12808" width="16" style="4" customWidth="1"/>
    <col min="12809" max="12809" width="16.33203125" style="4" customWidth="1"/>
    <col min="12810" max="12810" width="16.44140625" style="4" customWidth="1"/>
    <col min="12811" max="12811" width="15.5546875" style="4" customWidth="1"/>
    <col min="12812" max="12812" width="11.6640625" style="4" bestFit="1" customWidth="1"/>
    <col min="12813" max="13058" width="8.88671875" style="4"/>
    <col min="13059" max="13059" width="15.5546875" style="4" customWidth="1"/>
    <col min="13060" max="13060" width="15.6640625" style="4" customWidth="1"/>
    <col min="13061" max="13061" width="31.109375" style="4" customWidth="1"/>
    <col min="13062" max="13062" width="16.109375" style="4" customWidth="1"/>
    <col min="13063" max="13063" width="15.5546875" style="4" customWidth="1"/>
    <col min="13064" max="13064" width="16" style="4" customWidth="1"/>
    <col min="13065" max="13065" width="16.33203125" style="4" customWidth="1"/>
    <col min="13066" max="13066" width="16.44140625" style="4" customWidth="1"/>
    <col min="13067" max="13067" width="15.5546875" style="4" customWidth="1"/>
    <col min="13068" max="13068" width="11.6640625" style="4" bestFit="1" customWidth="1"/>
    <col min="13069" max="13314" width="8.88671875" style="4"/>
    <col min="13315" max="13315" width="15.5546875" style="4" customWidth="1"/>
    <col min="13316" max="13316" width="15.6640625" style="4" customWidth="1"/>
    <col min="13317" max="13317" width="31.109375" style="4" customWidth="1"/>
    <col min="13318" max="13318" width="16.109375" style="4" customWidth="1"/>
    <col min="13319" max="13319" width="15.5546875" style="4" customWidth="1"/>
    <col min="13320" max="13320" width="16" style="4" customWidth="1"/>
    <col min="13321" max="13321" width="16.33203125" style="4" customWidth="1"/>
    <col min="13322" max="13322" width="16.44140625" style="4" customWidth="1"/>
    <col min="13323" max="13323" width="15.5546875" style="4" customWidth="1"/>
    <col min="13324" max="13324" width="11.6640625" style="4" bestFit="1" customWidth="1"/>
    <col min="13325" max="13570" width="8.88671875" style="4"/>
    <col min="13571" max="13571" width="15.5546875" style="4" customWidth="1"/>
    <col min="13572" max="13572" width="15.6640625" style="4" customWidth="1"/>
    <col min="13573" max="13573" width="31.109375" style="4" customWidth="1"/>
    <col min="13574" max="13574" width="16.109375" style="4" customWidth="1"/>
    <col min="13575" max="13575" width="15.5546875" style="4" customWidth="1"/>
    <col min="13576" max="13576" width="16" style="4" customWidth="1"/>
    <col min="13577" max="13577" width="16.33203125" style="4" customWidth="1"/>
    <col min="13578" max="13578" width="16.44140625" style="4" customWidth="1"/>
    <col min="13579" max="13579" width="15.5546875" style="4" customWidth="1"/>
    <col min="13580" max="13580" width="11.6640625" style="4" bestFit="1" customWidth="1"/>
    <col min="13581" max="13826" width="8.88671875" style="4"/>
    <col min="13827" max="13827" width="15.5546875" style="4" customWidth="1"/>
    <col min="13828" max="13828" width="15.6640625" style="4" customWidth="1"/>
    <col min="13829" max="13829" width="31.109375" style="4" customWidth="1"/>
    <col min="13830" max="13830" width="16.109375" style="4" customWidth="1"/>
    <col min="13831" max="13831" width="15.5546875" style="4" customWidth="1"/>
    <col min="13832" max="13832" width="16" style="4" customWidth="1"/>
    <col min="13833" max="13833" width="16.33203125" style="4" customWidth="1"/>
    <col min="13834" max="13834" width="16.44140625" style="4" customWidth="1"/>
    <col min="13835" max="13835" width="15.5546875" style="4" customWidth="1"/>
    <col min="13836" max="13836" width="11.6640625" style="4" bestFit="1" customWidth="1"/>
    <col min="13837" max="14082" width="8.88671875" style="4"/>
    <col min="14083" max="14083" width="15.5546875" style="4" customWidth="1"/>
    <col min="14084" max="14084" width="15.6640625" style="4" customWidth="1"/>
    <col min="14085" max="14085" width="31.109375" style="4" customWidth="1"/>
    <col min="14086" max="14086" width="16.109375" style="4" customWidth="1"/>
    <col min="14087" max="14087" width="15.5546875" style="4" customWidth="1"/>
    <col min="14088" max="14088" width="16" style="4" customWidth="1"/>
    <col min="14089" max="14089" width="16.33203125" style="4" customWidth="1"/>
    <col min="14090" max="14090" width="16.44140625" style="4" customWidth="1"/>
    <col min="14091" max="14091" width="15.5546875" style="4" customWidth="1"/>
    <col min="14092" max="14092" width="11.6640625" style="4" bestFit="1" customWidth="1"/>
    <col min="14093" max="14338" width="8.88671875" style="4"/>
    <col min="14339" max="14339" width="15.5546875" style="4" customWidth="1"/>
    <col min="14340" max="14340" width="15.6640625" style="4" customWidth="1"/>
    <col min="14341" max="14341" width="31.109375" style="4" customWidth="1"/>
    <col min="14342" max="14342" width="16.109375" style="4" customWidth="1"/>
    <col min="14343" max="14343" width="15.5546875" style="4" customWidth="1"/>
    <col min="14344" max="14344" width="16" style="4" customWidth="1"/>
    <col min="14345" max="14345" width="16.33203125" style="4" customWidth="1"/>
    <col min="14346" max="14346" width="16.44140625" style="4" customWidth="1"/>
    <col min="14347" max="14347" width="15.5546875" style="4" customWidth="1"/>
    <col min="14348" max="14348" width="11.6640625" style="4" bestFit="1" customWidth="1"/>
    <col min="14349" max="14594" width="8.88671875" style="4"/>
    <col min="14595" max="14595" width="15.5546875" style="4" customWidth="1"/>
    <col min="14596" max="14596" width="15.6640625" style="4" customWidth="1"/>
    <col min="14597" max="14597" width="31.109375" style="4" customWidth="1"/>
    <col min="14598" max="14598" width="16.109375" style="4" customWidth="1"/>
    <col min="14599" max="14599" width="15.5546875" style="4" customWidth="1"/>
    <col min="14600" max="14600" width="16" style="4" customWidth="1"/>
    <col min="14601" max="14601" width="16.33203125" style="4" customWidth="1"/>
    <col min="14602" max="14602" width="16.44140625" style="4" customWidth="1"/>
    <col min="14603" max="14603" width="15.5546875" style="4" customWidth="1"/>
    <col min="14604" max="14604" width="11.6640625" style="4" bestFit="1" customWidth="1"/>
    <col min="14605" max="14850" width="8.88671875" style="4"/>
    <col min="14851" max="14851" width="15.5546875" style="4" customWidth="1"/>
    <col min="14852" max="14852" width="15.6640625" style="4" customWidth="1"/>
    <col min="14853" max="14853" width="31.109375" style="4" customWidth="1"/>
    <col min="14854" max="14854" width="16.109375" style="4" customWidth="1"/>
    <col min="14855" max="14855" width="15.5546875" style="4" customWidth="1"/>
    <col min="14856" max="14856" width="16" style="4" customWidth="1"/>
    <col min="14857" max="14857" width="16.33203125" style="4" customWidth="1"/>
    <col min="14858" max="14858" width="16.44140625" style="4" customWidth="1"/>
    <col min="14859" max="14859" width="15.5546875" style="4" customWidth="1"/>
    <col min="14860" max="14860" width="11.6640625" style="4" bestFit="1" customWidth="1"/>
    <col min="14861" max="15106" width="8.88671875" style="4"/>
    <col min="15107" max="15107" width="15.5546875" style="4" customWidth="1"/>
    <col min="15108" max="15108" width="15.6640625" style="4" customWidth="1"/>
    <col min="15109" max="15109" width="31.109375" style="4" customWidth="1"/>
    <col min="15110" max="15110" width="16.109375" style="4" customWidth="1"/>
    <col min="15111" max="15111" width="15.5546875" style="4" customWidth="1"/>
    <col min="15112" max="15112" width="16" style="4" customWidth="1"/>
    <col min="15113" max="15113" width="16.33203125" style="4" customWidth="1"/>
    <col min="15114" max="15114" width="16.44140625" style="4" customWidth="1"/>
    <col min="15115" max="15115" width="15.5546875" style="4" customWidth="1"/>
    <col min="15116" max="15116" width="11.6640625" style="4" bestFit="1" customWidth="1"/>
    <col min="15117" max="15362" width="8.88671875" style="4"/>
    <col min="15363" max="15363" width="15.5546875" style="4" customWidth="1"/>
    <col min="15364" max="15364" width="15.6640625" style="4" customWidth="1"/>
    <col min="15365" max="15365" width="31.109375" style="4" customWidth="1"/>
    <col min="15366" max="15366" width="16.109375" style="4" customWidth="1"/>
    <col min="15367" max="15367" width="15.5546875" style="4" customWidth="1"/>
    <col min="15368" max="15368" width="16" style="4" customWidth="1"/>
    <col min="15369" max="15369" width="16.33203125" style="4" customWidth="1"/>
    <col min="15370" max="15370" width="16.44140625" style="4" customWidth="1"/>
    <col min="15371" max="15371" width="15.5546875" style="4" customWidth="1"/>
    <col min="15372" max="15372" width="11.6640625" style="4" bestFit="1" customWidth="1"/>
    <col min="15373" max="15618" width="8.88671875" style="4"/>
    <col min="15619" max="15619" width="15.5546875" style="4" customWidth="1"/>
    <col min="15620" max="15620" width="15.6640625" style="4" customWidth="1"/>
    <col min="15621" max="15621" width="31.109375" style="4" customWidth="1"/>
    <col min="15622" max="15622" width="16.109375" style="4" customWidth="1"/>
    <col min="15623" max="15623" width="15.5546875" style="4" customWidth="1"/>
    <col min="15624" max="15624" width="16" style="4" customWidth="1"/>
    <col min="15625" max="15625" width="16.33203125" style="4" customWidth="1"/>
    <col min="15626" max="15626" width="16.44140625" style="4" customWidth="1"/>
    <col min="15627" max="15627" width="15.5546875" style="4" customWidth="1"/>
    <col min="15628" max="15628" width="11.6640625" style="4" bestFit="1" customWidth="1"/>
    <col min="15629" max="15874" width="8.88671875" style="4"/>
    <col min="15875" max="15875" width="15.5546875" style="4" customWidth="1"/>
    <col min="15876" max="15876" width="15.6640625" style="4" customWidth="1"/>
    <col min="15877" max="15877" width="31.109375" style="4" customWidth="1"/>
    <col min="15878" max="15878" width="16.109375" style="4" customWidth="1"/>
    <col min="15879" max="15879" width="15.5546875" style="4" customWidth="1"/>
    <col min="15880" max="15880" width="16" style="4" customWidth="1"/>
    <col min="15881" max="15881" width="16.33203125" style="4" customWidth="1"/>
    <col min="15882" max="15882" width="16.44140625" style="4" customWidth="1"/>
    <col min="15883" max="15883" width="15.5546875" style="4" customWidth="1"/>
    <col min="15884" max="15884" width="11.6640625" style="4" bestFit="1" customWidth="1"/>
    <col min="15885" max="16130" width="8.88671875" style="4"/>
    <col min="16131" max="16131" width="15.5546875" style="4" customWidth="1"/>
    <col min="16132" max="16132" width="15.6640625" style="4" customWidth="1"/>
    <col min="16133" max="16133" width="31.109375" style="4" customWidth="1"/>
    <col min="16134" max="16134" width="16.109375" style="4" customWidth="1"/>
    <col min="16135" max="16135" width="15.5546875" style="4" customWidth="1"/>
    <col min="16136" max="16136" width="16" style="4" customWidth="1"/>
    <col min="16137" max="16137" width="16.33203125" style="4" customWidth="1"/>
    <col min="16138" max="16138" width="16.44140625" style="4" customWidth="1"/>
    <col min="16139" max="16139" width="15.5546875" style="4" customWidth="1"/>
    <col min="16140" max="16140" width="11.6640625" style="4" bestFit="1" customWidth="1"/>
    <col min="16141" max="16384" width="8.88671875" style="4"/>
  </cols>
  <sheetData>
    <row r="1" spans="1:11" x14ac:dyDescent="0.25">
      <c r="J1" s="122"/>
      <c r="K1" s="123"/>
    </row>
    <row r="2" spans="1:11" s="5" customFormat="1" ht="21" x14ac:dyDescent="0.25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5" customFormat="1" ht="20.399999999999999" x14ac:dyDescent="0.25">
      <c r="A3" s="125" t="s">
        <v>109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5" customFormat="1" x14ac:dyDescent="0.25">
      <c r="A4" s="126" t="s">
        <v>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5" customForma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 t="s">
        <v>5</v>
      </c>
    </row>
    <row r="6" spans="1:11" s="6" customFormat="1" ht="12.75" customHeight="1" x14ac:dyDescent="0.25">
      <c r="A6" s="127" t="s">
        <v>6</v>
      </c>
      <c r="B6" s="129" t="s">
        <v>7</v>
      </c>
      <c r="C6" s="129" t="s">
        <v>8</v>
      </c>
      <c r="D6" s="130" t="s">
        <v>9</v>
      </c>
      <c r="E6" s="130"/>
      <c r="F6" s="131" t="s">
        <v>10</v>
      </c>
      <c r="G6" s="132"/>
      <c r="H6" s="132"/>
      <c r="I6" s="133"/>
      <c r="J6" s="130" t="s">
        <v>11</v>
      </c>
      <c r="K6" s="130"/>
    </row>
    <row r="7" spans="1:11" s="6" customFormat="1" ht="130.19999999999999" customHeight="1" x14ac:dyDescent="0.25">
      <c r="A7" s="128"/>
      <c r="B7" s="129"/>
      <c r="C7" s="129"/>
      <c r="D7" s="20" t="s">
        <v>27</v>
      </c>
      <c r="E7" s="20" t="s">
        <v>28</v>
      </c>
      <c r="F7" s="20" t="s">
        <v>27</v>
      </c>
      <c r="G7" s="21" t="s">
        <v>37</v>
      </c>
      <c r="H7" s="20" t="s">
        <v>28</v>
      </c>
      <c r="I7" s="21" t="s">
        <v>37</v>
      </c>
      <c r="J7" s="20" t="s">
        <v>27</v>
      </c>
      <c r="K7" s="20" t="s">
        <v>28</v>
      </c>
    </row>
    <row r="8" spans="1:11" s="5" customFormat="1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 t="s">
        <v>38</v>
      </c>
      <c r="H8" s="22" t="s">
        <v>39</v>
      </c>
      <c r="I8" s="22" t="s">
        <v>40</v>
      </c>
      <c r="J8" s="22" t="s">
        <v>41</v>
      </c>
      <c r="K8" s="22" t="s">
        <v>42</v>
      </c>
    </row>
    <row r="9" spans="1:11" s="100" customFormat="1" ht="40.200000000000003" customHeight="1" x14ac:dyDescent="0.3">
      <c r="A9" s="136" t="s">
        <v>12</v>
      </c>
      <c r="B9" s="137"/>
      <c r="C9" s="138"/>
      <c r="D9" s="80">
        <f>SUM(D11:D32)</f>
        <v>146232.745</v>
      </c>
      <c r="E9" s="80">
        <f t="shared" ref="E9:I9" si="0">SUM(E11:E32)</f>
        <v>146522.52234</v>
      </c>
      <c r="F9" s="80">
        <f t="shared" si="0"/>
        <v>45968.840479999999</v>
      </c>
      <c r="G9" s="80">
        <f t="shared" si="0"/>
        <v>45220.88</v>
      </c>
      <c r="H9" s="80">
        <f t="shared" si="0"/>
        <v>50529.215250000001</v>
      </c>
      <c r="I9" s="80">
        <f t="shared" si="0"/>
        <v>49837.415009999997</v>
      </c>
      <c r="J9" s="103">
        <f>D9+F9-0.04</f>
        <v>192201.54548</v>
      </c>
      <c r="K9" s="80">
        <f t="shared" ref="K9" si="1">E9+H9</f>
        <v>197051.73759</v>
      </c>
    </row>
    <row r="10" spans="1:11" s="68" customFormat="1" ht="14.4" x14ac:dyDescent="0.3">
      <c r="A10" s="134" t="s">
        <v>13</v>
      </c>
      <c r="B10" s="134"/>
      <c r="C10" s="134"/>
      <c r="D10" s="85"/>
      <c r="E10" s="85"/>
      <c r="F10" s="85"/>
      <c r="G10" s="85"/>
      <c r="H10" s="85"/>
      <c r="I10" s="85"/>
      <c r="J10" s="80"/>
      <c r="K10" s="80"/>
    </row>
    <row r="11" spans="1:11" s="88" customFormat="1" ht="14.4" x14ac:dyDescent="0.3">
      <c r="A11" s="64" t="s">
        <v>55</v>
      </c>
      <c r="B11" s="102"/>
      <c r="C11" s="102"/>
      <c r="D11" s="67">
        <f t="shared" ref="D11:I12" si="2">D36+D58+D79+D94+D105+D127+D142+D222</f>
        <v>65392.908000000003</v>
      </c>
      <c r="E11" s="67">
        <f t="shared" si="2"/>
        <v>65387.920450000005</v>
      </c>
      <c r="F11" s="67">
        <f t="shared" si="2"/>
        <v>82</v>
      </c>
      <c r="G11" s="80">
        <f t="shared" si="2"/>
        <v>0</v>
      </c>
      <c r="H11" s="67">
        <f t="shared" si="2"/>
        <v>81.900000000000006</v>
      </c>
      <c r="I11" s="80">
        <f t="shared" si="2"/>
        <v>0</v>
      </c>
      <c r="J11" s="80">
        <f>D11+F11</f>
        <v>65474.908000000003</v>
      </c>
      <c r="K11" s="80">
        <f>E11+H11</f>
        <v>65469.820450000007</v>
      </c>
    </row>
    <row r="12" spans="1:11" s="88" customFormat="1" ht="14.4" x14ac:dyDescent="0.3">
      <c r="A12" s="64" t="s">
        <v>15</v>
      </c>
      <c r="B12" s="102"/>
      <c r="C12" s="102"/>
      <c r="D12" s="67">
        <f t="shared" si="2"/>
        <v>14390.492999999999</v>
      </c>
      <c r="E12" s="67">
        <f t="shared" si="2"/>
        <v>14342.20319</v>
      </c>
      <c r="F12" s="67">
        <f t="shared" si="2"/>
        <v>18.12</v>
      </c>
      <c r="G12" s="80">
        <f t="shared" si="2"/>
        <v>0</v>
      </c>
      <c r="H12" s="67">
        <f t="shared" si="2"/>
        <v>18.02</v>
      </c>
      <c r="I12" s="80">
        <f t="shared" si="2"/>
        <v>0</v>
      </c>
      <c r="J12" s="80">
        <f>D12+F12</f>
        <v>14408.612999999999</v>
      </c>
      <c r="K12" s="80">
        <f>E12+H12</f>
        <v>14360.223190000001</v>
      </c>
    </row>
    <row r="13" spans="1:11" s="88" customFormat="1" ht="14.4" x14ac:dyDescent="0.3">
      <c r="A13" s="64" t="s">
        <v>16</v>
      </c>
      <c r="B13" s="102"/>
      <c r="C13" s="102"/>
      <c r="D13" s="67">
        <f>D38+D51+D60+D72+D81+D90+D96+D107+D117+D120+D124+D129+D144+D163+D170+D181+D200+D203+D210+D224+D236+D248+D251</f>
        <v>7552.9834999999994</v>
      </c>
      <c r="E13" s="67">
        <f t="shared" ref="E13:I13" si="3">E38+E51+E60+E72+E81+E90+E96+E107+E117+E120+E124+E129+E144+E163+E170+E181+E200+E203+E210+E224+E236+E248+E251</f>
        <v>7447.1454300000014</v>
      </c>
      <c r="F13" s="67">
        <f t="shared" si="3"/>
        <v>243.49546000000001</v>
      </c>
      <c r="G13" s="80">
        <f t="shared" si="3"/>
        <v>0</v>
      </c>
      <c r="H13" s="67">
        <f t="shared" si="3"/>
        <v>228.54187999999999</v>
      </c>
      <c r="I13" s="80">
        <f t="shared" si="3"/>
        <v>0</v>
      </c>
      <c r="J13" s="80">
        <f t="shared" ref="J13:J16" si="4">D13+F13</f>
        <v>7796.4789599999995</v>
      </c>
      <c r="K13" s="80">
        <f t="shared" ref="K13:K31" si="5">E13+H13</f>
        <v>7675.6873100000012</v>
      </c>
    </row>
    <row r="14" spans="1:11" s="88" customFormat="1" ht="14.4" x14ac:dyDescent="0.3">
      <c r="A14" s="64" t="s">
        <v>17</v>
      </c>
      <c r="B14" s="102"/>
      <c r="C14" s="102"/>
      <c r="D14" s="67">
        <f>D39+D52+D61+D73+D82+D91+D97+D108+D118+D121+D125+D130+D145+D161+D164+D171+D182+D201+D204+D211+D225+D237+D249</f>
        <v>18439.571499999995</v>
      </c>
      <c r="E14" s="67">
        <f t="shared" ref="E14:I14" si="6">E39+E52+E61+E73+E82+E91+E97+E108+E118+E121+E125+E130+E145+E161+E164+E171+E182+E201+E204+E211+E225+E237+E249</f>
        <v>17590.534019999999</v>
      </c>
      <c r="F14" s="67">
        <f t="shared" si="6"/>
        <v>314.24502000000001</v>
      </c>
      <c r="G14" s="80">
        <f t="shared" si="6"/>
        <v>0</v>
      </c>
      <c r="H14" s="67">
        <f t="shared" si="6"/>
        <v>308.49336</v>
      </c>
      <c r="I14" s="80">
        <f t="shared" si="6"/>
        <v>0</v>
      </c>
      <c r="J14" s="80">
        <f>D14+F14</f>
        <v>18753.816519999993</v>
      </c>
      <c r="K14" s="80">
        <f>E14+H14</f>
        <v>17899.02738</v>
      </c>
    </row>
    <row r="15" spans="1:11" s="88" customFormat="1" ht="14.4" x14ac:dyDescent="0.3">
      <c r="A15" s="64" t="s">
        <v>18</v>
      </c>
      <c r="B15" s="102"/>
      <c r="C15" s="102"/>
      <c r="D15" s="67">
        <f t="shared" ref="D15:I15" si="7">D40+D62+D109+D131+D146+D205+D226</f>
        <v>580.173</v>
      </c>
      <c r="E15" s="67">
        <f t="shared" si="7"/>
        <v>463.86410999999993</v>
      </c>
      <c r="F15" s="67">
        <f t="shared" si="7"/>
        <v>0.9</v>
      </c>
      <c r="G15" s="80">
        <f t="shared" si="7"/>
        <v>0</v>
      </c>
      <c r="H15" s="67">
        <f t="shared" si="7"/>
        <v>0.9</v>
      </c>
      <c r="I15" s="80">
        <f t="shared" si="7"/>
        <v>0</v>
      </c>
      <c r="J15" s="80">
        <f>D15+F15</f>
        <v>581.07299999999998</v>
      </c>
      <c r="K15" s="80">
        <f>E15+H15</f>
        <v>464.7641099999999</v>
      </c>
    </row>
    <row r="16" spans="1:11" s="88" customFormat="1" ht="14.4" hidden="1" x14ac:dyDescent="0.3">
      <c r="A16" s="64" t="s">
        <v>19</v>
      </c>
      <c r="B16" s="102"/>
      <c r="C16" s="102"/>
      <c r="D16" s="67"/>
      <c r="E16" s="67"/>
      <c r="F16" s="67"/>
      <c r="G16" s="80"/>
      <c r="H16" s="67"/>
      <c r="I16" s="80"/>
      <c r="J16" s="80">
        <f t="shared" si="4"/>
        <v>0</v>
      </c>
      <c r="K16" s="80">
        <f t="shared" si="5"/>
        <v>0</v>
      </c>
    </row>
    <row r="17" spans="1:11" s="88" customFormat="1" ht="14.4" x14ac:dyDescent="0.3">
      <c r="A17" s="64" t="s">
        <v>56</v>
      </c>
      <c r="B17" s="102"/>
      <c r="C17" s="102"/>
      <c r="D17" s="67">
        <f t="shared" ref="D17:I18" si="8">D41+D64+D85+D98+D110+D132+D147+D240</f>
        <v>2788.8981399999998</v>
      </c>
      <c r="E17" s="67">
        <f t="shared" si="8"/>
        <v>2516.0147200000001</v>
      </c>
      <c r="F17" s="67">
        <f t="shared" si="8"/>
        <v>42.5</v>
      </c>
      <c r="G17" s="80">
        <f t="shared" si="8"/>
        <v>0</v>
      </c>
      <c r="H17" s="67">
        <f t="shared" si="8"/>
        <v>12.4</v>
      </c>
      <c r="I17" s="80">
        <f t="shared" si="8"/>
        <v>0</v>
      </c>
      <c r="J17" s="80">
        <f>D17+F17</f>
        <v>2831.3981399999998</v>
      </c>
      <c r="K17" s="80">
        <f t="shared" ref="K17:K24" si="9">E17+H17</f>
        <v>2528.4147200000002</v>
      </c>
    </row>
    <row r="18" spans="1:11" s="88" customFormat="1" ht="14.4" x14ac:dyDescent="0.3">
      <c r="A18" s="64" t="s">
        <v>57</v>
      </c>
      <c r="B18" s="102"/>
      <c r="C18" s="102"/>
      <c r="D18" s="67">
        <f t="shared" si="8"/>
        <v>78.663999999999987</v>
      </c>
      <c r="E18" s="67">
        <f t="shared" si="8"/>
        <v>72.490910000000014</v>
      </c>
      <c r="F18" s="67">
        <f t="shared" si="8"/>
        <v>4.3</v>
      </c>
      <c r="G18" s="80">
        <f t="shared" si="8"/>
        <v>0</v>
      </c>
      <c r="H18" s="67">
        <f t="shared" si="8"/>
        <v>0.7</v>
      </c>
      <c r="I18" s="80">
        <f t="shared" si="8"/>
        <v>0</v>
      </c>
      <c r="J18" s="80">
        <f t="shared" ref="J18" si="10">D18+F18</f>
        <v>82.963999999999984</v>
      </c>
      <c r="K18" s="80">
        <f t="shared" si="9"/>
        <v>73.190910000000017</v>
      </c>
    </row>
    <row r="19" spans="1:11" s="88" customFormat="1" ht="14.4" x14ac:dyDescent="0.3">
      <c r="A19" s="64" t="s">
        <v>58</v>
      </c>
      <c r="B19" s="102"/>
      <c r="C19" s="102"/>
      <c r="D19" s="67">
        <f t="shared" ref="D19:I19" si="11">D43+D66+D87+D100+D112+D134+D149+D216+D228+D242</f>
        <v>1121.39186</v>
      </c>
      <c r="E19" s="67">
        <f t="shared" si="11"/>
        <v>1041.4207200000003</v>
      </c>
      <c r="F19" s="67">
        <f t="shared" si="11"/>
        <v>18.600000000000001</v>
      </c>
      <c r="G19" s="80">
        <f t="shared" si="11"/>
        <v>0</v>
      </c>
      <c r="H19" s="67">
        <f t="shared" si="11"/>
        <v>17.2</v>
      </c>
      <c r="I19" s="80">
        <f t="shared" si="11"/>
        <v>0</v>
      </c>
      <c r="J19" s="80">
        <f t="shared" ref="J19:J26" si="12">D19+F19</f>
        <v>1139.9918599999999</v>
      </c>
      <c r="K19" s="80">
        <f t="shared" si="9"/>
        <v>1058.6207200000003</v>
      </c>
    </row>
    <row r="20" spans="1:11" s="88" customFormat="1" ht="14.4" x14ac:dyDescent="0.3">
      <c r="A20" s="64" t="s">
        <v>141</v>
      </c>
      <c r="B20" s="102"/>
      <c r="C20" s="102"/>
      <c r="D20" s="67">
        <f t="shared" ref="D20:I20" si="13">D44+D229+D243</f>
        <v>147.49900000000002</v>
      </c>
      <c r="E20" s="67">
        <f t="shared" si="13"/>
        <v>136.28638999999998</v>
      </c>
      <c r="F20" s="67">
        <f t="shared" si="13"/>
        <v>1.2</v>
      </c>
      <c r="G20" s="80">
        <f t="shared" si="13"/>
        <v>0</v>
      </c>
      <c r="H20" s="67">
        <f t="shared" si="13"/>
        <v>1.18</v>
      </c>
      <c r="I20" s="80">
        <f t="shared" si="13"/>
        <v>0</v>
      </c>
      <c r="J20" s="80">
        <f t="shared" si="12"/>
        <v>148.69900000000001</v>
      </c>
      <c r="K20" s="80">
        <f t="shared" si="9"/>
        <v>137.46638999999999</v>
      </c>
    </row>
    <row r="21" spans="1:11" s="88" customFormat="1" ht="14.4" x14ac:dyDescent="0.3">
      <c r="A21" s="64" t="s">
        <v>142</v>
      </c>
      <c r="B21" s="102"/>
      <c r="C21" s="102"/>
      <c r="D21" s="67">
        <f>D230</f>
        <v>54.24</v>
      </c>
      <c r="E21" s="67">
        <f t="shared" ref="E21:I21" si="14">E230</f>
        <v>50.03</v>
      </c>
      <c r="F21" s="80">
        <f t="shared" si="14"/>
        <v>0</v>
      </c>
      <c r="G21" s="80">
        <f t="shared" si="14"/>
        <v>0</v>
      </c>
      <c r="H21" s="80">
        <f t="shared" si="14"/>
        <v>0</v>
      </c>
      <c r="I21" s="80">
        <f t="shared" si="14"/>
        <v>0</v>
      </c>
      <c r="J21" s="80">
        <f t="shared" si="12"/>
        <v>54.24</v>
      </c>
      <c r="K21" s="80">
        <f t="shared" si="9"/>
        <v>50.03</v>
      </c>
    </row>
    <row r="22" spans="1:11" s="88" customFormat="1" ht="14.4" x14ac:dyDescent="0.3">
      <c r="A22" s="64" t="s">
        <v>20</v>
      </c>
      <c r="B22" s="102"/>
      <c r="C22" s="102"/>
      <c r="D22" s="67">
        <f t="shared" ref="D22:I22" si="15">D45+D206</f>
        <v>198.70000000000002</v>
      </c>
      <c r="E22" s="67">
        <f t="shared" si="15"/>
        <v>195.8</v>
      </c>
      <c r="F22" s="80">
        <f t="shared" si="15"/>
        <v>0</v>
      </c>
      <c r="G22" s="80">
        <f t="shared" si="15"/>
        <v>0</v>
      </c>
      <c r="H22" s="80">
        <f t="shared" si="15"/>
        <v>0</v>
      </c>
      <c r="I22" s="80">
        <f t="shared" si="15"/>
        <v>0</v>
      </c>
      <c r="J22" s="80">
        <f t="shared" si="12"/>
        <v>198.70000000000002</v>
      </c>
      <c r="K22" s="80">
        <f t="shared" si="9"/>
        <v>195.8</v>
      </c>
    </row>
    <row r="23" spans="1:11" s="88" customFormat="1" ht="14.4" x14ac:dyDescent="0.3">
      <c r="A23" s="64" t="s">
        <v>59</v>
      </c>
      <c r="B23" s="102"/>
      <c r="C23" s="102"/>
      <c r="D23" s="67">
        <f t="shared" ref="D23:I23" si="16">D46+D88+D101+D113+D135+D231</f>
        <v>30.956</v>
      </c>
      <c r="E23" s="67">
        <f t="shared" si="16"/>
        <v>24.373999999999995</v>
      </c>
      <c r="F23" s="80">
        <f t="shared" si="16"/>
        <v>0</v>
      </c>
      <c r="G23" s="80">
        <f t="shared" si="16"/>
        <v>0</v>
      </c>
      <c r="H23" s="80">
        <f t="shared" si="16"/>
        <v>0</v>
      </c>
      <c r="I23" s="80">
        <f t="shared" si="16"/>
        <v>0</v>
      </c>
      <c r="J23" s="103">
        <f t="shared" si="12"/>
        <v>30.956</v>
      </c>
      <c r="K23" s="80">
        <f t="shared" si="9"/>
        <v>24.373999999999995</v>
      </c>
    </row>
    <row r="24" spans="1:11" s="88" customFormat="1" ht="14.4" x14ac:dyDescent="0.3">
      <c r="A24" s="64" t="s">
        <v>65</v>
      </c>
      <c r="B24" s="102"/>
      <c r="C24" s="102"/>
      <c r="D24" s="67">
        <f t="shared" ref="D24:I24" si="17">D74+D139+D153+D157+D159+D244</f>
        <v>32096.475999999999</v>
      </c>
      <c r="E24" s="67">
        <f t="shared" si="17"/>
        <v>32015.483489999999</v>
      </c>
      <c r="F24" s="80">
        <f t="shared" si="17"/>
        <v>0</v>
      </c>
      <c r="G24" s="80">
        <f t="shared" si="17"/>
        <v>0</v>
      </c>
      <c r="H24" s="80">
        <f t="shared" si="17"/>
        <v>0</v>
      </c>
      <c r="I24" s="80">
        <f t="shared" si="17"/>
        <v>0</v>
      </c>
      <c r="J24" s="80">
        <f t="shared" si="12"/>
        <v>32096.475999999999</v>
      </c>
      <c r="K24" s="80">
        <f t="shared" si="9"/>
        <v>32015.483489999999</v>
      </c>
    </row>
    <row r="25" spans="1:11" s="88" customFormat="1" ht="14.4" x14ac:dyDescent="0.3">
      <c r="A25" s="64" t="s">
        <v>171</v>
      </c>
      <c r="B25" s="102"/>
      <c r="C25" s="102"/>
      <c r="D25" s="67"/>
      <c r="E25" s="67">
        <f>E253+E256</f>
        <v>1919.87716</v>
      </c>
      <c r="F25" s="80"/>
      <c r="G25" s="80"/>
      <c r="H25" s="80"/>
      <c r="I25" s="80"/>
      <c r="J25" s="80">
        <f t="shared" si="12"/>
        <v>0</v>
      </c>
      <c r="K25" s="80">
        <f t="shared" ref="K25" si="18">E25+H25</f>
        <v>1919.87716</v>
      </c>
    </row>
    <row r="26" spans="1:11" s="88" customFormat="1" ht="14.4" x14ac:dyDescent="0.3">
      <c r="A26" s="64" t="s">
        <v>47</v>
      </c>
      <c r="B26" s="102"/>
      <c r="C26" s="102"/>
      <c r="D26" s="67">
        <f t="shared" ref="D26:I26" si="19">D54+D56+D67+D75+D77+D92+D154</f>
        <v>2984.3879999999999</v>
      </c>
      <c r="E26" s="67">
        <f t="shared" si="19"/>
        <v>2975.2547500000001</v>
      </c>
      <c r="F26" s="80">
        <f t="shared" si="19"/>
        <v>0</v>
      </c>
      <c r="G26" s="80">
        <f t="shared" si="19"/>
        <v>0</v>
      </c>
      <c r="H26" s="80">
        <f t="shared" si="19"/>
        <v>0</v>
      </c>
      <c r="I26" s="80">
        <f t="shared" si="19"/>
        <v>0</v>
      </c>
      <c r="J26" s="80">
        <f t="shared" si="12"/>
        <v>2984.3879999999999</v>
      </c>
      <c r="K26" s="80">
        <f>E26+H26</f>
        <v>2975.2547500000001</v>
      </c>
    </row>
    <row r="27" spans="1:11" s="88" customFormat="1" ht="14.4" x14ac:dyDescent="0.3">
      <c r="A27" s="64" t="s">
        <v>21</v>
      </c>
      <c r="B27" s="102"/>
      <c r="C27" s="102"/>
      <c r="D27" s="67">
        <f t="shared" ref="D27:I27" si="20">D47+D68+D102+D114+D136+D197</f>
        <v>375.40300000000002</v>
      </c>
      <c r="E27" s="67">
        <f t="shared" si="20"/>
        <v>343.82299999999998</v>
      </c>
      <c r="F27" s="80">
        <f t="shared" si="20"/>
        <v>2.6</v>
      </c>
      <c r="G27" s="80">
        <f t="shared" si="20"/>
        <v>0</v>
      </c>
      <c r="H27" s="80">
        <f t="shared" si="20"/>
        <v>2.5</v>
      </c>
      <c r="I27" s="80">
        <f t="shared" si="20"/>
        <v>0</v>
      </c>
      <c r="J27" s="80">
        <f t="shared" ref="J27" si="21">D27+F27</f>
        <v>378.00300000000004</v>
      </c>
      <c r="K27" s="80">
        <f t="shared" ref="K27" si="22">E27+H27</f>
        <v>346.32299999999998</v>
      </c>
    </row>
    <row r="28" spans="1:11" s="88" customFormat="1" ht="14.4" x14ac:dyDescent="0.3">
      <c r="A28" s="64" t="s">
        <v>22</v>
      </c>
      <c r="B28" s="102"/>
      <c r="C28" s="102"/>
      <c r="D28" s="67"/>
      <c r="E28" s="67"/>
      <c r="F28" s="67">
        <f>F48+F69+F103+F115+F122+F137+F150+F165+F179+F219+F232</f>
        <v>10225.399999999998</v>
      </c>
      <c r="G28" s="67">
        <f t="shared" ref="G28:I28" si="23">G48+G69+G103+G115+G122+G137+G150+G165+G179+G219+G232</f>
        <v>10205.399999999998</v>
      </c>
      <c r="H28" s="67">
        <f t="shared" si="23"/>
        <v>10192.886999999999</v>
      </c>
      <c r="I28" s="67">
        <f t="shared" si="23"/>
        <v>10172.921999999999</v>
      </c>
      <c r="J28" s="80">
        <f>D28+F28</f>
        <v>10225.399999999998</v>
      </c>
      <c r="K28" s="80">
        <f>E28+H28</f>
        <v>10192.886999999999</v>
      </c>
    </row>
    <row r="29" spans="1:11" s="88" customFormat="1" ht="14.4" x14ac:dyDescent="0.3">
      <c r="A29" s="64" t="s">
        <v>138</v>
      </c>
      <c r="B29" s="102"/>
      <c r="C29" s="102"/>
      <c r="D29" s="67"/>
      <c r="E29" s="67"/>
      <c r="F29" s="67">
        <f>F220</f>
        <v>180</v>
      </c>
      <c r="G29" s="67">
        <f t="shared" ref="G29:I29" si="24">G220</f>
        <v>180</v>
      </c>
      <c r="H29" s="67">
        <f t="shared" si="24"/>
        <v>49.74906</v>
      </c>
      <c r="I29" s="67">
        <f t="shared" si="24"/>
        <v>49.74906</v>
      </c>
      <c r="J29" s="80">
        <f>D29+F29</f>
        <v>180</v>
      </c>
      <c r="K29" s="80">
        <f t="shared" si="5"/>
        <v>49.74906</v>
      </c>
    </row>
    <row r="30" spans="1:11" s="88" customFormat="1" ht="14.4" x14ac:dyDescent="0.3">
      <c r="A30" s="64" t="s">
        <v>62</v>
      </c>
      <c r="B30" s="102"/>
      <c r="C30" s="102"/>
      <c r="D30" s="67"/>
      <c r="E30" s="67"/>
      <c r="F30" s="67">
        <f>F49+F70+F151+F166</f>
        <v>5880.9</v>
      </c>
      <c r="G30" s="67">
        <f t="shared" ref="G30:I30" si="25">G49+G70+G151+G166</f>
        <v>5880.9</v>
      </c>
      <c r="H30" s="67">
        <f t="shared" si="25"/>
        <v>5224.15895</v>
      </c>
      <c r="I30" s="67">
        <f t="shared" si="25"/>
        <v>5224.15895</v>
      </c>
      <c r="J30" s="80">
        <f>D30+F30</f>
        <v>5880.9</v>
      </c>
      <c r="K30" s="80">
        <f>E30+H30</f>
        <v>5224.15895</v>
      </c>
    </row>
    <row r="31" spans="1:11" s="88" customFormat="1" ht="14.4" x14ac:dyDescent="0.3">
      <c r="A31" s="64" t="s">
        <v>23</v>
      </c>
      <c r="B31" s="102"/>
      <c r="C31" s="102"/>
      <c r="D31" s="67"/>
      <c r="E31" s="67"/>
      <c r="F31" s="67">
        <f>F140+F155+F195</f>
        <v>28954.58</v>
      </c>
      <c r="G31" s="67">
        <f t="shared" ref="G31:I31" si="26">G140+G155+G195</f>
        <v>28954.58</v>
      </c>
      <c r="H31" s="67">
        <f t="shared" si="26"/>
        <v>28954.58</v>
      </c>
      <c r="I31" s="67">
        <f t="shared" si="26"/>
        <v>28954.58</v>
      </c>
      <c r="J31" s="80">
        <f>D31+F31</f>
        <v>28954.58</v>
      </c>
      <c r="K31" s="80">
        <f t="shared" si="5"/>
        <v>28954.58</v>
      </c>
    </row>
    <row r="32" spans="1:11" s="88" customFormat="1" ht="14.4" x14ac:dyDescent="0.3">
      <c r="A32" s="64" t="s">
        <v>172</v>
      </c>
      <c r="B32" s="102"/>
      <c r="C32" s="102"/>
      <c r="D32" s="67"/>
      <c r="E32" s="67"/>
      <c r="F32" s="80">
        <f>F254+F257</f>
        <v>0</v>
      </c>
      <c r="G32" s="80">
        <f t="shared" ref="G32:I32" si="27">G254+G257</f>
        <v>0</v>
      </c>
      <c r="H32" s="67">
        <f t="shared" si="27"/>
        <v>5436.0050000000001</v>
      </c>
      <c r="I32" s="67">
        <f t="shared" si="27"/>
        <v>5436.0050000000001</v>
      </c>
      <c r="J32" s="80">
        <f t="shared" ref="J32" si="28">D32+F32</f>
        <v>0</v>
      </c>
      <c r="K32" s="80">
        <f t="shared" ref="K32" si="29">E32+H32</f>
        <v>5436.0050000000001</v>
      </c>
    </row>
    <row r="33" spans="1:124" s="7" customFormat="1" ht="16.2" customHeight="1" x14ac:dyDescent="0.3">
      <c r="A33" s="135" t="s">
        <v>24</v>
      </c>
      <c r="B33" s="135"/>
      <c r="C33" s="135"/>
      <c r="D33" s="86"/>
      <c r="E33" s="86"/>
      <c r="F33" s="86"/>
      <c r="G33" s="86"/>
      <c r="H33" s="86"/>
      <c r="I33" s="86"/>
      <c r="J33" s="25"/>
      <c r="K33" s="25"/>
    </row>
    <row r="34" spans="1:124" s="7" customFormat="1" ht="24.6" x14ac:dyDescent="0.3">
      <c r="A34" s="27" t="s">
        <v>25</v>
      </c>
      <c r="B34" s="24"/>
      <c r="C34" s="24"/>
      <c r="D34" s="70"/>
      <c r="E34" s="70"/>
      <c r="F34" s="70"/>
      <c r="G34" s="70"/>
      <c r="H34" s="70"/>
      <c r="I34" s="70"/>
      <c r="J34" s="24"/>
      <c r="K34" s="24"/>
    </row>
    <row r="35" spans="1:124" s="68" customFormat="1" ht="71.400000000000006" customHeight="1" x14ac:dyDescent="0.3">
      <c r="A35" s="62" t="s">
        <v>168</v>
      </c>
      <c r="B35" s="63" t="s">
        <v>169</v>
      </c>
      <c r="C35" s="95" t="s">
        <v>170</v>
      </c>
      <c r="D35" s="74">
        <f>SUM(D36:D49)</f>
        <v>74246</v>
      </c>
      <c r="E35" s="74">
        <f t="shared" ref="E35:K35" si="30">SUM(E36:E49)</f>
        <v>73859.8</v>
      </c>
      <c r="F35" s="74">
        <f>SUM(F36:F49)</f>
        <v>3241.15</v>
      </c>
      <c r="G35" s="74">
        <f t="shared" si="30"/>
        <v>3218.2</v>
      </c>
      <c r="H35" s="74">
        <f t="shared" si="30"/>
        <v>3195.99</v>
      </c>
      <c r="I35" s="74">
        <f t="shared" si="30"/>
        <v>3173.2</v>
      </c>
      <c r="J35" s="74">
        <f t="shared" si="30"/>
        <v>77487.150000000009</v>
      </c>
      <c r="K35" s="74">
        <f t="shared" si="30"/>
        <v>77055.790000000008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</row>
    <row r="36" spans="1:124" s="68" customFormat="1" ht="14.4" x14ac:dyDescent="0.3">
      <c r="A36" s="69" t="s">
        <v>55</v>
      </c>
      <c r="B36" s="70"/>
      <c r="C36" s="73"/>
      <c r="D36" s="71">
        <v>52440.9</v>
      </c>
      <c r="E36" s="72">
        <v>52440.9</v>
      </c>
      <c r="F36" s="71"/>
      <c r="G36" s="71"/>
      <c r="H36" s="71"/>
      <c r="I36" s="71"/>
      <c r="J36" s="71">
        <f>D36+F36</f>
        <v>52440.9</v>
      </c>
      <c r="K36" s="71">
        <f>E36+H36</f>
        <v>52440.9</v>
      </c>
    </row>
    <row r="37" spans="1:124" s="68" customFormat="1" ht="14.4" x14ac:dyDescent="0.3">
      <c r="A37" s="69" t="s">
        <v>15</v>
      </c>
      <c r="B37" s="70"/>
      <c r="C37" s="73"/>
      <c r="D37" s="71">
        <v>11537</v>
      </c>
      <c r="E37" s="72">
        <v>11492.4</v>
      </c>
      <c r="F37" s="71"/>
      <c r="G37" s="71"/>
      <c r="H37" s="71"/>
      <c r="I37" s="71"/>
      <c r="J37" s="71">
        <f t="shared" ref="J37:J49" si="31">D37+F37</f>
        <v>11537</v>
      </c>
      <c r="K37" s="71">
        <f t="shared" ref="K37:K49" si="32">E37+H37</f>
        <v>11492.4</v>
      </c>
    </row>
    <row r="38" spans="1:124" s="68" customFormat="1" ht="14.4" x14ac:dyDescent="0.3">
      <c r="A38" s="69" t="s">
        <v>16</v>
      </c>
      <c r="B38" s="70"/>
      <c r="C38" s="73"/>
      <c r="D38" s="71">
        <v>2509.8000000000002</v>
      </c>
      <c r="E38" s="72">
        <v>2509.6999999999998</v>
      </c>
      <c r="F38" s="71">
        <f>2698.98/1000</f>
        <v>2.6989800000000002</v>
      </c>
      <c r="G38" s="71"/>
      <c r="H38" s="71">
        <f>2690/1000</f>
        <v>2.69</v>
      </c>
      <c r="I38" s="71"/>
      <c r="J38" s="71">
        <f t="shared" si="31"/>
        <v>2512.4989800000003</v>
      </c>
      <c r="K38" s="71">
        <f t="shared" si="32"/>
        <v>2512.39</v>
      </c>
    </row>
    <row r="39" spans="1:124" s="68" customFormat="1" ht="14.4" x14ac:dyDescent="0.3">
      <c r="A39" s="69" t="s">
        <v>17</v>
      </c>
      <c r="B39" s="70"/>
      <c r="C39" s="73"/>
      <c r="D39" s="71">
        <v>5286.4</v>
      </c>
      <c r="E39" s="72">
        <v>5259</v>
      </c>
      <c r="F39" s="71">
        <f>17651.02/1000</f>
        <v>17.651019999999999</v>
      </c>
      <c r="G39" s="71"/>
      <c r="H39" s="71">
        <f>17.6</f>
        <v>17.600000000000001</v>
      </c>
      <c r="I39" s="71"/>
      <c r="J39" s="71">
        <f t="shared" si="31"/>
        <v>5304.0510199999999</v>
      </c>
      <c r="K39" s="71">
        <f t="shared" si="32"/>
        <v>5276.6</v>
      </c>
    </row>
    <row r="40" spans="1:124" s="68" customFormat="1" ht="14.4" x14ac:dyDescent="0.3">
      <c r="A40" s="69" t="s">
        <v>18</v>
      </c>
      <c r="B40" s="70"/>
      <c r="C40" s="70"/>
      <c r="D40" s="71">
        <v>95.3</v>
      </c>
      <c r="E40" s="71">
        <v>70.7</v>
      </c>
      <c r="F40" s="71"/>
      <c r="G40" s="71"/>
      <c r="H40" s="71"/>
      <c r="I40" s="71"/>
      <c r="J40" s="71">
        <f t="shared" si="31"/>
        <v>95.3</v>
      </c>
      <c r="K40" s="71">
        <f t="shared" si="32"/>
        <v>70.7</v>
      </c>
    </row>
    <row r="41" spans="1:124" s="68" customFormat="1" ht="14.4" x14ac:dyDescent="0.3">
      <c r="A41" s="69" t="s">
        <v>56</v>
      </c>
      <c r="B41" s="70"/>
      <c r="C41" s="70"/>
      <c r="D41" s="71">
        <v>1194</v>
      </c>
      <c r="E41" s="71">
        <v>1025.5</v>
      </c>
      <c r="F41" s="71"/>
      <c r="G41" s="71"/>
      <c r="H41" s="71"/>
      <c r="I41" s="71"/>
      <c r="J41" s="71">
        <f t="shared" si="31"/>
        <v>1194</v>
      </c>
      <c r="K41" s="71">
        <f t="shared" si="32"/>
        <v>1025.5</v>
      </c>
    </row>
    <row r="42" spans="1:124" s="68" customFormat="1" ht="14.4" x14ac:dyDescent="0.3">
      <c r="A42" s="69" t="s">
        <v>57</v>
      </c>
      <c r="B42" s="70"/>
      <c r="C42" s="70"/>
      <c r="D42" s="71">
        <v>42.1</v>
      </c>
      <c r="E42" s="71">
        <v>40.200000000000003</v>
      </c>
      <c r="F42" s="71"/>
      <c r="G42" s="71"/>
      <c r="H42" s="71"/>
      <c r="I42" s="71"/>
      <c r="J42" s="71">
        <f t="shared" si="31"/>
        <v>42.1</v>
      </c>
      <c r="K42" s="71">
        <f t="shared" si="32"/>
        <v>40.200000000000003</v>
      </c>
    </row>
    <row r="43" spans="1:124" s="68" customFormat="1" ht="14.4" x14ac:dyDescent="0.3">
      <c r="A43" s="69" t="s">
        <v>58</v>
      </c>
      <c r="B43" s="90"/>
      <c r="C43" s="70"/>
      <c r="D43" s="82">
        <v>847.2</v>
      </c>
      <c r="E43" s="82">
        <v>774.8</v>
      </c>
      <c r="F43" s="67"/>
      <c r="G43" s="67"/>
      <c r="H43" s="67"/>
      <c r="I43" s="67"/>
      <c r="J43" s="71">
        <f t="shared" si="31"/>
        <v>847.2</v>
      </c>
      <c r="K43" s="71">
        <f t="shared" si="32"/>
        <v>774.8</v>
      </c>
    </row>
    <row r="44" spans="1:124" s="68" customFormat="1" ht="14.4" x14ac:dyDescent="0.3">
      <c r="A44" s="69" t="s">
        <v>141</v>
      </c>
      <c r="B44" s="70"/>
      <c r="C44" s="70"/>
      <c r="D44" s="82">
        <v>120.5</v>
      </c>
      <c r="E44" s="82">
        <v>109.6</v>
      </c>
      <c r="F44" s="82"/>
      <c r="G44" s="82"/>
      <c r="H44" s="82"/>
      <c r="I44" s="82"/>
      <c r="J44" s="71">
        <f t="shared" si="31"/>
        <v>120.5</v>
      </c>
      <c r="K44" s="71">
        <f t="shared" si="32"/>
        <v>109.6</v>
      </c>
    </row>
    <row r="45" spans="1:124" s="68" customFormat="1" ht="14.4" x14ac:dyDescent="0.3">
      <c r="A45" s="69" t="s">
        <v>20</v>
      </c>
      <c r="B45" s="90"/>
      <c r="C45" s="70"/>
      <c r="D45" s="82">
        <v>0.8</v>
      </c>
      <c r="E45" s="82">
        <v>0.8</v>
      </c>
      <c r="F45" s="67"/>
      <c r="G45" s="67"/>
      <c r="H45" s="67"/>
      <c r="I45" s="67"/>
      <c r="J45" s="71">
        <f t="shared" si="31"/>
        <v>0.8</v>
      </c>
      <c r="K45" s="71">
        <f t="shared" si="32"/>
        <v>0.8</v>
      </c>
    </row>
    <row r="46" spans="1:124" s="68" customFormat="1" ht="14.4" x14ac:dyDescent="0.3">
      <c r="A46" s="69" t="s">
        <v>59</v>
      </c>
      <c r="B46" s="70"/>
      <c r="C46" s="70"/>
      <c r="D46" s="82">
        <v>12</v>
      </c>
      <c r="E46" s="82">
        <v>7.3</v>
      </c>
      <c r="F46" s="82"/>
      <c r="G46" s="82"/>
      <c r="H46" s="82"/>
      <c r="I46" s="82"/>
      <c r="J46" s="71">
        <f t="shared" si="31"/>
        <v>12</v>
      </c>
      <c r="K46" s="71">
        <f t="shared" si="32"/>
        <v>7.3</v>
      </c>
    </row>
    <row r="47" spans="1:124" s="68" customFormat="1" ht="14.4" x14ac:dyDescent="0.3">
      <c r="A47" s="69" t="s">
        <v>21</v>
      </c>
      <c r="B47" s="70"/>
      <c r="C47" s="70"/>
      <c r="D47" s="82">
        <v>160</v>
      </c>
      <c r="E47" s="82">
        <v>128.9</v>
      </c>
      <c r="F47" s="82">
        <f>2600/1000</f>
        <v>2.6</v>
      </c>
      <c r="G47" s="82"/>
      <c r="H47" s="82">
        <f>2.5</f>
        <v>2.5</v>
      </c>
      <c r="I47" s="82"/>
      <c r="J47" s="71">
        <f t="shared" si="31"/>
        <v>162.6</v>
      </c>
      <c r="K47" s="71">
        <f t="shared" si="32"/>
        <v>131.4</v>
      </c>
    </row>
    <row r="48" spans="1:124" s="68" customFormat="1" ht="14.4" x14ac:dyDescent="0.3">
      <c r="A48" s="69" t="s">
        <v>22</v>
      </c>
      <c r="B48" s="70"/>
      <c r="C48" s="70"/>
      <c r="D48" s="82"/>
      <c r="E48" s="82"/>
      <c r="F48" s="82">
        <f>G48</f>
        <v>1157.3</v>
      </c>
      <c r="G48" s="82">
        <v>1157.3</v>
      </c>
      <c r="H48" s="82">
        <f>I48</f>
        <v>1154.4000000000001</v>
      </c>
      <c r="I48" s="82">
        <v>1154.4000000000001</v>
      </c>
      <c r="J48" s="71">
        <f t="shared" si="31"/>
        <v>1157.3</v>
      </c>
      <c r="K48" s="71">
        <f t="shared" si="32"/>
        <v>1154.4000000000001</v>
      </c>
    </row>
    <row r="49" spans="1:124" s="68" customFormat="1" ht="14.4" x14ac:dyDescent="0.3">
      <c r="A49" s="69" t="s">
        <v>62</v>
      </c>
      <c r="B49" s="70"/>
      <c r="C49" s="70"/>
      <c r="D49" s="82"/>
      <c r="E49" s="82"/>
      <c r="F49" s="82">
        <f>G49</f>
        <v>2060.9</v>
      </c>
      <c r="G49" s="82">
        <v>2060.9</v>
      </c>
      <c r="H49" s="82">
        <f>I49</f>
        <v>2018.8</v>
      </c>
      <c r="I49" s="82">
        <v>2018.8</v>
      </c>
      <c r="J49" s="71">
        <f t="shared" si="31"/>
        <v>2060.9</v>
      </c>
      <c r="K49" s="71">
        <f t="shared" si="32"/>
        <v>2018.8</v>
      </c>
    </row>
    <row r="50" spans="1:124" s="68" customFormat="1" ht="30.6" customHeight="1" x14ac:dyDescent="0.3">
      <c r="A50" s="62" t="s">
        <v>45</v>
      </c>
      <c r="B50" s="63"/>
      <c r="C50" s="95" t="s">
        <v>44</v>
      </c>
      <c r="D50" s="74">
        <f>SUM(D51:D52)</f>
        <v>155.54000000000002</v>
      </c>
      <c r="E50" s="74">
        <f>SUM(E51:E52)</f>
        <v>155.5</v>
      </c>
      <c r="F50" s="74"/>
      <c r="G50" s="74"/>
      <c r="H50" s="74"/>
      <c r="I50" s="74"/>
      <c r="J50" s="74">
        <f>SUM(J51:J52)</f>
        <v>155.54000000000002</v>
      </c>
      <c r="K50" s="74">
        <f>SUM(K51:K52)</f>
        <v>155.5</v>
      </c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</row>
    <row r="51" spans="1:124" s="68" customFormat="1" ht="14.4" x14ac:dyDescent="0.3">
      <c r="A51" s="69" t="s">
        <v>16</v>
      </c>
      <c r="B51" s="70"/>
      <c r="C51" s="70"/>
      <c r="D51" s="71">
        <v>150.24</v>
      </c>
      <c r="E51" s="72">
        <v>150.19999999999999</v>
      </c>
      <c r="F51" s="71"/>
      <c r="G51" s="71"/>
      <c r="H51" s="71"/>
      <c r="I51" s="71"/>
      <c r="J51" s="71">
        <f>D51+F51</f>
        <v>150.24</v>
      </c>
      <c r="K51" s="71">
        <f>E51+H51</f>
        <v>150.19999999999999</v>
      </c>
    </row>
    <row r="52" spans="1:124" s="68" customFormat="1" ht="14.4" x14ac:dyDescent="0.3">
      <c r="A52" s="69" t="s">
        <v>17</v>
      </c>
      <c r="B52" s="70"/>
      <c r="C52" s="73"/>
      <c r="D52" s="71">
        <v>5.3</v>
      </c>
      <c r="E52" s="72">
        <v>5.3</v>
      </c>
      <c r="F52" s="71"/>
      <c r="G52" s="71"/>
      <c r="H52" s="71"/>
      <c r="I52" s="71"/>
      <c r="J52" s="71">
        <f>D52+F52</f>
        <v>5.3</v>
      </c>
      <c r="K52" s="71">
        <f>E52+H52</f>
        <v>5.3</v>
      </c>
    </row>
    <row r="53" spans="1:124" s="68" customFormat="1" ht="66" x14ac:dyDescent="0.3">
      <c r="A53" s="62" t="s">
        <v>112</v>
      </c>
      <c r="B53" s="63" t="s">
        <v>113</v>
      </c>
      <c r="C53" s="95" t="s">
        <v>114</v>
      </c>
      <c r="D53" s="74">
        <f>D54</f>
        <v>51.7</v>
      </c>
      <c r="E53" s="74">
        <f>E54</f>
        <v>51.699249999999999</v>
      </c>
      <c r="F53" s="74"/>
      <c r="G53" s="74"/>
      <c r="H53" s="74"/>
      <c r="I53" s="74"/>
      <c r="J53" s="74">
        <f>J54</f>
        <v>51.7</v>
      </c>
      <c r="K53" s="74">
        <f>K54</f>
        <v>51.699249999999999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</row>
    <row r="54" spans="1:124" s="68" customFormat="1" ht="14.4" x14ac:dyDescent="0.3">
      <c r="A54" s="76" t="s">
        <v>47</v>
      </c>
      <c r="B54" s="77"/>
      <c r="C54" s="98"/>
      <c r="D54" s="79">
        <f>51700/1000</f>
        <v>51.7</v>
      </c>
      <c r="E54" s="79">
        <f>51699.25/1000</f>
        <v>51.699249999999999</v>
      </c>
      <c r="F54" s="79"/>
      <c r="G54" s="79"/>
      <c r="H54" s="79"/>
      <c r="I54" s="79"/>
      <c r="J54" s="79">
        <f>D54+F54</f>
        <v>51.7</v>
      </c>
      <c r="K54" s="79">
        <f>E54+H54</f>
        <v>51.699249999999999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</row>
    <row r="55" spans="1:124" s="68" customFormat="1" ht="57" customHeight="1" x14ac:dyDescent="0.3">
      <c r="A55" s="62" t="s">
        <v>115</v>
      </c>
      <c r="B55" s="63" t="s">
        <v>113</v>
      </c>
      <c r="C55" s="95" t="s">
        <v>116</v>
      </c>
      <c r="D55" s="74">
        <f>D56</f>
        <v>138.30000000000001</v>
      </c>
      <c r="E55" s="74">
        <f>E56</f>
        <v>138.26750000000001</v>
      </c>
      <c r="F55" s="74"/>
      <c r="G55" s="74"/>
      <c r="H55" s="74"/>
      <c r="I55" s="74"/>
      <c r="J55" s="74">
        <f>J56</f>
        <v>138.30000000000001</v>
      </c>
      <c r="K55" s="74">
        <f>K56</f>
        <v>138.26750000000001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</row>
    <row r="56" spans="1:124" s="68" customFormat="1" ht="14.4" x14ac:dyDescent="0.3">
      <c r="A56" s="76" t="s">
        <v>47</v>
      </c>
      <c r="B56" s="77"/>
      <c r="C56" s="98"/>
      <c r="D56" s="79">
        <f>138300/1000</f>
        <v>138.30000000000001</v>
      </c>
      <c r="E56" s="79">
        <f>138267.5/1000</f>
        <v>138.26750000000001</v>
      </c>
      <c r="F56" s="79"/>
      <c r="G56" s="79"/>
      <c r="H56" s="79"/>
      <c r="I56" s="79"/>
      <c r="J56" s="79">
        <f>D56+F56</f>
        <v>138.30000000000001</v>
      </c>
      <c r="K56" s="79">
        <f>E56+H56</f>
        <v>138.26750000000001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</row>
    <row r="57" spans="1:124" s="68" customFormat="1" ht="57" customHeight="1" x14ac:dyDescent="0.3">
      <c r="A57" s="62" t="s">
        <v>117</v>
      </c>
      <c r="B57" s="63" t="s">
        <v>81</v>
      </c>
      <c r="C57" s="95" t="s">
        <v>118</v>
      </c>
      <c r="D57" s="80">
        <f>SUM(D58:D70)-D63</f>
        <v>1791.3299999999997</v>
      </c>
      <c r="E57" s="80">
        <f>SUM(E58:E70)-E63</f>
        <v>1782.5720099999996</v>
      </c>
      <c r="F57" s="80">
        <f>SUM(F58:F70)-F63</f>
        <v>793.39499999999998</v>
      </c>
      <c r="G57" s="80">
        <f t="shared" ref="G57:I57" si="33">SUM(G58:G70)-G63</f>
        <v>790.5</v>
      </c>
      <c r="H57" s="80">
        <f t="shared" si="33"/>
        <v>792.21594999999991</v>
      </c>
      <c r="I57" s="80">
        <f t="shared" si="33"/>
        <v>789.32094999999993</v>
      </c>
      <c r="J57" s="80">
        <f t="shared" ref="J57:J59" si="34">D57+F57</f>
        <v>2584.7249999999995</v>
      </c>
      <c r="K57" s="80">
        <f>E57+H57</f>
        <v>2574.7879599999997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</row>
    <row r="58" spans="1:124" s="68" customFormat="1" ht="14.4" x14ac:dyDescent="0.3">
      <c r="A58" s="76" t="s">
        <v>55</v>
      </c>
      <c r="B58" s="77"/>
      <c r="C58" s="96"/>
      <c r="D58" s="79">
        <f>1342110/1000</f>
        <v>1342.11</v>
      </c>
      <c r="E58" s="78">
        <f>1339403.13/1000</f>
        <v>1339.4031299999999</v>
      </c>
      <c r="F58" s="79"/>
      <c r="G58" s="79"/>
      <c r="H58" s="79"/>
      <c r="I58" s="79"/>
      <c r="J58" s="79">
        <f t="shared" si="34"/>
        <v>1342.11</v>
      </c>
      <c r="K58" s="79">
        <f t="shared" ref="K58:K59" si="35">E58+H58</f>
        <v>1339.4031299999999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</row>
    <row r="59" spans="1:124" s="68" customFormat="1" ht="14.4" x14ac:dyDescent="0.3">
      <c r="A59" s="76" t="s">
        <v>15</v>
      </c>
      <c r="B59" s="77"/>
      <c r="C59" s="96"/>
      <c r="D59" s="79">
        <f>291200/1000</f>
        <v>291.2</v>
      </c>
      <c r="E59" s="79">
        <f>291131.11/1000</f>
        <v>291.13110999999998</v>
      </c>
      <c r="F59" s="79"/>
      <c r="G59" s="79"/>
      <c r="H59" s="79"/>
      <c r="I59" s="79"/>
      <c r="J59" s="79">
        <f t="shared" si="34"/>
        <v>291.2</v>
      </c>
      <c r="K59" s="79">
        <f t="shared" si="35"/>
        <v>291.13110999999998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</row>
    <row r="60" spans="1:124" s="68" customFormat="1" ht="14.4" x14ac:dyDescent="0.3">
      <c r="A60" s="76" t="s">
        <v>16</v>
      </c>
      <c r="B60" s="77"/>
      <c r="C60" s="96"/>
      <c r="D60" s="79">
        <f>52350/1000</f>
        <v>52.35</v>
      </c>
      <c r="E60" s="79">
        <f>52311.82/1000</f>
        <v>52.311819999999997</v>
      </c>
      <c r="F60" s="79">
        <f>2895/1000</f>
        <v>2.895</v>
      </c>
      <c r="G60" s="79"/>
      <c r="H60" s="79">
        <f>2895/1000</f>
        <v>2.895</v>
      </c>
      <c r="I60" s="79"/>
      <c r="J60" s="79">
        <f>D60+F60</f>
        <v>55.245000000000005</v>
      </c>
      <c r="K60" s="79">
        <f>E60+H60</f>
        <v>55.20682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</row>
    <row r="61" spans="1:124" s="68" customFormat="1" ht="14.4" x14ac:dyDescent="0.3">
      <c r="A61" s="76" t="s">
        <v>17</v>
      </c>
      <c r="B61" s="77"/>
      <c r="C61" s="96"/>
      <c r="D61" s="79">
        <f>20910/1000</f>
        <v>20.91</v>
      </c>
      <c r="E61" s="79">
        <f>19809.75/1000</f>
        <v>19.809750000000001</v>
      </c>
      <c r="F61" s="79"/>
      <c r="G61" s="79"/>
      <c r="H61" s="79"/>
      <c r="I61" s="79"/>
      <c r="J61" s="79">
        <f t="shared" ref="J61:J62" si="36">D61+F61</f>
        <v>20.91</v>
      </c>
      <c r="K61" s="79">
        <f t="shared" ref="K61:K62" si="37">E61+H61</f>
        <v>19.809750000000001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</row>
    <row r="62" spans="1:124" s="68" customFormat="1" ht="14.4" x14ac:dyDescent="0.3">
      <c r="A62" s="76" t="s">
        <v>18</v>
      </c>
      <c r="B62" s="77"/>
      <c r="C62" s="96"/>
      <c r="D62" s="79">
        <f>5800/1000</f>
        <v>5.8</v>
      </c>
      <c r="E62" s="79">
        <f>5797/1000</f>
        <v>5.7969999999999997</v>
      </c>
      <c r="F62" s="79"/>
      <c r="G62" s="79"/>
      <c r="H62" s="79"/>
      <c r="I62" s="79"/>
      <c r="J62" s="79">
        <f t="shared" si="36"/>
        <v>5.8</v>
      </c>
      <c r="K62" s="79">
        <f t="shared" si="37"/>
        <v>5.7969999999999997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</row>
    <row r="63" spans="1:124" s="68" customFormat="1" ht="14.4" hidden="1" x14ac:dyDescent="0.3">
      <c r="A63" s="76" t="s">
        <v>19</v>
      </c>
      <c r="B63" s="77"/>
      <c r="C63" s="96"/>
      <c r="D63" s="79">
        <f>SUM(D64:D66)</f>
        <v>66.430000000000007</v>
      </c>
      <c r="E63" s="79">
        <f>SUM(E64:E66)</f>
        <v>61.589199999999998</v>
      </c>
      <c r="F63" s="79"/>
      <c r="G63" s="79"/>
      <c r="H63" s="79"/>
      <c r="I63" s="79"/>
      <c r="J63" s="79">
        <f>D63+F63</f>
        <v>66.430000000000007</v>
      </c>
      <c r="K63" s="79">
        <f>E63+H63</f>
        <v>61.589199999999998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</row>
    <row r="64" spans="1:124" s="68" customFormat="1" ht="14.4" x14ac:dyDescent="0.3">
      <c r="A64" s="76" t="s">
        <v>56</v>
      </c>
      <c r="B64" s="77"/>
      <c r="C64" s="96"/>
      <c r="D64" s="79">
        <f>53870/1000</f>
        <v>53.87</v>
      </c>
      <c r="E64" s="79">
        <f>50298.21/1000</f>
        <v>50.298209999999997</v>
      </c>
      <c r="F64" s="79"/>
      <c r="G64" s="79"/>
      <c r="H64" s="79"/>
      <c r="I64" s="79"/>
      <c r="J64" s="79">
        <f t="shared" ref="J64:J65" si="38">D64+F64</f>
        <v>53.87</v>
      </c>
      <c r="K64" s="79">
        <f t="shared" ref="K64:K65" si="39">E64+H64</f>
        <v>50.298209999999997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</row>
    <row r="65" spans="1:124" s="68" customFormat="1" ht="14.4" x14ac:dyDescent="0.3">
      <c r="A65" s="76" t="s">
        <v>57</v>
      </c>
      <c r="B65" s="77"/>
      <c r="C65" s="96"/>
      <c r="D65" s="79">
        <f>2850/1000</f>
        <v>2.85</v>
      </c>
      <c r="E65" s="79">
        <f>2809.73/1000</f>
        <v>2.8097300000000001</v>
      </c>
      <c r="F65" s="79"/>
      <c r="G65" s="79"/>
      <c r="H65" s="79"/>
      <c r="I65" s="79"/>
      <c r="J65" s="79">
        <f t="shared" si="38"/>
        <v>2.85</v>
      </c>
      <c r="K65" s="79">
        <f t="shared" si="39"/>
        <v>2.8097300000000001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</row>
    <row r="66" spans="1:124" s="68" customFormat="1" ht="14.4" x14ac:dyDescent="0.3">
      <c r="A66" s="76" t="s">
        <v>58</v>
      </c>
      <c r="B66" s="77"/>
      <c r="C66" s="96"/>
      <c r="D66" s="79">
        <f>9710/1000</f>
        <v>9.7100000000000009</v>
      </c>
      <c r="E66" s="79">
        <f>8481.26/1000</f>
        <v>8.4812600000000007</v>
      </c>
      <c r="F66" s="79"/>
      <c r="G66" s="79"/>
      <c r="H66" s="79"/>
      <c r="I66" s="79"/>
      <c r="J66" s="79">
        <f>D66+F66</f>
        <v>9.7100000000000009</v>
      </c>
      <c r="K66" s="79">
        <f>E66+H66</f>
        <v>8.4812600000000007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</row>
    <row r="67" spans="1:124" s="68" customFormat="1" ht="14.4" x14ac:dyDescent="0.3">
      <c r="A67" s="76" t="s">
        <v>47</v>
      </c>
      <c r="B67" s="77"/>
      <c r="C67" s="96"/>
      <c r="D67" s="79">
        <f>12000/1000</f>
        <v>12</v>
      </c>
      <c r="E67" s="79">
        <f>12000/1000</f>
        <v>12</v>
      </c>
      <c r="F67" s="79"/>
      <c r="G67" s="79"/>
      <c r="H67" s="79"/>
      <c r="I67" s="79"/>
      <c r="J67" s="79">
        <f t="shared" ref="J67" si="40">D67+F67</f>
        <v>12</v>
      </c>
      <c r="K67" s="79">
        <f t="shared" ref="K67" si="41">E67+H67</f>
        <v>12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</row>
    <row r="68" spans="1:124" s="68" customFormat="1" ht="14.4" x14ac:dyDescent="0.3">
      <c r="A68" s="76" t="s">
        <v>21</v>
      </c>
      <c r="B68" s="77"/>
      <c r="C68" s="96"/>
      <c r="D68" s="79">
        <f>530/1000</f>
        <v>0.53</v>
      </c>
      <c r="E68" s="79">
        <f>530/1000</f>
        <v>0.53</v>
      </c>
      <c r="F68" s="79"/>
      <c r="G68" s="79"/>
      <c r="H68" s="79"/>
      <c r="I68" s="79"/>
      <c r="J68" s="79">
        <f>D68+F68</f>
        <v>0.53</v>
      </c>
      <c r="K68" s="79">
        <f>E68+H68</f>
        <v>0.53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</row>
    <row r="69" spans="1:124" s="68" customFormat="1" ht="14.4" x14ac:dyDescent="0.3">
      <c r="A69" s="76" t="s">
        <v>22</v>
      </c>
      <c r="B69" s="77"/>
      <c r="C69" s="96"/>
      <c r="D69" s="81"/>
      <c r="E69" s="78"/>
      <c r="F69" s="79">
        <f>20500/1000</f>
        <v>20.5</v>
      </c>
      <c r="G69" s="79">
        <f>F69</f>
        <v>20.5</v>
      </c>
      <c r="H69" s="79">
        <f>19874/1000</f>
        <v>19.873999999999999</v>
      </c>
      <c r="I69" s="79">
        <f>H69</f>
        <v>19.873999999999999</v>
      </c>
      <c r="J69" s="79">
        <f t="shared" ref="J69:J70" si="42">D69+F69</f>
        <v>20.5</v>
      </c>
      <c r="K69" s="79">
        <f t="shared" ref="K69:K70" si="43">E69+H69</f>
        <v>19.873999999999999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</row>
    <row r="70" spans="1:124" s="68" customFormat="1" ht="14.4" x14ac:dyDescent="0.3">
      <c r="A70" s="76" t="s">
        <v>62</v>
      </c>
      <c r="B70" s="77"/>
      <c r="C70" s="96"/>
      <c r="D70" s="81"/>
      <c r="E70" s="78"/>
      <c r="F70" s="79">
        <f>770000/1000</f>
        <v>770</v>
      </c>
      <c r="G70" s="79">
        <f>F70</f>
        <v>770</v>
      </c>
      <c r="H70" s="79">
        <f>769446.95/1000</f>
        <v>769.4469499999999</v>
      </c>
      <c r="I70" s="79">
        <f>H70</f>
        <v>769.4469499999999</v>
      </c>
      <c r="J70" s="79">
        <f t="shared" si="42"/>
        <v>770</v>
      </c>
      <c r="K70" s="79">
        <f t="shared" si="43"/>
        <v>769.4469499999999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</row>
    <row r="71" spans="1:124" s="68" customFormat="1" ht="70.95" customHeight="1" x14ac:dyDescent="0.3">
      <c r="A71" s="62" t="s">
        <v>80</v>
      </c>
      <c r="B71" s="63" t="s">
        <v>81</v>
      </c>
      <c r="C71" s="95" t="s">
        <v>82</v>
      </c>
      <c r="D71" s="74">
        <f>SUM(D72:D75)</f>
        <v>684.6</v>
      </c>
      <c r="E71" s="74">
        <f>SUM(E72:E75)</f>
        <v>643.44884000000002</v>
      </c>
      <c r="F71" s="74"/>
      <c r="G71" s="74"/>
      <c r="H71" s="74"/>
      <c r="I71" s="74"/>
      <c r="J71" s="74">
        <f>D71+F71</f>
        <v>684.6</v>
      </c>
      <c r="K71" s="74">
        <f>E71+H71</f>
        <v>643.44884000000002</v>
      </c>
    </row>
    <row r="72" spans="1:124" s="68" customFormat="1" ht="14.4" x14ac:dyDescent="0.3">
      <c r="A72" s="69" t="s">
        <v>16</v>
      </c>
      <c r="B72" s="65"/>
      <c r="C72" s="66"/>
      <c r="D72" s="82">
        <f>128099/1000</f>
        <v>128.09899999999999</v>
      </c>
      <c r="E72" s="83">
        <f>127932.42/1000</f>
        <v>127.93241999999999</v>
      </c>
      <c r="F72" s="82"/>
      <c r="G72" s="82"/>
      <c r="H72" s="82"/>
      <c r="I72" s="82"/>
      <c r="J72" s="82">
        <f>D72+F72</f>
        <v>128.09899999999999</v>
      </c>
      <c r="K72" s="82">
        <f>E72+H72</f>
        <v>127.93241999999999</v>
      </c>
    </row>
    <row r="73" spans="1:124" s="68" customFormat="1" ht="14.4" x14ac:dyDescent="0.3">
      <c r="A73" s="69" t="s">
        <v>17</v>
      </c>
      <c r="B73" s="65"/>
      <c r="C73" s="66"/>
      <c r="D73" s="82">
        <f>320254/1000</f>
        <v>320.25400000000002</v>
      </c>
      <c r="E73" s="83">
        <f>279269.42/1000</f>
        <v>279.26941999999997</v>
      </c>
      <c r="F73" s="82"/>
      <c r="G73" s="82"/>
      <c r="H73" s="82"/>
      <c r="I73" s="82"/>
      <c r="J73" s="82">
        <f t="shared" ref="J73:J75" si="44">D73+F73</f>
        <v>320.25400000000002</v>
      </c>
      <c r="K73" s="82">
        <f t="shared" ref="K73:K75" si="45">E73+H73</f>
        <v>279.26941999999997</v>
      </c>
    </row>
    <row r="74" spans="1:124" s="68" customFormat="1" ht="14.4" x14ac:dyDescent="0.3">
      <c r="A74" s="69" t="s">
        <v>65</v>
      </c>
      <c r="B74" s="65"/>
      <c r="C74" s="66"/>
      <c r="D74" s="82">
        <f>221247/1000</f>
        <v>221.24700000000001</v>
      </c>
      <c r="E74" s="83">
        <f>221247/1000</f>
        <v>221.24700000000001</v>
      </c>
      <c r="F74" s="82"/>
      <c r="G74" s="82"/>
      <c r="H74" s="82"/>
      <c r="I74" s="82"/>
      <c r="J74" s="82">
        <f t="shared" si="44"/>
        <v>221.24700000000001</v>
      </c>
      <c r="K74" s="82">
        <f t="shared" si="45"/>
        <v>221.24700000000001</v>
      </c>
    </row>
    <row r="75" spans="1:124" s="68" customFormat="1" ht="14.4" x14ac:dyDescent="0.3">
      <c r="A75" s="69" t="s">
        <v>47</v>
      </c>
      <c r="B75" s="65"/>
      <c r="C75" s="66"/>
      <c r="D75" s="82">
        <f>15000/1000</f>
        <v>15</v>
      </c>
      <c r="E75" s="83">
        <f>15000/1000</f>
        <v>15</v>
      </c>
      <c r="F75" s="82"/>
      <c r="G75" s="82"/>
      <c r="H75" s="82"/>
      <c r="I75" s="82"/>
      <c r="J75" s="82">
        <f t="shared" si="44"/>
        <v>15</v>
      </c>
      <c r="K75" s="82">
        <f t="shared" si="45"/>
        <v>15</v>
      </c>
    </row>
    <row r="76" spans="1:124" s="68" customFormat="1" ht="114" customHeight="1" x14ac:dyDescent="0.3">
      <c r="A76" s="62" t="s">
        <v>83</v>
      </c>
      <c r="B76" s="63" t="s">
        <v>81</v>
      </c>
      <c r="C76" s="95" t="s">
        <v>84</v>
      </c>
      <c r="D76" s="74">
        <f>D77</f>
        <v>2129.6999999999998</v>
      </c>
      <c r="E76" s="74">
        <f>E77</f>
        <v>2120.6</v>
      </c>
      <c r="F76" s="74"/>
      <c r="G76" s="74"/>
      <c r="H76" s="74"/>
      <c r="I76" s="74"/>
      <c r="J76" s="74">
        <f>J77</f>
        <v>2129.6999999999998</v>
      </c>
      <c r="K76" s="74">
        <f>K77</f>
        <v>2120.6</v>
      </c>
    </row>
    <row r="77" spans="1:124" s="68" customFormat="1" ht="14.4" x14ac:dyDescent="0.3">
      <c r="A77" s="69" t="s">
        <v>47</v>
      </c>
      <c r="B77" s="70"/>
      <c r="C77" s="73"/>
      <c r="D77" s="79">
        <v>2129.6999999999998</v>
      </c>
      <c r="E77" s="72">
        <v>2120.6</v>
      </c>
      <c r="F77" s="71"/>
      <c r="G77" s="71"/>
      <c r="H77" s="71"/>
      <c r="I77" s="71"/>
      <c r="J77" s="71">
        <f>D77+F77</f>
        <v>2129.6999999999998</v>
      </c>
      <c r="K77" s="71">
        <f>E77+H77</f>
        <v>2120.6</v>
      </c>
    </row>
    <row r="78" spans="1:124" s="68" customFormat="1" ht="57" customHeight="1" x14ac:dyDescent="0.3">
      <c r="A78" s="62" t="s">
        <v>119</v>
      </c>
      <c r="B78" s="63" t="s">
        <v>120</v>
      </c>
      <c r="C78" s="95" t="s">
        <v>121</v>
      </c>
      <c r="D78" s="80">
        <f>SUM(D79:D88)-D84</f>
        <v>851.86300000000006</v>
      </c>
      <c r="E78" s="80">
        <f>SUM(E79:E88)-E84</f>
        <v>851.49374000000012</v>
      </c>
      <c r="F78" s="80">
        <f>SUM(F79:F88)-F84</f>
        <v>2.5619999999999998</v>
      </c>
      <c r="G78" s="80">
        <f>SUM(G71:G73)-G84</f>
        <v>0</v>
      </c>
      <c r="H78" s="80">
        <f>SUM(H79:H88)-H84</f>
        <v>2.5619999999999998</v>
      </c>
      <c r="I78" s="80">
        <f>SUM(I71:I73)-I84</f>
        <v>0</v>
      </c>
      <c r="J78" s="80">
        <f>D78+F78</f>
        <v>854.42500000000007</v>
      </c>
      <c r="K78" s="80">
        <f>E78+H78</f>
        <v>854.05574000000013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</row>
    <row r="79" spans="1:124" s="68" customFormat="1" ht="14.4" x14ac:dyDescent="0.3">
      <c r="A79" s="76" t="s">
        <v>55</v>
      </c>
      <c r="B79" s="77"/>
      <c r="C79" s="96"/>
      <c r="D79" s="79">
        <f>575689/1000</f>
        <v>575.68899999999996</v>
      </c>
      <c r="E79" s="78">
        <f>575684.26/1000</f>
        <v>575.68425999999999</v>
      </c>
      <c r="F79" s="79"/>
      <c r="G79" s="79"/>
      <c r="H79" s="79"/>
      <c r="I79" s="79"/>
      <c r="J79" s="79">
        <f>D79+F79</f>
        <v>575.68899999999996</v>
      </c>
      <c r="K79" s="79">
        <f t="shared" ref="K79:K80" si="46">E79+H79</f>
        <v>575.68425999999999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</row>
    <row r="80" spans="1:124" s="68" customFormat="1" ht="14.4" x14ac:dyDescent="0.3">
      <c r="A80" s="76" t="s">
        <v>15</v>
      </c>
      <c r="B80" s="77"/>
      <c r="C80" s="96"/>
      <c r="D80" s="79">
        <f>125706/1000</f>
        <v>125.706</v>
      </c>
      <c r="E80" s="79">
        <f>125705.66/1000</f>
        <v>125.70566000000001</v>
      </c>
      <c r="F80" s="79"/>
      <c r="G80" s="79"/>
      <c r="H80" s="79"/>
      <c r="I80" s="79"/>
      <c r="J80" s="79">
        <f>D80+F80</f>
        <v>125.706</v>
      </c>
      <c r="K80" s="79">
        <f t="shared" si="46"/>
        <v>125.70566000000001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</row>
    <row r="81" spans="1:124" s="68" customFormat="1" ht="14.4" x14ac:dyDescent="0.3">
      <c r="A81" s="76" t="s">
        <v>16</v>
      </c>
      <c r="B81" s="77"/>
      <c r="C81" s="96"/>
      <c r="D81" s="79">
        <f>32780/1000</f>
        <v>32.78</v>
      </c>
      <c r="E81" s="79">
        <f>32743.1/1000</f>
        <v>32.743099999999998</v>
      </c>
      <c r="F81" s="79">
        <f>2562/1000</f>
        <v>2.5619999999999998</v>
      </c>
      <c r="G81" s="79"/>
      <c r="H81" s="79">
        <f>2562/1000</f>
        <v>2.5619999999999998</v>
      </c>
      <c r="I81" s="79"/>
      <c r="J81" s="79">
        <f>D81+F81</f>
        <v>35.341999999999999</v>
      </c>
      <c r="K81" s="79">
        <f>E81+H81</f>
        <v>35.305099999999996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</row>
    <row r="82" spans="1:124" s="68" customFormat="1" ht="14.4" x14ac:dyDescent="0.3">
      <c r="A82" s="76" t="s">
        <v>17</v>
      </c>
      <c r="B82" s="77"/>
      <c r="C82" s="96"/>
      <c r="D82" s="79">
        <f>12593/1000</f>
        <v>12.593</v>
      </c>
      <c r="E82" s="79">
        <f>12479.92/1000</f>
        <v>12.47992</v>
      </c>
      <c r="F82" s="79"/>
      <c r="G82" s="79"/>
      <c r="H82" s="79"/>
      <c r="I82" s="79"/>
      <c r="J82" s="79">
        <f t="shared" ref="J82:J83" si="47">D82+F82</f>
        <v>12.593</v>
      </c>
      <c r="K82" s="79">
        <f t="shared" ref="K82:K83" si="48">E82+H82</f>
        <v>12.47992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</row>
    <row r="83" spans="1:124" s="68" customFormat="1" ht="14.4" hidden="1" x14ac:dyDescent="0.3">
      <c r="A83" s="76" t="s">
        <v>18</v>
      </c>
      <c r="B83" s="77"/>
      <c r="C83" s="96"/>
      <c r="D83" s="79"/>
      <c r="E83" s="79"/>
      <c r="F83" s="79"/>
      <c r="G83" s="79"/>
      <c r="H83" s="79"/>
      <c r="I83" s="79"/>
      <c r="J83" s="79">
        <f t="shared" si="47"/>
        <v>0</v>
      </c>
      <c r="K83" s="79">
        <f t="shared" si="48"/>
        <v>0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</row>
    <row r="84" spans="1:124" s="68" customFormat="1" ht="14.4" hidden="1" x14ac:dyDescent="0.3">
      <c r="A84" s="76" t="s">
        <v>19</v>
      </c>
      <c r="B84" s="77"/>
      <c r="C84" s="96"/>
      <c r="D84" s="79">
        <f>SUM(D85:D87)</f>
        <v>103.69499999999999</v>
      </c>
      <c r="E84" s="79">
        <f>SUM(E85:E87)</f>
        <v>103.6808</v>
      </c>
      <c r="F84" s="79"/>
      <c r="G84" s="79"/>
      <c r="H84" s="79"/>
      <c r="I84" s="79"/>
      <c r="J84" s="79">
        <f>D84+F84</f>
        <v>103.69499999999999</v>
      </c>
      <c r="K84" s="79">
        <f>E84+H84</f>
        <v>103.6808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</row>
    <row r="85" spans="1:124" s="68" customFormat="1" ht="14.4" x14ac:dyDescent="0.3">
      <c r="A85" s="76" t="s">
        <v>56</v>
      </c>
      <c r="B85" s="77"/>
      <c r="C85" s="96"/>
      <c r="D85" s="79">
        <f>68309.14/1000</f>
        <v>68.309139999999999</v>
      </c>
      <c r="E85" s="79">
        <f>68309.1/1000</f>
        <v>68.309100000000001</v>
      </c>
      <c r="F85" s="79"/>
      <c r="G85" s="79"/>
      <c r="H85" s="79"/>
      <c r="I85" s="79"/>
      <c r="J85" s="79">
        <f t="shared" ref="J85:J86" si="49">D85+F85</f>
        <v>68.309139999999999</v>
      </c>
      <c r="K85" s="79">
        <f t="shared" ref="K85:K86" si="50">E85+H85</f>
        <v>68.309100000000001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</row>
    <row r="86" spans="1:124" s="68" customFormat="1" ht="14.4" x14ac:dyDescent="0.3">
      <c r="A86" s="76" t="s">
        <v>57</v>
      </c>
      <c r="B86" s="77"/>
      <c r="C86" s="96"/>
      <c r="D86" s="79">
        <f>3407/1000</f>
        <v>3.407</v>
      </c>
      <c r="E86" s="79">
        <f>3392.84/1000</f>
        <v>3.3928400000000001</v>
      </c>
      <c r="F86" s="79"/>
      <c r="G86" s="79"/>
      <c r="H86" s="79"/>
      <c r="I86" s="79"/>
      <c r="J86" s="79">
        <f t="shared" si="49"/>
        <v>3.407</v>
      </c>
      <c r="K86" s="79">
        <f t="shared" si="50"/>
        <v>3.3928400000000001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</row>
    <row r="87" spans="1:124" s="68" customFormat="1" ht="14.4" x14ac:dyDescent="0.3">
      <c r="A87" s="76" t="s">
        <v>58</v>
      </c>
      <c r="B87" s="77"/>
      <c r="C87" s="96"/>
      <c r="D87" s="79">
        <f>31978.86/1000</f>
        <v>31.978860000000001</v>
      </c>
      <c r="E87" s="79">
        <f>31978.86/1000</f>
        <v>31.978860000000001</v>
      </c>
      <c r="F87" s="79"/>
      <c r="G87" s="79"/>
      <c r="H87" s="79"/>
      <c r="I87" s="79"/>
      <c r="J87" s="79">
        <f>D87+F87</f>
        <v>31.978860000000001</v>
      </c>
      <c r="K87" s="79">
        <f>E87+H87</f>
        <v>31.978860000000001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</row>
    <row r="88" spans="1:124" s="68" customFormat="1" ht="14.4" x14ac:dyDescent="0.3">
      <c r="A88" s="76" t="s">
        <v>59</v>
      </c>
      <c r="B88" s="77"/>
      <c r="C88" s="96"/>
      <c r="D88" s="79">
        <f>1400/1000</f>
        <v>1.4</v>
      </c>
      <c r="E88" s="79">
        <f>1200/1000</f>
        <v>1.2</v>
      </c>
      <c r="F88" s="79"/>
      <c r="G88" s="79"/>
      <c r="H88" s="79"/>
      <c r="I88" s="79"/>
      <c r="J88" s="79">
        <f t="shared" ref="J88" si="51">D88+F88</f>
        <v>1.4</v>
      </c>
      <c r="K88" s="79">
        <f t="shared" ref="K88" si="52">E88+H88</f>
        <v>1.2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</row>
    <row r="89" spans="1:124" s="68" customFormat="1" ht="40.200000000000003" x14ac:dyDescent="0.3">
      <c r="A89" s="62" t="s">
        <v>46</v>
      </c>
      <c r="B89" s="63">
        <v>1090</v>
      </c>
      <c r="C89" s="66" t="s">
        <v>151</v>
      </c>
      <c r="D89" s="74">
        <f>D90+D91+D92</f>
        <v>208.46600000000001</v>
      </c>
      <c r="E89" s="74">
        <f t="shared" ref="E89:K89" si="53">E90+E91+E92</f>
        <v>156.64211</v>
      </c>
      <c r="F89" s="74"/>
      <c r="G89" s="74"/>
      <c r="H89" s="74"/>
      <c r="I89" s="74"/>
      <c r="J89" s="74">
        <f t="shared" si="53"/>
        <v>208.46600000000001</v>
      </c>
      <c r="K89" s="74">
        <f t="shared" si="53"/>
        <v>156.64211</v>
      </c>
    </row>
    <row r="90" spans="1:124" s="7" customFormat="1" ht="14.4" x14ac:dyDescent="0.3">
      <c r="A90" s="23" t="s">
        <v>16</v>
      </c>
      <c r="B90" s="24"/>
      <c r="C90" s="30"/>
      <c r="D90" s="32">
        <v>20.62</v>
      </c>
      <c r="E90" s="31">
        <v>4.0128700000000004</v>
      </c>
      <c r="F90" s="32"/>
      <c r="G90" s="32"/>
      <c r="H90" s="32"/>
      <c r="I90" s="32"/>
      <c r="J90" s="32">
        <f t="shared" ref="J90:J92" si="54">D90+F90</f>
        <v>20.62</v>
      </c>
      <c r="K90" s="32">
        <f t="shared" ref="K90:K92" si="55">E90+H90</f>
        <v>4.0128700000000004</v>
      </c>
    </row>
    <row r="91" spans="1:124" s="7" customFormat="1" ht="14.4" x14ac:dyDescent="0.3">
      <c r="A91" s="23" t="s">
        <v>17</v>
      </c>
      <c r="B91" s="24"/>
      <c r="C91" s="30"/>
      <c r="D91" s="32">
        <v>57.658000000000001</v>
      </c>
      <c r="E91" s="31">
        <v>22.441240000000001</v>
      </c>
      <c r="F91" s="32"/>
      <c r="G91" s="32"/>
      <c r="H91" s="32"/>
      <c r="I91" s="32"/>
      <c r="J91" s="32">
        <f t="shared" si="54"/>
        <v>57.658000000000001</v>
      </c>
      <c r="K91" s="32">
        <f t="shared" si="55"/>
        <v>22.441240000000001</v>
      </c>
    </row>
    <row r="92" spans="1:124" s="7" customFormat="1" ht="14.4" x14ac:dyDescent="0.3">
      <c r="A92" s="23" t="s">
        <v>47</v>
      </c>
      <c r="B92" s="24"/>
      <c r="C92" s="24"/>
      <c r="D92" s="32">
        <v>130.18799999999999</v>
      </c>
      <c r="E92" s="32">
        <v>130.18799999999999</v>
      </c>
      <c r="F92" s="32"/>
      <c r="G92" s="32"/>
      <c r="H92" s="32"/>
      <c r="I92" s="32"/>
      <c r="J92" s="32">
        <f t="shared" si="54"/>
        <v>130.18799999999999</v>
      </c>
      <c r="K92" s="32">
        <f t="shared" si="55"/>
        <v>130.18799999999999</v>
      </c>
    </row>
    <row r="93" spans="1:124" s="68" customFormat="1" ht="53.4" x14ac:dyDescent="0.3">
      <c r="A93" s="62" t="s">
        <v>85</v>
      </c>
      <c r="B93" s="63" t="s">
        <v>86</v>
      </c>
      <c r="C93" s="66" t="s">
        <v>149</v>
      </c>
      <c r="D93" s="74">
        <f>SUM(D94:D102)</f>
        <v>2417.0299999999997</v>
      </c>
      <c r="E93" s="74">
        <f>SUM(E94:E102)</f>
        <v>2315.07744</v>
      </c>
      <c r="F93" s="74">
        <f>F103</f>
        <v>28.5</v>
      </c>
      <c r="G93" s="74">
        <f>G103</f>
        <v>28.5</v>
      </c>
      <c r="H93" s="74">
        <f>H103</f>
        <v>28.5</v>
      </c>
      <c r="I93" s="74">
        <f>I103</f>
        <v>28.5</v>
      </c>
      <c r="J93" s="74">
        <f>SUM(J94:J103)</f>
        <v>2445.5299999999997</v>
      </c>
      <c r="K93" s="74">
        <f>SUM(K94:K103)</f>
        <v>2343.57744</v>
      </c>
    </row>
    <row r="94" spans="1:124" s="68" customFormat="1" ht="14.4" x14ac:dyDescent="0.3">
      <c r="A94" s="69" t="s">
        <v>55</v>
      </c>
      <c r="B94" s="70"/>
      <c r="C94" s="70"/>
      <c r="D94" s="71">
        <f>804689/1000</f>
        <v>804.68899999999996</v>
      </c>
      <c r="E94" s="71">
        <f>804555.69/1000</f>
        <v>804.55568999999991</v>
      </c>
      <c r="F94" s="71"/>
      <c r="G94" s="71"/>
      <c r="H94" s="71"/>
      <c r="I94" s="71"/>
      <c r="J94" s="71">
        <f>D94+G94</f>
        <v>804.68899999999996</v>
      </c>
      <c r="K94" s="71">
        <f>E94+I94</f>
        <v>804.55568999999991</v>
      </c>
    </row>
    <row r="95" spans="1:124" s="68" customFormat="1" ht="14.4" x14ac:dyDescent="0.3">
      <c r="A95" s="69" t="s">
        <v>15</v>
      </c>
      <c r="B95" s="70"/>
      <c r="C95" s="70"/>
      <c r="D95" s="71">
        <f>181478/1000</f>
        <v>181.47800000000001</v>
      </c>
      <c r="E95" s="71">
        <f>181461.35/1000</f>
        <v>181.46135000000001</v>
      </c>
      <c r="F95" s="71"/>
      <c r="G95" s="71"/>
      <c r="H95" s="71"/>
      <c r="I95" s="71"/>
      <c r="J95" s="71">
        <f t="shared" ref="J95:J103" si="56">D95+G95</f>
        <v>181.47800000000001</v>
      </c>
      <c r="K95" s="71">
        <f t="shared" ref="K95:K103" si="57">E95+I95</f>
        <v>181.46135000000001</v>
      </c>
    </row>
    <row r="96" spans="1:124" s="68" customFormat="1" ht="14.4" x14ac:dyDescent="0.3">
      <c r="A96" s="69" t="s">
        <v>16</v>
      </c>
      <c r="B96" s="70"/>
      <c r="C96" s="70"/>
      <c r="D96" s="71">
        <f>478403.8/1000</f>
        <v>478.40379999999999</v>
      </c>
      <c r="E96" s="71">
        <f>478330.04/1000</f>
        <v>478.33004</v>
      </c>
      <c r="F96" s="71"/>
      <c r="G96" s="71"/>
      <c r="H96" s="71"/>
      <c r="I96" s="71"/>
      <c r="J96" s="71">
        <f t="shared" si="56"/>
        <v>478.40379999999999</v>
      </c>
      <c r="K96" s="71">
        <f t="shared" si="57"/>
        <v>478.33004</v>
      </c>
    </row>
    <row r="97" spans="1:11" s="68" customFormat="1" ht="14.4" x14ac:dyDescent="0.3">
      <c r="A97" s="69" t="s">
        <v>17</v>
      </c>
      <c r="B97" s="65"/>
      <c r="C97" s="97"/>
      <c r="D97" s="82">
        <f>640828.2/1000</f>
        <v>640.82819999999992</v>
      </c>
      <c r="E97" s="71">
        <f>606067.77/1000</f>
        <v>606.06777</v>
      </c>
      <c r="F97" s="67"/>
      <c r="G97" s="67"/>
      <c r="H97" s="67"/>
      <c r="I97" s="67"/>
      <c r="J97" s="71">
        <f t="shared" si="56"/>
        <v>640.82819999999992</v>
      </c>
      <c r="K97" s="71">
        <f t="shared" si="57"/>
        <v>606.06777</v>
      </c>
    </row>
    <row r="98" spans="1:11" s="68" customFormat="1" ht="14.4" x14ac:dyDescent="0.3">
      <c r="A98" s="69" t="s">
        <v>56</v>
      </c>
      <c r="B98" s="70"/>
      <c r="C98" s="70"/>
      <c r="D98" s="82">
        <f>300132/1000</f>
        <v>300.13200000000001</v>
      </c>
      <c r="E98" s="71">
        <f>234632/1000</f>
        <v>234.63200000000001</v>
      </c>
      <c r="F98" s="82"/>
      <c r="G98" s="82"/>
      <c r="H98" s="82"/>
      <c r="I98" s="82"/>
      <c r="J98" s="71">
        <f t="shared" si="56"/>
        <v>300.13200000000001</v>
      </c>
      <c r="K98" s="71">
        <f t="shared" si="57"/>
        <v>234.63200000000001</v>
      </c>
    </row>
    <row r="99" spans="1:11" s="68" customFormat="1" ht="14.4" x14ac:dyDescent="0.3">
      <c r="A99" s="69" t="s">
        <v>57</v>
      </c>
      <c r="B99" s="65"/>
      <c r="C99" s="97"/>
      <c r="D99" s="82">
        <f>715/1000</f>
        <v>0.71499999999999997</v>
      </c>
      <c r="E99" s="71">
        <f>631.43/1000</f>
        <v>0.63142999999999994</v>
      </c>
      <c r="F99" s="67"/>
      <c r="G99" s="67"/>
      <c r="H99" s="67"/>
      <c r="I99" s="67"/>
      <c r="J99" s="71">
        <f t="shared" si="56"/>
        <v>0.71499999999999997</v>
      </c>
      <c r="K99" s="71">
        <f t="shared" si="57"/>
        <v>0.63142999999999994</v>
      </c>
    </row>
    <row r="100" spans="1:11" s="68" customFormat="1" ht="14.4" x14ac:dyDescent="0.3">
      <c r="A100" s="69" t="s">
        <v>58</v>
      </c>
      <c r="B100" s="70"/>
      <c r="C100" s="70"/>
      <c r="D100" s="82">
        <f>9278/1000</f>
        <v>9.2780000000000005</v>
      </c>
      <c r="E100" s="71">
        <f>8899.16/1000</f>
        <v>8.8991600000000002</v>
      </c>
      <c r="F100" s="82"/>
      <c r="G100" s="82"/>
      <c r="H100" s="82"/>
      <c r="I100" s="82"/>
      <c r="J100" s="71">
        <f t="shared" si="56"/>
        <v>9.2780000000000005</v>
      </c>
      <c r="K100" s="71">
        <f t="shared" si="57"/>
        <v>8.8991600000000002</v>
      </c>
    </row>
    <row r="101" spans="1:11" s="68" customFormat="1" ht="14.4" x14ac:dyDescent="0.3">
      <c r="A101" s="69" t="s">
        <v>59</v>
      </c>
      <c r="B101" s="70"/>
      <c r="C101" s="70"/>
      <c r="D101" s="82">
        <f>1026/1000</f>
        <v>1.026</v>
      </c>
      <c r="E101" s="71">
        <f>500/1000</f>
        <v>0.5</v>
      </c>
      <c r="F101" s="82"/>
      <c r="G101" s="82"/>
      <c r="H101" s="82"/>
      <c r="I101" s="82"/>
      <c r="J101" s="71">
        <f t="shared" si="56"/>
        <v>1.026</v>
      </c>
      <c r="K101" s="71">
        <f t="shared" si="57"/>
        <v>0.5</v>
      </c>
    </row>
    <row r="102" spans="1:11" s="68" customFormat="1" ht="14.4" x14ac:dyDescent="0.3">
      <c r="A102" s="69" t="s">
        <v>21</v>
      </c>
      <c r="B102" s="70"/>
      <c r="C102" s="70"/>
      <c r="D102" s="82">
        <f>480/1000</f>
        <v>0.48</v>
      </c>
      <c r="E102" s="82"/>
      <c r="F102" s="82"/>
      <c r="G102" s="82"/>
      <c r="H102" s="82"/>
      <c r="I102" s="82"/>
      <c r="J102" s="71">
        <f t="shared" si="56"/>
        <v>0.48</v>
      </c>
      <c r="K102" s="71">
        <f t="shared" si="57"/>
        <v>0</v>
      </c>
    </row>
    <row r="103" spans="1:11" s="68" customFormat="1" ht="14.4" x14ac:dyDescent="0.3">
      <c r="A103" s="69" t="s">
        <v>22</v>
      </c>
      <c r="B103" s="70"/>
      <c r="C103" s="70"/>
      <c r="D103" s="82"/>
      <c r="E103" s="82"/>
      <c r="F103" s="82">
        <f>G103</f>
        <v>28.5</v>
      </c>
      <c r="G103" s="82">
        <v>28.5</v>
      </c>
      <c r="H103" s="82">
        <f>I103</f>
        <v>28.5</v>
      </c>
      <c r="I103" s="82">
        <v>28.5</v>
      </c>
      <c r="J103" s="71">
        <f t="shared" si="56"/>
        <v>28.5</v>
      </c>
      <c r="K103" s="71">
        <f t="shared" si="57"/>
        <v>28.5</v>
      </c>
    </row>
    <row r="104" spans="1:11" s="68" customFormat="1" ht="46.2" customHeight="1" x14ac:dyDescent="0.3">
      <c r="A104" s="62" t="s">
        <v>87</v>
      </c>
      <c r="B104" s="63" t="s">
        <v>86</v>
      </c>
      <c r="C104" s="95" t="s">
        <v>150</v>
      </c>
      <c r="D104" s="74">
        <f>SUM(D105:D114)</f>
        <v>2277.502</v>
      </c>
      <c r="E104" s="74">
        <f>SUM(E105:E115)</f>
        <v>2273.4172099999996</v>
      </c>
      <c r="F104" s="74">
        <f>F115</f>
        <v>20.5</v>
      </c>
      <c r="G104" s="74">
        <f>G115</f>
        <v>20.5</v>
      </c>
      <c r="H104" s="74">
        <f>H115</f>
        <v>20.498000000000001</v>
      </c>
      <c r="I104" s="74">
        <f>I115</f>
        <v>20.498000000000001</v>
      </c>
      <c r="J104" s="74">
        <f>D104+G104</f>
        <v>2298.002</v>
      </c>
      <c r="K104" s="74">
        <f>E104+I104</f>
        <v>2293.9152099999997</v>
      </c>
    </row>
    <row r="105" spans="1:11" s="68" customFormat="1" ht="14.4" x14ac:dyDescent="0.3">
      <c r="A105" s="69" t="s">
        <v>55</v>
      </c>
      <c r="B105" s="65"/>
      <c r="C105" s="97"/>
      <c r="D105" s="82">
        <f>1001170/1000</f>
        <v>1001.17</v>
      </c>
      <c r="E105" s="82">
        <f>1001169.4/1000</f>
        <v>1001.1694</v>
      </c>
      <c r="F105" s="67"/>
      <c r="G105" s="67"/>
      <c r="H105" s="67"/>
      <c r="I105" s="67"/>
      <c r="J105" s="82">
        <f>D105+G105</f>
        <v>1001.17</v>
      </c>
      <c r="K105" s="82">
        <f>E105+I105</f>
        <v>1001.1694</v>
      </c>
    </row>
    <row r="106" spans="1:11" s="68" customFormat="1" ht="14.4" x14ac:dyDescent="0.3">
      <c r="A106" s="69" t="s">
        <v>15</v>
      </c>
      <c r="B106" s="87"/>
      <c r="C106" s="70"/>
      <c r="D106" s="82">
        <f>228898/1000</f>
        <v>228.898</v>
      </c>
      <c r="E106" s="82">
        <f>228876.5/1000</f>
        <v>228.87649999999999</v>
      </c>
      <c r="F106" s="82"/>
      <c r="G106" s="82"/>
      <c r="H106" s="82"/>
      <c r="I106" s="82"/>
      <c r="J106" s="82">
        <f t="shared" ref="J106:J115" si="58">D106+G106</f>
        <v>228.898</v>
      </c>
      <c r="K106" s="82">
        <f t="shared" ref="K106:K115" si="59">E106+I106</f>
        <v>228.87649999999999</v>
      </c>
    </row>
    <row r="107" spans="1:11" s="68" customFormat="1" ht="14.4" x14ac:dyDescent="0.3">
      <c r="A107" s="69" t="s">
        <v>16</v>
      </c>
      <c r="B107" s="87"/>
      <c r="C107" s="70"/>
      <c r="D107" s="82">
        <f>531356.7/1000</f>
        <v>531.35669999999993</v>
      </c>
      <c r="E107" s="82">
        <f>531355/1000</f>
        <v>531.35500000000002</v>
      </c>
      <c r="F107" s="82"/>
      <c r="G107" s="82"/>
      <c r="H107" s="82"/>
      <c r="I107" s="82"/>
      <c r="J107" s="82">
        <f t="shared" si="58"/>
        <v>531.35669999999993</v>
      </c>
      <c r="K107" s="82">
        <f t="shared" si="59"/>
        <v>531.35500000000002</v>
      </c>
    </row>
    <row r="108" spans="1:11" s="68" customFormat="1" ht="14.4" x14ac:dyDescent="0.3">
      <c r="A108" s="69" t="s">
        <v>17</v>
      </c>
      <c r="B108" s="87"/>
      <c r="C108" s="70"/>
      <c r="D108" s="82">
        <f>393758.3/1000</f>
        <v>393.75829999999996</v>
      </c>
      <c r="E108" s="82">
        <f>389755.36/1000</f>
        <v>389.75536</v>
      </c>
      <c r="F108" s="82"/>
      <c r="G108" s="82"/>
      <c r="H108" s="82"/>
      <c r="I108" s="82"/>
      <c r="J108" s="82">
        <f t="shared" si="58"/>
        <v>393.75829999999996</v>
      </c>
      <c r="K108" s="82">
        <f t="shared" si="59"/>
        <v>389.75536</v>
      </c>
    </row>
    <row r="109" spans="1:11" s="68" customFormat="1" ht="14.4" x14ac:dyDescent="0.3">
      <c r="A109" s="69">
        <v>2250</v>
      </c>
      <c r="B109" s="87"/>
      <c r="C109" s="70"/>
      <c r="D109" s="82">
        <f>21767/1000</f>
        <v>21.766999999999999</v>
      </c>
      <c r="E109" s="82">
        <f>21766.82/1000</f>
        <v>21.766819999999999</v>
      </c>
      <c r="F109" s="82"/>
      <c r="G109" s="82"/>
      <c r="H109" s="82"/>
      <c r="I109" s="82"/>
      <c r="J109" s="82">
        <f t="shared" si="58"/>
        <v>21.766999999999999</v>
      </c>
      <c r="K109" s="82">
        <f t="shared" si="59"/>
        <v>21.766819999999999</v>
      </c>
    </row>
    <row r="110" spans="1:11" s="68" customFormat="1" ht="14.4" x14ac:dyDescent="0.3">
      <c r="A110" s="69" t="s">
        <v>56</v>
      </c>
      <c r="B110" s="87"/>
      <c r="C110" s="70"/>
      <c r="D110" s="82">
        <f>80232/1000</f>
        <v>80.231999999999999</v>
      </c>
      <c r="E110" s="82">
        <f>80232/1000</f>
        <v>80.231999999999999</v>
      </c>
      <c r="F110" s="82"/>
      <c r="G110" s="82"/>
      <c r="H110" s="82"/>
      <c r="I110" s="82"/>
      <c r="J110" s="82">
        <f t="shared" si="58"/>
        <v>80.231999999999999</v>
      </c>
      <c r="K110" s="82">
        <f t="shared" si="59"/>
        <v>80.231999999999999</v>
      </c>
    </row>
    <row r="111" spans="1:11" s="68" customFormat="1" ht="14.4" x14ac:dyDescent="0.3">
      <c r="A111" s="69" t="s">
        <v>57</v>
      </c>
      <c r="B111" s="87"/>
      <c r="C111" s="70"/>
      <c r="D111" s="82">
        <f>1039/1000</f>
        <v>1.0389999999999999</v>
      </c>
      <c r="E111" s="82">
        <f>983.17/1000</f>
        <v>0.98316999999999999</v>
      </c>
      <c r="F111" s="82"/>
      <c r="G111" s="82"/>
      <c r="H111" s="82"/>
      <c r="I111" s="82"/>
      <c r="J111" s="82">
        <f t="shared" si="58"/>
        <v>1.0389999999999999</v>
      </c>
      <c r="K111" s="82">
        <f t="shared" si="59"/>
        <v>0.98316999999999999</v>
      </c>
    </row>
    <row r="112" spans="1:11" s="68" customFormat="1" ht="14.4" x14ac:dyDescent="0.3">
      <c r="A112" s="69" t="s">
        <v>58</v>
      </c>
      <c r="B112" s="87"/>
      <c r="C112" s="70"/>
      <c r="D112" s="82">
        <f>17871/1000</f>
        <v>17.870999999999999</v>
      </c>
      <c r="E112" s="82">
        <f>17868.96/1000</f>
        <v>17.868959999999998</v>
      </c>
      <c r="F112" s="82"/>
      <c r="G112" s="82"/>
      <c r="H112" s="82"/>
      <c r="I112" s="82"/>
      <c r="J112" s="82">
        <f t="shared" si="58"/>
        <v>17.870999999999999</v>
      </c>
      <c r="K112" s="82">
        <f t="shared" si="59"/>
        <v>17.868959999999998</v>
      </c>
    </row>
    <row r="113" spans="1:11" s="68" customFormat="1" ht="14.4" x14ac:dyDescent="0.3">
      <c r="A113" s="69" t="s">
        <v>59</v>
      </c>
      <c r="B113" s="87"/>
      <c r="C113" s="70"/>
      <c r="D113" s="82">
        <f>350/1000</f>
        <v>0.35</v>
      </c>
      <c r="E113" s="82">
        <f>350/1000</f>
        <v>0.35</v>
      </c>
      <c r="F113" s="82"/>
      <c r="G113" s="82"/>
      <c r="H113" s="82"/>
      <c r="I113" s="82"/>
      <c r="J113" s="82">
        <f t="shared" si="58"/>
        <v>0.35</v>
      </c>
      <c r="K113" s="82">
        <f t="shared" si="59"/>
        <v>0.35</v>
      </c>
    </row>
    <row r="114" spans="1:11" s="68" customFormat="1" ht="14.4" x14ac:dyDescent="0.3">
      <c r="A114" s="69" t="s">
        <v>21</v>
      </c>
      <c r="B114" s="87"/>
      <c r="C114" s="70"/>
      <c r="D114" s="82">
        <f>1060/1000</f>
        <v>1.06</v>
      </c>
      <c r="E114" s="82">
        <f>1060/1000</f>
        <v>1.06</v>
      </c>
      <c r="F114" s="82"/>
      <c r="G114" s="82"/>
      <c r="H114" s="82"/>
      <c r="I114" s="82"/>
      <c r="J114" s="82">
        <f t="shared" si="58"/>
        <v>1.06</v>
      </c>
      <c r="K114" s="82">
        <f t="shared" si="59"/>
        <v>1.06</v>
      </c>
    </row>
    <row r="115" spans="1:11" s="68" customFormat="1" ht="14.4" x14ac:dyDescent="0.3">
      <c r="A115" s="69" t="s">
        <v>22</v>
      </c>
      <c r="B115" s="87"/>
      <c r="C115" s="70"/>
      <c r="D115" s="82"/>
      <c r="E115" s="82"/>
      <c r="F115" s="82">
        <f>G115</f>
        <v>20.5</v>
      </c>
      <c r="G115" s="82">
        <v>20.5</v>
      </c>
      <c r="H115" s="82">
        <f>I115</f>
        <v>20.498000000000001</v>
      </c>
      <c r="I115" s="82">
        <f>20498/1000</f>
        <v>20.498000000000001</v>
      </c>
      <c r="J115" s="82">
        <f t="shared" si="58"/>
        <v>20.5</v>
      </c>
      <c r="K115" s="82">
        <f t="shared" si="59"/>
        <v>20.498000000000001</v>
      </c>
    </row>
    <row r="116" spans="1:11" s="68" customFormat="1" ht="34.950000000000003" customHeight="1" x14ac:dyDescent="0.3">
      <c r="A116" s="62" t="s">
        <v>152</v>
      </c>
      <c r="B116" s="63" t="s">
        <v>86</v>
      </c>
      <c r="C116" s="95" t="s">
        <v>153</v>
      </c>
      <c r="D116" s="74">
        <f>D117+D118</f>
        <v>303.2</v>
      </c>
      <c r="E116" s="74">
        <f t="shared" ref="E116:K116" si="60">E117+E118</f>
        <v>298.87094000000002</v>
      </c>
      <c r="F116" s="74"/>
      <c r="G116" s="74"/>
      <c r="H116" s="74"/>
      <c r="I116" s="74"/>
      <c r="J116" s="74">
        <f t="shared" si="60"/>
        <v>303.2</v>
      </c>
      <c r="K116" s="74">
        <f t="shared" si="60"/>
        <v>298.87094000000002</v>
      </c>
    </row>
    <row r="117" spans="1:11" s="68" customFormat="1" ht="14.4" x14ac:dyDescent="0.3">
      <c r="A117" s="69" t="s">
        <v>16</v>
      </c>
      <c r="B117" s="70"/>
      <c r="C117" s="70"/>
      <c r="D117" s="71">
        <v>256.05</v>
      </c>
      <c r="E117" s="71">
        <v>251.74894</v>
      </c>
      <c r="F117" s="71"/>
      <c r="G117" s="71"/>
      <c r="H117" s="71"/>
      <c r="I117" s="71"/>
      <c r="J117" s="71">
        <f t="shared" ref="J117:J118" si="61">D117+F117</f>
        <v>256.05</v>
      </c>
      <c r="K117" s="71">
        <f t="shared" ref="K117:K118" si="62">E117+H117</f>
        <v>251.74894</v>
      </c>
    </row>
    <row r="118" spans="1:11" s="68" customFormat="1" ht="14.4" x14ac:dyDescent="0.3">
      <c r="A118" s="69" t="s">
        <v>17</v>
      </c>
      <c r="B118" s="65"/>
      <c r="C118" s="97"/>
      <c r="D118" s="82">
        <v>47.15</v>
      </c>
      <c r="E118" s="82">
        <v>47.122</v>
      </c>
      <c r="F118" s="67"/>
      <c r="G118" s="67"/>
      <c r="H118" s="67"/>
      <c r="I118" s="67"/>
      <c r="J118" s="71">
        <f t="shared" si="61"/>
        <v>47.15</v>
      </c>
      <c r="K118" s="71">
        <f t="shared" si="62"/>
        <v>47.122</v>
      </c>
    </row>
    <row r="119" spans="1:11" s="68" customFormat="1" ht="52.8" x14ac:dyDescent="0.3">
      <c r="A119" s="62" t="s">
        <v>48</v>
      </c>
      <c r="B119" s="63" t="s">
        <v>49</v>
      </c>
      <c r="C119" s="95" t="s">
        <v>50</v>
      </c>
      <c r="D119" s="74">
        <f>D120+D121+D122</f>
        <v>836.06999999999994</v>
      </c>
      <c r="E119" s="74">
        <f t="shared" ref="E119:K119" si="63">E120+E121+E122</f>
        <v>713.9</v>
      </c>
      <c r="F119" s="74">
        <f t="shared" si="63"/>
        <v>177</v>
      </c>
      <c r="G119" s="74">
        <f t="shared" si="63"/>
        <v>177</v>
      </c>
      <c r="H119" s="74">
        <f t="shared" si="63"/>
        <v>175</v>
      </c>
      <c r="I119" s="74">
        <f t="shared" si="63"/>
        <v>175</v>
      </c>
      <c r="J119" s="74">
        <f t="shared" si="63"/>
        <v>1013.0699999999999</v>
      </c>
      <c r="K119" s="74">
        <f t="shared" si="63"/>
        <v>888.9</v>
      </c>
    </row>
    <row r="120" spans="1:11" s="68" customFormat="1" ht="14.4" x14ac:dyDescent="0.3">
      <c r="A120" s="69" t="s">
        <v>16</v>
      </c>
      <c r="B120" s="70"/>
      <c r="C120" s="73"/>
      <c r="D120" s="71">
        <f>175849/1000</f>
        <v>175.84899999999999</v>
      </c>
      <c r="E120" s="72">
        <v>166.1</v>
      </c>
      <c r="F120" s="71"/>
      <c r="G120" s="71"/>
      <c r="H120" s="71"/>
      <c r="I120" s="71"/>
      <c r="J120" s="71">
        <f>D120+F120</f>
        <v>175.84899999999999</v>
      </c>
      <c r="K120" s="71">
        <f>E120+H120</f>
        <v>166.1</v>
      </c>
    </row>
    <row r="121" spans="1:11" s="68" customFormat="1" ht="14.4" x14ac:dyDescent="0.3">
      <c r="A121" s="69" t="s">
        <v>17</v>
      </c>
      <c r="B121" s="70"/>
      <c r="C121" s="73"/>
      <c r="D121" s="71">
        <f>660221/1000</f>
        <v>660.221</v>
      </c>
      <c r="E121" s="72">
        <v>547.79999999999995</v>
      </c>
      <c r="F121" s="71"/>
      <c r="G121" s="71"/>
      <c r="H121" s="71"/>
      <c r="I121" s="71"/>
      <c r="J121" s="71">
        <f>D121+F121</f>
        <v>660.221</v>
      </c>
      <c r="K121" s="71">
        <f t="shared" ref="K121:K122" si="64">E121+H121</f>
        <v>547.79999999999995</v>
      </c>
    </row>
    <row r="122" spans="1:11" s="68" customFormat="1" ht="14.4" x14ac:dyDescent="0.3">
      <c r="A122" s="69" t="s">
        <v>22</v>
      </c>
      <c r="B122" s="70"/>
      <c r="C122" s="73"/>
      <c r="D122" s="71"/>
      <c r="E122" s="72"/>
      <c r="F122" s="71">
        <v>177</v>
      </c>
      <c r="G122" s="71">
        <v>177</v>
      </c>
      <c r="H122" s="71">
        <v>175</v>
      </c>
      <c r="I122" s="71">
        <v>175</v>
      </c>
      <c r="J122" s="71">
        <f>D122+F122</f>
        <v>177</v>
      </c>
      <c r="K122" s="71">
        <f t="shared" si="64"/>
        <v>175</v>
      </c>
    </row>
    <row r="123" spans="1:11" s="88" customFormat="1" ht="57.6" customHeight="1" x14ac:dyDescent="0.3">
      <c r="A123" s="62" t="s">
        <v>51</v>
      </c>
      <c r="B123" s="63" t="s">
        <v>49</v>
      </c>
      <c r="C123" s="95" t="s">
        <v>52</v>
      </c>
      <c r="D123" s="74">
        <f>D124+D125</f>
        <v>941.30000000000007</v>
      </c>
      <c r="E123" s="74">
        <f t="shared" ref="E123:J123" si="65">E124+E125</f>
        <v>888</v>
      </c>
      <c r="F123" s="74"/>
      <c r="G123" s="74"/>
      <c r="H123" s="74"/>
      <c r="I123" s="74"/>
      <c r="J123" s="74">
        <f t="shared" si="65"/>
        <v>941.30000000000007</v>
      </c>
      <c r="K123" s="74">
        <f>K124+K125</f>
        <v>888</v>
      </c>
    </row>
    <row r="124" spans="1:11" s="68" customFormat="1" ht="14.4" x14ac:dyDescent="0.3">
      <c r="A124" s="69" t="s">
        <v>16</v>
      </c>
      <c r="B124" s="70"/>
      <c r="C124" s="73"/>
      <c r="D124" s="71">
        <v>134.6</v>
      </c>
      <c r="E124" s="72">
        <v>128.1</v>
      </c>
      <c r="F124" s="71"/>
      <c r="G124" s="71"/>
      <c r="H124" s="71"/>
      <c r="I124" s="71"/>
      <c r="J124" s="71">
        <f>D124</f>
        <v>134.6</v>
      </c>
      <c r="K124" s="71">
        <f>E124</f>
        <v>128.1</v>
      </c>
    </row>
    <row r="125" spans="1:11" s="68" customFormat="1" ht="14.4" x14ac:dyDescent="0.3">
      <c r="A125" s="69" t="s">
        <v>17</v>
      </c>
      <c r="B125" s="70"/>
      <c r="C125" s="73"/>
      <c r="D125" s="71">
        <v>806.7</v>
      </c>
      <c r="E125" s="72">
        <v>759.9</v>
      </c>
      <c r="F125" s="71"/>
      <c r="G125" s="71"/>
      <c r="H125" s="71"/>
      <c r="I125" s="71"/>
      <c r="J125" s="71">
        <f>D125</f>
        <v>806.7</v>
      </c>
      <c r="K125" s="71">
        <f>E125</f>
        <v>759.9</v>
      </c>
    </row>
    <row r="126" spans="1:11" s="88" customFormat="1" ht="55.95" customHeight="1" x14ac:dyDescent="0.3">
      <c r="A126" s="62" t="s">
        <v>53</v>
      </c>
      <c r="B126" s="63" t="s">
        <v>49</v>
      </c>
      <c r="C126" s="95" t="s">
        <v>54</v>
      </c>
      <c r="D126" s="74">
        <f>SUM(D127:D137)</f>
        <v>9682.1999999999989</v>
      </c>
      <c r="E126" s="74">
        <f t="shared" ref="E126:K126" si="66">SUM(E127:E137)</f>
        <v>9644.8000000000011</v>
      </c>
      <c r="F126" s="74">
        <f>SUM(F127:F137)</f>
        <v>302.3</v>
      </c>
      <c r="G126" s="74">
        <f t="shared" si="66"/>
        <v>300</v>
      </c>
      <c r="H126" s="74">
        <f t="shared" si="66"/>
        <v>302.26499999999999</v>
      </c>
      <c r="I126" s="74">
        <f t="shared" si="66"/>
        <v>300</v>
      </c>
      <c r="J126" s="74">
        <f t="shared" si="66"/>
        <v>9982.1999999999989</v>
      </c>
      <c r="K126" s="74">
        <f t="shared" si="66"/>
        <v>9944.7650000000012</v>
      </c>
    </row>
    <row r="127" spans="1:11" s="88" customFormat="1" ht="14.4" x14ac:dyDescent="0.3">
      <c r="A127" s="41" t="s">
        <v>55</v>
      </c>
      <c r="B127" s="65"/>
      <c r="C127" s="97"/>
      <c r="D127" s="71">
        <v>6357.3</v>
      </c>
      <c r="E127" s="71">
        <v>6356.7</v>
      </c>
      <c r="F127" s="84"/>
      <c r="G127" s="84"/>
      <c r="H127" s="84"/>
      <c r="I127" s="84"/>
      <c r="J127" s="71">
        <f>D127</f>
        <v>6357.3</v>
      </c>
      <c r="K127" s="71">
        <f>E127</f>
        <v>6356.7</v>
      </c>
    </row>
    <row r="128" spans="1:11" s="88" customFormat="1" ht="14.4" x14ac:dyDescent="0.3">
      <c r="A128" s="41" t="s">
        <v>15</v>
      </c>
      <c r="B128" s="65"/>
      <c r="C128" s="97"/>
      <c r="D128" s="71">
        <v>1388.5</v>
      </c>
      <c r="E128" s="71">
        <v>1387.2</v>
      </c>
      <c r="F128" s="84"/>
      <c r="G128" s="84"/>
      <c r="H128" s="84"/>
      <c r="I128" s="84"/>
      <c r="J128" s="71">
        <f t="shared" ref="J128:K136" si="67">D128</f>
        <v>1388.5</v>
      </c>
      <c r="K128" s="71">
        <f t="shared" si="67"/>
        <v>1387.2</v>
      </c>
    </row>
    <row r="129" spans="1:11" s="88" customFormat="1" ht="14.4" x14ac:dyDescent="0.3">
      <c r="A129" s="41" t="s">
        <v>16</v>
      </c>
      <c r="B129" s="65"/>
      <c r="C129" s="97"/>
      <c r="D129" s="71">
        <v>698</v>
      </c>
      <c r="E129" s="71">
        <v>694.8</v>
      </c>
      <c r="F129" s="84"/>
      <c r="G129" s="84"/>
      <c r="H129" s="84"/>
      <c r="I129" s="84"/>
      <c r="J129" s="71">
        <f t="shared" si="67"/>
        <v>698</v>
      </c>
      <c r="K129" s="71">
        <f t="shared" si="67"/>
        <v>694.8</v>
      </c>
    </row>
    <row r="130" spans="1:11" s="88" customFormat="1" ht="14.4" x14ac:dyDescent="0.3">
      <c r="A130" s="41" t="s">
        <v>17</v>
      </c>
      <c r="B130" s="65"/>
      <c r="C130" s="97"/>
      <c r="D130" s="71">
        <v>432.1</v>
      </c>
      <c r="E130" s="71">
        <v>428.6</v>
      </c>
      <c r="F130" s="71">
        <f>2300/1000</f>
        <v>2.2999999999999998</v>
      </c>
      <c r="G130" s="84"/>
      <c r="H130" s="71">
        <f>2300/1000</f>
        <v>2.2999999999999998</v>
      </c>
      <c r="I130" s="84"/>
      <c r="J130" s="71">
        <f t="shared" si="67"/>
        <v>432.1</v>
      </c>
      <c r="K130" s="71">
        <f t="shared" si="67"/>
        <v>428.6</v>
      </c>
    </row>
    <row r="131" spans="1:11" s="88" customFormat="1" ht="14.4" x14ac:dyDescent="0.3">
      <c r="A131" s="41" t="s">
        <v>18</v>
      </c>
      <c r="B131" s="65"/>
      <c r="C131" s="97"/>
      <c r="D131" s="71">
        <v>200.6</v>
      </c>
      <c r="E131" s="71">
        <v>176.7</v>
      </c>
      <c r="F131" s="84"/>
      <c r="G131" s="84"/>
      <c r="H131" s="84"/>
      <c r="I131" s="84"/>
      <c r="J131" s="71">
        <f t="shared" si="67"/>
        <v>200.6</v>
      </c>
      <c r="K131" s="71">
        <f t="shared" si="67"/>
        <v>176.7</v>
      </c>
    </row>
    <row r="132" spans="1:11" s="88" customFormat="1" ht="14.4" x14ac:dyDescent="0.3">
      <c r="A132" s="41" t="s">
        <v>56</v>
      </c>
      <c r="B132" s="65"/>
      <c r="C132" s="97"/>
      <c r="D132" s="71">
        <v>472.5</v>
      </c>
      <c r="E132" s="71">
        <v>472.4</v>
      </c>
      <c r="F132" s="84"/>
      <c r="G132" s="84"/>
      <c r="H132" s="84"/>
      <c r="I132" s="84"/>
      <c r="J132" s="71">
        <f t="shared" si="67"/>
        <v>472.5</v>
      </c>
      <c r="K132" s="71">
        <f t="shared" si="67"/>
        <v>472.4</v>
      </c>
    </row>
    <row r="133" spans="1:11" s="88" customFormat="1" ht="14.4" x14ac:dyDescent="0.3">
      <c r="A133" s="41" t="s">
        <v>57</v>
      </c>
      <c r="B133" s="65"/>
      <c r="C133" s="97"/>
      <c r="D133" s="71">
        <v>17.399999999999999</v>
      </c>
      <c r="E133" s="71">
        <v>14</v>
      </c>
      <c r="F133" s="84"/>
      <c r="G133" s="84"/>
      <c r="H133" s="84"/>
      <c r="I133" s="84"/>
      <c r="J133" s="71">
        <f t="shared" si="67"/>
        <v>17.399999999999999</v>
      </c>
      <c r="K133" s="71">
        <f t="shared" si="67"/>
        <v>14</v>
      </c>
    </row>
    <row r="134" spans="1:11" s="88" customFormat="1" ht="14.4" x14ac:dyDescent="0.3">
      <c r="A134" s="41" t="s">
        <v>58</v>
      </c>
      <c r="B134" s="65"/>
      <c r="C134" s="97"/>
      <c r="D134" s="71">
        <v>99.3</v>
      </c>
      <c r="E134" s="71">
        <v>98.2</v>
      </c>
      <c r="F134" s="84"/>
      <c r="G134" s="84"/>
      <c r="H134" s="84"/>
      <c r="I134" s="84"/>
      <c r="J134" s="71">
        <f t="shared" si="67"/>
        <v>99.3</v>
      </c>
      <c r="K134" s="71">
        <f t="shared" si="67"/>
        <v>98.2</v>
      </c>
    </row>
    <row r="135" spans="1:11" s="88" customFormat="1" ht="14.4" x14ac:dyDescent="0.3">
      <c r="A135" s="41" t="s">
        <v>59</v>
      </c>
      <c r="B135" s="65"/>
      <c r="C135" s="97"/>
      <c r="D135" s="71">
        <v>12.5</v>
      </c>
      <c r="E135" s="71">
        <v>12.2</v>
      </c>
      <c r="F135" s="84"/>
      <c r="G135" s="84"/>
      <c r="H135" s="84"/>
      <c r="I135" s="84"/>
      <c r="J135" s="71">
        <f t="shared" si="67"/>
        <v>12.5</v>
      </c>
      <c r="K135" s="71">
        <f t="shared" si="67"/>
        <v>12.2</v>
      </c>
    </row>
    <row r="136" spans="1:11" s="68" customFormat="1" ht="14.4" x14ac:dyDescent="0.3">
      <c r="A136" s="41" t="s">
        <v>21</v>
      </c>
      <c r="B136" s="70"/>
      <c r="C136" s="70"/>
      <c r="D136" s="71">
        <v>4</v>
      </c>
      <c r="E136" s="71">
        <v>4</v>
      </c>
      <c r="F136" s="71"/>
      <c r="G136" s="71"/>
      <c r="H136" s="71"/>
      <c r="I136" s="71"/>
      <c r="J136" s="71">
        <f t="shared" si="67"/>
        <v>4</v>
      </c>
      <c r="K136" s="71">
        <f t="shared" si="67"/>
        <v>4</v>
      </c>
    </row>
    <row r="137" spans="1:11" s="68" customFormat="1" ht="14.4" x14ac:dyDescent="0.3">
      <c r="A137" s="41" t="s">
        <v>22</v>
      </c>
      <c r="B137" s="70"/>
      <c r="C137" s="70"/>
      <c r="D137" s="89"/>
      <c r="E137" s="82"/>
      <c r="F137" s="82">
        <v>300</v>
      </c>
      <c r="G137" s="82">
        <v>300</v>
      </c>
      <c r="H137" s="82">
        <f>299965/1000</f>
        <v>299.96499999999997</v>
      </c>
      <c r="I137" s="82">
        <v>300</v>
      </c>
      <c r="J137" s="82">
        <f>F137</f>
        <v>300</v>
      </c>
      <c r="K137" s="82">
        <f>H137</f>
        <v>299.96499999999997</v>
      </c>
    </row>
    <row r="138" spans="1:11" s="68" customFormat="1" ht="53.4" customHeight="1" x14ac:dyDescent="0.3">
      <c r="A138" s="62" t="s">
        <v>88</v>
      </c>
      <c r="B138" s="63" t="s">
        <v>89</v>
      </c>
      <c r="C138" s="101" t="s">
        <v>90</v>
      </c>
      <c r="D138" s="74">
        <f>D139</f>
        <v>8129.3289999999997</v>
      </c>
      <c r="E138" s="74">
        <f>E139</f>
        <v>8128.8364900000006</v>
      </c>
      <c r="F138" s="74">
        <f>F140</f>
        <v>70.599999999999994</v>
      </c>
      <c r="G138" s="74">
        <f>G140</f>
        <v>70.599999999999994</v>
      </c>
      <c r="H138" s="74">
        <f t="shared" ref="H138:I138" si="68">H140</f>
        <v>70.599999999999994</v>
      </c>
      <c r="I138" s="74">
        <f t="shared" si="68"/>
        <v>70.599999999999994</v>
      </c>
      <c r="J138" s="74">
        <f>D138+G138</f>
        <v>8199.9290000000001</v>
      </c>
      <c r="K138" s="74">
        <f>E138+I138</f>
        <v>8199.43649</v>
      </c>
    </row>
    <row r="139" spans="1:11" s="68" customFormat="1" ht="14.4" x14ac:dyDescent="0.3">
      <c r="A139" s="69" t="s">
        <v>65</v>
      </c>
      <c r="B139" s="87"/>
      <c r="C139" s="70"/>
      <c r="D139" s="82">
        <f>(8199979-70650)/1000</f>
        <v>8129.3289999999997</v>
      </c>
      <c r="E139" s="82">
        <f>(8199486.49-70650)/1000</f>
        <v>8128.8364900000006</v>
      </c>
      <c r="F139" s="82"/>
      <c r="G139" s="82"/>
      <c r="H139" s="82"/>
      <c r="I139" s="82"/>
      <c r="J139" s="82">
        <f>D139+G139</f>
        <v>8129.3289999999997</v>
      </c>
      <c r="K139" s="82">
        <f>E139+I139</f>
        <v>8128.8364900000006</v>
      </c>
    </row>
    <row r="140" spans="1:11" s="68" customFormat="1" ht="14.4" x14ac:dyDescent="0.3">
      <c r="A140" s="69" t="s">
        <v>23</v>
      </c>
      <c r="B140" s="87"/>
      <c r="C140" s="70"/>
      <c r="D140" s="82"/>
      <c r="E140" s="82"/>
      <c r="F140" s="82">
        <f>G140</f>
        <v>70.599999999999994</v>
      </c>
      <c r="G140" s="82">
        <f>70.6</f>
        <v>70.599999999999994</v>
      </c>
      <c r="H140" s="82">
        <f>I140</f>
        <v>70.599999999999994</v>
      </c>
      <c r="I140" s="82">
        <f>70.6</f>
        <v>70.599999999999994</v>
      </c>
      <c r="J140" s="82">
        <f>D140+G140</f>
        <v>70.599999999999994</v>
      </c>
      <c r="K140" s="82">
        <f>E140+I140</f>
        <v>70.599999999999994</v>
      </c>
    </row>
    <row r="141" spans="1:11" s="68" customFormat="1" ht="85.2" customHeight="1" x14ac:dyDescent="0.3">
      <c r="A141" s="62" t="s">
        <v>60</v>
      </c>
      <c r="B141" s="63" t="s">
        <v>49</v>
      </c>
      <c r="C141" s="95" t="s">
        <v>61</v>
      </c>
      <c r="D141" s="74">
        <f t="shared" ref="D141:K141" si="69">SUM(D142:D151)</f>
        <v>3844.6999999999994</v>
      </c>
      <c r="E141" s="74">
        <f t="shared" si="69"/>
        <v>3804.9</v>
      </c>
      <c r="F141" s="74">
        <f t="shared" si="69"/>
        <v>3258.8</v>
      </c>
      <c r="G141" s="74">
        <f t="shared" si="69"/>
        <v>2920</v>
      </c>
      <c r="H141" s="74">
        <f t="shared" si="69"/>
        <v>2608.1999999999998</v>
      </c>
      <c r="I141" s="74">
        <f t="shared" si="69"/>
        <v>2319.8000000000002</v>
      </c>
      <c r="J141" s="74">
        <f t="shared" si="69"/>
        <v>7103.4999999999991</v>
      </c>
      <c r="K141" s="74">
        <f t="shared" si="69"/>
        <v>6413.0999999999995</v>
      </c>
    </row>
    <row r="142" spans="1:11" s="68" customFormat="1" ht="14.4" x14ac:dyDescent="0.3">
      <c r="A142" s="41" t="s">
        <v>55</v>
      </c>
      <c r="B142" s="65"/>
      <c r="C142" s="97"/>
      <c r="D142" s="82">
        <v>1783.3</v>
      </c>
      <c r="E142" s="82">
        <v>1781.8</v>
      </c>
      <c r="F142" s="82">
        <v>61</v>
      </c>
      <c r="G142" s="82"/>
      <c r="H142" s="82">
        <v>60.9</v>
      </c>
      <c r="I142" s="67"/>
      <c r="J142" s="82">
        <f>D142+F142</f>
        <v>1844.3</v>
      </c>
      <c r="K142" s="82">
        <f>E142+H142</f>
        <v>1842.7</v>
      </c>
    </row>
    <row r="143" spans="1:11" s="68" customFormat="1" ht="14.4" x14ac:dyDescent="0.3">
      <c r="A143" s="41" t="s">
        <v>15</v>
      </c>
      <c r="B143" s="65"/>
      <c r="C143" s="97"/>
      <c r="D143" s="82">
        <v>401.8</v>
      </c>
      <c r="E143" s="82">
        <v>401.8</v>
      </c>
      <c r="F143" s="82">
        <v>13.5</v>
      </c>
      <c r="G143" s="82"/>
      <c r="H143" s="82">
        <v>13.4</v>
      </c>
      <c r="I143" s="67"/>
      <c r="J143" s="82">
        <f t="shared" ref="J143:J151" si="70">D143+F143</f>
        <v>415.3</v>
      </c>
      <c r="K143" s="82">
        <f t="shared" ref="K143:K151" si="71">E143+H143</f>
        <v>415.2</v>
      </c>
    </row>
    <row r="144" spans="1:11" s="68" customFormat="1" ht="14.4" x14ac:dyDescent="0.3">
      <c r="A144" s="41" t="s">
        <v>16</v>
      </c>
      <c r="B144" s="65"/>
      <c r="C144" s="97"/>
      <c r="D144" s="82">
        <v>105.7</v>
      </c>
      <c r="E144" s="82">
        <v>105.6</v>
      </c>
      <c r="F144" s="82">
        <v>49</v>
      </c>
      <c r="G144" s="82"/>
      <c r="H144" s="82">
        <v>39.6</v>
      </c>
      <c r="I144" s="67"/>
      <c r="J144" s="82">
        <f t="shared" si="70"/>
        <v>154.69999999999999</v>
      </c>
      <c r="K144" s="82">
        <f t="shared" si="71"/>
        <v>145.19999999999999</v>
      </c>
    </row>
    <row r="145" spans="1:124" s="68" customFormat="1" ht="14.4" x14ac:dyDescent="0.3">
      <c r="A145" s="41" t="s">
        <v>17</v>
      </c>
      <c r="B145" s="65"/>
      <c r="C145" s="97"/>
      <c r="D145" s="82">
        <v>1078.3</v>
      </c>
      <c r="E145" s="82">
        <v>1075.3</v>
      </c>
      <c r="F145" s="82">
        <v>149.9</v>
      </c>
      <c r="G145" s="82"/>
      <c r="H145" s="82">
        <v>144.19999999999999</v>
      </c>
      <c r="I145" s="67"/>
      <c r="J145" s="82">
        <f t="shared" si="70"/>
        <v>1228.2</v>
      </c>
      <c r="K145" s="82">
        <f t="shared" si="71"/>
        <v>1219.5</v>
      </c>
    </row>
    <row r="146" spans="1:124" s="68" customFormat="1" ht="14.4" x14ac:dyDescent="0.3">
      <c r="A146" s="41" t="s">
        <v>18</v>
      </c>
      <c r="B146" s="65"/>
      <c r="C146" s="97"/>
      <c r="D146" s="82">
        <v>2.2000000000000002</v>
      </c>
      <c r="E146" s="82">
        <v>1.4</v>
      </c>
      <c r="F146" s="82"/>
      <c r="G146" s="82"/>
      <c r="H146" s="82"/>
      <c r="I146" s="67"/>
      <c r="J146" s="82">
        <f t="shared" si="70"/>
        <v>2.2000000000000002</v>
      </c>
      <c r="K146" s="82">
        <f t="shared" si="71"/>
        <v>1.4</v>
      </c>
    </row>
    <row r="147" spans="1:124" s="68" customFormat="1" ht="14.4" x14ac:dyDescent="0.3">
      <c r="A147" s="41" t="s">
        <v>56</v>
      </c>
      <c r="B147" s="65"/>
      <c r="C147" s="97"/>
      <c r="D147" s="82">
        <v>427</v>
      </c>
      <c r="E147" s="82">
        <v>395.1</v>
      </c>
      <c r="F147" s="82">
        <v>42.5</v>
      </c>
      <c r="G147" s="82"/>
      <c r="H147" s="82">
        <v>12.4</v>
      </c>
      <c r="I147" s="67"/>
      <c r="J147" s="82">
        <f t="shared" si="70"/>
        <v>469.5</v>
      </c>
      <c r="K147" s="82">
        <f t="shared" si="71"/>
        <v>407.5</v>
      </c>
    </row>
    <row r="148" spans="1:124" s="68" customFormat="1" ht="14.4" x14ac:dyDescent="0.3">
      <c r="A148" s="41" t="s">
        <v>57</v>
      </c>
      <c r="B148" s="65"/>
      <c r="C148" s="97"/>
      <c r="D148" s="82">
        <v>5.0999999999999996</v>
      </c>
      <c r="E148" s="82">
        <v>5</v>
      </c>
      <c r="F148" s="82">
        <v>4.3</v>
      </c>
      <c r="G148" s="82"/>
      <c r="H148" s="82">
        <v>0.7</v>
      </c>
      <c r="I148" s="67"/>
      <c r="J148" s="82">
        <f t="shared" si="70"/>
        <v>9.3999999999999986</v>
      </c>
      <c r="K148" s="82">
        <f t="shared" si="71"/>
        <v>5.7</v>
      </c>
    </row>
    <row r="149" spans="1:124" s="68" customFormat="1" ht="14.4" x14ac:dyDescent="0.3">
      <c r="A149" s="41" t="s">
        <v>58</v>
      </c>
      <c r="B149" s="65"/>
      <c r="C149" s="97"/>
      <c r="D149" s="82">
        <v>41.3</v>
      </c>
      <c r="E149" s="82">
        <v>38.9</v>
      </c>
      <c r="F149" s="82">
        <v>18.600000000000001</v>
      </c>
      <c r="G149" s="82"/>
      <c r="H149" s="82">
        <v>17.2</v>
      </c>
      <c r="I149" s="67"/>
      <c r="J149" s="82">
        <f t="shared" si="70"/>
        <v>59.9</v>
      </c>
      <c r="K149" s="82">
        <f t="shared" si="71"/>
        <v>56.099999999999994</v>
      </c>
    </row>
    <row r="150" spans="1:124" s="68" customFormat="1" ht="14.4" x14ac:dyDescent="0.3">
      <c r="A150" s="41" t="s">
        <v>22</v>
      </c>
      <c r="B150" s="70"/>
      <c r="C150" s="70"/>
      <c r="D150" s="89"/>
      <c r="E150" s="82"/>
      <c r="F150" s="82">
        <v>20</v>
      </c>
      <c r="G150" s="82">
        <v>20</v>
      </c>
      <c r="H150" s="82">
        <v>19.8</v>
      </c>
      <c r="I150" s="82">
        <f>H150</f>
        <v>19.8</v>
      </c>
      <c r="J150" s="82">
        <f t="shared" si="70"/>
        <v>20</v>
      </c>
      <c r="K150" s="82">
        <f t="shared" si="71"/>
        <v>19.8</v>
      </c>
    </row>
    <row r="151" spans="1:124" s="68" customFormat="1" ht="14.4" x14ac:dyDescent="0.3">
      <c r="A151" s="69" t="s">
        <v>62</v>
      </c>
      <c r="B151" s="70"/>
      <c r="C151" s="70"/>
      <c r="D151" s="89"/>
      <c r="E151" s="82"/>
      <c r="F151" s="82">
        <v>2900</v>
      </c>
      <c r="G151" s="82">
        <v>2900</v>
      </c>
      <c r="H151" s="82">
        <v>2300</v>
      </c>
      <c r="I151" s="82">
        <f>H151</f>
        <v>2300</v>
      </c>
      <c r="J151" s="82">
        <f t="shared" si="70"/>
        <v>2900</v>
      </c>
      <c r="K151" s="82">
        <f t="shared" si="71"/>
        <v>2300</v>
      </c>
    </row>
    <row r="152" spans="1:124" s="68" customFormat="1" ht="66" x14ac:dyDescent="0.3">
      <c r="A152" s="62" t="s">
        <v>63</v>
      </c>
      <c r="B152" s="63" t="s">
        <v>49</v>
      </c>
      <c r="C152" s="95" t="s">
        <v>64</v>
      </c>
      <c r="D152" s="74">
        <f>D153+D154+D155</f>
        <v>5700.4</v>
      </c>
      <c r="E152" s="74">
        <f>E153+E154+E155</f>
        <v>5619.9</v>
      </c>
      <c r="F152" s="74">
        <f t="shared" ref="F152:K152" si="72">F153+F154+F155</f>
        <v>23.98</v>
      </c>
      <c r="G152" s="74">
        <f t="shared" si="72"/>
        <v>23.98</v>
      </c>
      <c r="H152" s="74">
        <f t="shared" si="72"/>
        <v>23.98</v>
      </c>
      <c r="I152" s="74">
        <f t="shared" si="72"/>
        <v>23.98</v>
      </c>
      <c r="J152" s="74">
        <f t="shared" si="72"/>
        <v>5724.3799999999992</v>
      </c>
      <c r="K152" s="74">
        <f t="shared" si="72"/>
        <v>5643.8799999999992</v>
      </c>
    </row>
    <row r="153" spans="1:124" s="68" customFormat="1" ht="14.4" x14ac:dyDescent="0.3">
      <c r="A153" s="69" t="s">
        <v>65</v>
      </c>
      <c r="B153" s="90"/>
      <c r="C153" s="70"/>
      <c r="D153" s="82">
        <v>5192.8999999999996</v>
      </c>
      <c r="E153" s="82">
        <v>5112.3999999999996</v>
      </c>
      <c r="F153" s="82"/>
      <c r="G153" s="82"/>
      <c r="H153" s="82"/>
      <c r="I153" s="82"/>
      <c r="J153" s="82">
        <f>D153</f>
        <v>5192.8999999999996</v>
      </c>
      <c r="K153" s="82">
        <f>E153</f>
        <v>5112.3999999999996</v>
      </c>
    </row>
    <row r="154" spans="1:124" s="68" customFormat="1" ht="14.4" x14ac:dyDescent="0.3">
      <c r="A154" s="69" t="s">
        <v>47</v>
      </c>
      <c r="B154" s="90"/>
      <c r="C154" s="70"/>
      <c r="D154" s="82">
        <v>507.5</v>
      </c>
      <c r="E154" s="82">
        <v>507.5</v>
      </c>
      <c r="F154" s="82"/>
      <c r="G154" s="82"/>
      <c r="H154" s="82"/>
      <c r="I154" s="82"/>
      <c r="J154" s="82">
        <f>D154</f>
        <v>507.5</v>
      </c>
      <c r="K154" s="82">
        <f>E154</f>
        <v>507.5</v>
      </c>
    </row>
    <row r="155" spans="1:124" s="68" customFormat="1" ht="14.4" x14ac:dyDescent="0.3">
      <c r="A155" s="69" t="s">
        <v>23</v>
      </c>
      <c r="B155" s="90"/>
      <c r="C155" s="70"/>
      <c r="D155" s="82"/>
      <c r="E155" s="82"/>
      <c r="F155" s="82">
        <f>23980/1000</f>
        <v>23.98</v>
      </c>
      <c r="G155" s="82">
        <f>F155</f>
        <v>23.98</v>
      </c>
      <c r="H155" s="82">
        <f>23980/1000</f>
        <v>23.98</v>
      </c>
      <c r="I155" s="82">
        <f>H155</f>
        <v>23.98</v>
      </c>
      <c r="J155" s="82">
        <f>F155</f>
        <v>23.98</v>
      </c>
      <c r="K155" s="82">
        <f>H155</f>
        <v>23.98</v>
      </c>
    </row>
    <row r="156" spans="1:124" s="68" customFormat="1" ht="28.95" customHeight="1" x14ac:dyDescent="0.3">
      <c r="A156" s="62" t="s">
        <v>122</v>
      </c>
      <c r="B156" s="63" t="s">
        <v>123</v>
      </c>
      <c r="C156" s="95" t="s">
        <v>124</v>
      </c>
      <c r="D156" s="74">
        <f>D157</f>
        <v>7497</v>
      </c>
      <c r="E156" s="74">
        <f>E157</f>
        <v>7497</v>
      </c>
      <c r="F156" s="74"/>
      <c r="G156" s="74"/>
      <c r="H156" s="74"/>
      <c r="I156" s="74"/>
      <c r="J156" s="74">
        <f>J157</f>
        <v>7497</v>
      </c>
      <c r="K156" s="74">
        <f>K157</f>
        <v>7497</v>
      </c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</row>
    <row r="157" spans="1:124" s="68" customFormat="1" ht="14.4" x14ac:dyDescent="0.3">
      <c r="A157" s="76" t="s">
        <v>65</v>
      </c>
      <c r="B157" s="77"/>
      <c r="C157" s="96"/>
      <c r="D157" s="79">
        <f>7497000/1000</f>
        <v>7497</v>
      </c>
      <c r="E157" s="79">
        <f>7497000/1000</f>
        <v>7497</v>
      </c>
      <c r="F157" s="79"/>
      <c r="G157" s="79"/>
      <c r="H157" s="79"/>
      <c r="I157" s="79"/>
      <c r="J157" s="79">
        <f>D157+F157</f>
        <v>7497</v>
      </c>
      <c r="K157" s="79">
        <f>E157+H157</f>
        <v>7497</v>
      </c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</row>
    <row r="158" spans="1:124" s="68" customFormat="1" ht="42" customHeight="1" x14ac:dyDescent="0.3">
      <c r="A158" s="62" t="s">
        <v>125</v>
      </c>
      <c r="B158" s="63" t="s">
        <v>126</v>
      </c>
      <c r="C158" s="95" t="s">
        <v>127</v>
      </c>
      <c r="D158" s="74">
        <f>D159</f>
        <v>10976</v>
      </c>
      <c r="E158" s="74">
        <f>E159</f>
        <v>10976</v>
      </c>
      <c r="F158" s="74"/>
      <c r="G158" s="74"/>
      <c r="H158" s="74"/>
      <c r="I158" s="74"/>
      <c r="J158" s="74">
        <f>J159</f>
        <v>10976</v>
      </c>
      <c r="K158" s="74">
        <f>K159</f>
        <v>10976</v>
      </c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</row>
    <row r="159" spans="1:124" s="68" customFormat="1" ht="14.4" x14ac:dyDescent="0.3">
      <c r="A159" s="76" t="s">
        <v>65</v>
      </c>
      <c r="B159" s="77"/>
      <c r="C159" s="96"/>
      <c r="D159" s="79">
        <f>10976000/1000</f>
        <v>10976</v>
      </c>
      <c r="E159" s="79">
        <f>10976000/1000</f>
        <v>10976</v>
      </c>
      <c r="F159" s="79"/>
      <c r="G159" s="79"/>
      <c r="H159" s="79"/>
      <c r="I159" s="79"/>
      <c r="J159" s="79">
        <f>D159+F159</f>
        <v>10976</v>
      </c>
      <c r="K159" s="79">
        <f>E159+H159</f>
        <v>10976</v>
      </c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</row>
    <row r="160" spans="1:124" s="68" customFormat="1" ht="28.95" customHeight="1" x14ac:dyDescent="0.3">
      <c r="A160" s="62" t="s">
        <v>128</v>
      </c>
      <c r="B160" s="63" t="s">
        <v>129</v>
      </c>
      <c r="C160" s="95" t="s">
        <v>130</v>
      </c>
      <c r="D160" s="74">
        <f>D161</f>
        <v>199.8</v>
      </c>
      <c r="E160" s="74">
        <f>E161</f>
        <v>199.8</v>
      </c>
      <c r="F160" s="74"/>
      <c r="G160" s="74"/>
      <c r="H160" s="74"/>
      <c r="I160" s="74"/>
      <c r="J160" s="74">
        <f>J161</f>
        <v>199.8</v>
      </c>
      <c r="K160" s="74">
        <f>K161</f>
        <v>199.8</v>
      </c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</row>
    <row r="161" spans="1:124" s="68" customFormat="1" ht="14.4" x14ac:dyDescent="0.3">
      <c r="A161" s="76" t="s">
        <v>17</v>
      </c>
      <c r="B161" s="77"/>
      <c r="C161" s="98"/>
      <c r="D161" s="79">
        <f>199800/1000</f>
        <v>199.8</v>
      </c>
      <c r="E161" s="78">
        <f>199800/1000</f>
        <v>199.8</v>
      </c>
      <c r="F161" s="79"/>
      <c r="G161" s="79"/>
      <c r="H161" s="79"/>
      <c r="I161" s="79"/>
      <c r="J161" s="79">
        <f>D161+F161</f>
        <v>199.8</v>
      </c>
      <c r="K161" s="79">
        <f>E161+H161</f>
        <v>199.8</v>
      </c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</row>
    <row r="162" spans="1:124" s="68" customFormat="1" ht="45" customHeight="1" x14ac:dyDescent="0.3">
      <c r="A162" s="62" t="s">
        <v>102</v>
      </c>
      <c r="B162" s="63" t="s">
        <v>154</v>
      </c>
      <c r="C162" s="95" t="s">
        <v>155</v>
      </c>
      <c r="D162" s="74">
        <f>D163+D164+D165+D166</f>
        <v>7804.08</v>
      </c>
      <c r="E162" s="74">
        <f t="shared" ref="E162:K162" si="73">E163+E164+E165+E166</f>
        <v>7509.07971</v>
      </c>
      <c r="F162" s="74">
        <f t="shared" si="73"/>
        <v>8501</v>
      </c>
      <c r="G162" s="74">
        <f>G163+G164+G165+G166</f>
        <v>8501</v>
      </c>
      <c r="H162" s="74">
        <f t="shared" si="73"/>
        <v>8464.0619999999999</v>
      </c>
      <c r="I162" s="80">
        <f t="shared" si="73"/>
        <v>8464.0619999999999</v>
      </c>
      <c r="J162" s="74">
        <f t="shared" si="73"/>
        <v>16305.08</v>
      </c>
      <c r="K162" s="74">
        <f t="shared" si="73"/>
        <v>15973.14171</v>
      </c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</row>
    <row r="163" spans="1:124" s="7" customFormat="1" ht="14.4" x14ac:dyDescent="0.3">
      <c r="A163" s="23" t="s">
        <v>16</v>
      </c>
      <c r="B163" s="29"/>
      <c r="C163" s="60"/>
      <c r="D163" s="42">
        <v>1285</v>
      </c>
      <c r="E163" s="42">
        <v>1263.018</v>
      </c>
      <c r="F163" s="61"/>
      <c r="G163" s="61"/>
      <c r="H163" s="61"/>
      <c r="I163" s="61"/>
      <c r="J163" s="32">
        <f t="shared" ref="J163:J166" si="74">D163+F163</f>
        <v>1285</v>
      </c>
      <c r="K163" s="32">
        <f t="shared" ref="K163:K166" si="75">E163+H163</f>
        <v>1263.018</v>
      </c>
    </row>
    <row r="164" spans="1:124" s="7" customFormat="1" ht="14.4" x14ac:dyDescent="0.3">
      <c r="A164" s="23" t="s">
        <v>17</v>
      </c>
      <c r="B164" s="24"/>
      <c r="C164" s="24"/>
      <c r="D164" s="42">
        <v>6519.08</v>
      </c>
      <c r="E164" s="42">
        <v>6246.0617099999999</v>
      </c>
      <c r="F164" s="42"/>
      <c r="G164" s="42"/>
      <c r="H164" s="42"/>
      <c r="I164" s="42"/>
      <c r="J164" s="32">
        <f t="shared" si="74"/>
        <v>6519.08</v>
      </c>
      <c r="K164" s="32">
        <f t="shared" si="75"/>
        <v>6246.0617099999999</v>
      </c>
    </row>
    <row r="165" spans="1:124" s="7" customFormat="1" ht="14.4" x14ac:dyDescent="0.3">
      <c r="A165" s="23" t="s">
        <v>22</v>
      </c>
      <c r="B165" s="24"/>
      <c r="C165" s="24"/>
      <c r="D165" s="42"/>
      <c r="E165" s="42"/>
      <c r="F165" s="42">
        <v>8351</v>
      </c>
      <c r="G165" s="42">
        <f>F165</f>
        <v>8351</v>
      </c>
      <c r="H165" s="42">
        <v>8328.15</v>
      </c>
      <c r="I165" s="42">
        <f>H165</f>
        <v>8328.15</v>
      </c>
      <c r="J165" s="32">
        <f t="shared" si="74"/>
        <v>8351</v>
      </c>
      <c r="K165" s="32">
        <f t="shared" si="75"/>
        <v>8328.15</v>
      </c>
    </row>
    <row r="166" spans="1:124" s="7" customFormat="1" ht="14.4" x14ac:dyDescent="0.3">
      <c r="A166" s="23" t="s">
        <v>62</v>
      </c>
      <c r="B166" s="24"/>
      <c r="C166" s="24"/>
      <c r="D166" s="42"/>
      <c r="E166" s="42"/>
      <c r="F166" s="42">
        <v>150</v>
      </c>
      <c r="G166" s="42">
        <f>F166</f>
        <v>150</v>
      </c>
      <c r="H166" s="42">
        <v>135.91200000000001</v>
      </c>
      <c r="I166" s="42">
        <f>H166</f>
        <v>135.91200000000001</v>
      </c>
      <c r="J166" s="32">
        <f t="shared" si="74"/>
        <v>150</v>
      </c>
      <c r="K166" s="32">
        <f t="shared" si="75"/>
        <v>135.91200000000001</v>
      </c>
    </row>
    <row r="167" spans="1:124" s="68" customFormat="1" ht="31.95" customHeight="1" x14ac:dyDescent="0.3">
      <c r="A167" s="62" t="s">
        <v>93</v>
      </c>
      <c r="B167" s="63" t="s">
        <v>131</v>
      </c>
      <c r="C167" s="95" t="s">
        <v>132</v>
      </c>
      <c r="D167" s="80">
        <f t="shared" ref="D167:I167" si="76">SUM(D168:D179)-D173</f>
        <v>88</v>
      </c>
      <c r="E167" s="80">
        <f t="shared" si="76"/>
        <v>85.093620000000001</v>
      </c>
      <c r="F167" s="80">
        <f t="shared" si="76"/>
        <v>16.8</v>
      </c>
      <c r="G167" s="80">
        <f t="shared" si="76"/>
        <v>16.8</v>
      </c>
      <c r="H167" s="80">
        <f t="shared" si="76"/>
        <v>16.8</v>
      </c>
      <c r="I167" s="80">
        <f t="shared" si="76"/>
        <v>16.8</v>
      </c>
      <c r="J167" s="80">
        <f t="shared" ref="J167:J169" si="77">D167+F167</f>
        <v>104.8</v>
      </c>
      <c r="K167" s="80">
        <f>E167+H167</f>
        <v>101.89362</v>
      </c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</row>
    <row r="168" spans="1:124" s="68" customFormat="1" ht="14.4" hidden="1" x14ac:dyDescent="0.3">
      <c r="A168" s="76" t="s">
        <v>14</v>
      </c>
      <c r="B168" s="77"/>
      <c r="C168" s="96"/>
      <c r="D168" s="79"/>
      <c r="E168" s="78"/>
      <c r="F168" s="79"/>
      <c r="G168" s="79"/>
      <c r="H168" s="79"/>
      <c r="I168" s="79"/>
      <c r="J168" s="79">
        <f t="shared" si="77"/>
        <v>0</v>
      </c>
      <c r="K168" s="79">
        <f t="shared" ref="K168:K169" si="78">E168+H168</f>
        <v>0</v>
      </c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</row>
    <row r="169" spans="1:124" s="68" customFormat="1" ht="14.4" hidden="1" x14ac:dyDescent="0.3">
      <c r="A169" s="76" t="s">
        <v>15</v>
      </c>
      <c r="B169" s="77"/>
      <c r="C169" s="96"/>
      <c r="D169" s="79"/>
      <c r="E169" s="79"/>
      <c r="F169" s="79"/>
      <c r="G169" s="79"/>
      <c r="H169" s="79"/>
      <c r="I169" s="79"/>
      <c r="J169" s="79">
        <f t="shared" si="77"/>
        <v>0</v>
      </c>
      <c r="K169" s="79">
        <f t="shared" si="78"/>
        <v>0</v>
      </c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</row>
    <row r="170" spans="1:124" s="68" customFormat="1" ht="14.4" x14ac:dyDescent="0.3">
      <c r="A170" s="76" t="s">
        <v>16</v>
      </c>
      <c r="B170" s="77"/>
      <c r="C170" s="96"/>
      <c r="D170" s="79">
        <f>66200/1000</f>
        <v>66.2</v>
      </c>
      <c r="E170" s="79">
        <f>63293.62/1000</f>
        <v>63.293620000000004</v>
      </c>
      <c r="F170" s="79"/>
      <c r="G170" s="79"/>
      <c r="H170" s="79"/>
      <c r="I170" s="79"/>
      <c r="J170" s="79">
        <f>D170+F170</f>
        <v>66.2</v>
      </c>
      <c r="K170" s="79">
        <f>E170+H170</f>
        <v>63.293620000000004</v>
      </c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</row>
    <row r="171" spans="1:124" s="68" customFormat="1" ht="14.4" x14ac:dyDescent="0.3">
      <c r="A171" s="76" t="s">
        <v>17</v>
      </c>
      <c r="B171" s="77"/>
      <c r="C171" s="96"/>
      <c r="D171" s="79">
        <f>21800/1000</f>
        <v>21.8</v>
      </c>
      <c r="E171" s="79">
        <f>21800/1000</f>
        <v>21.8</v>
      </c>
      <c r="F171" s="79"/>
      <c r="G171" s="79"/>
      <c r="H171" s="79"/>
      <c r="I171" s="79"/>
      <c r="J171" s="79">
        <f t="shared" ref="J171:J172" si="79">D171+F171</f>
        <v>21.8</v>
      </c>
      <c r="K171" s="79">
        <f t="shared" ref="K171:K172" si="80">E171+H171</f>
        <v>21.8</v>
      </c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</row>
    <row r="172" spans="1:124" s="68" customFormat="1" ht="14.4" hidden="1" x14ac:dyDescent="0.3">
      <c r="A172" s="76" t="s">
        <v>18</v>
      </c>
      <c r="B172" s="77"/>
      <c r="C172" s="96"/>
      <c r="D172" s="79"/>
      <c r="E172" s="79"/>
      <c r="F172" s="79"/>
      <c r="G172" s="79"/>
      <c r="H172" s="79"/>
      <c r="I172" s="79"/>
      <c r="J172" s="79">
        <f t="shared" si="79"/>
        <v>0</v>
      </c>
      <c r="K172" s="79">
        <f t="shared" si="80"/>
        <v>0</v>
      </c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</row>
    <row r="173" spans="1:124" s="68" customFormat="1" ht="14.4" hidden="1" x14ac:dyDescent="0.3">
      <c r="A173" s="76" t="s">
        <v>19</v>
      </c>
      <c r="B173" s="77"/>
      <c r="C173" s="96"/>
      <c r="D173" s="79">
        <f>SUM(D174:D176)</f>
        <v>0</v>
      </c>
      <c r="E173" s="79">
        <f>SUM(E174:E176)</f>
        <v>0</v>
      </c>
      <c r="F173" s="79"/>
      <c r="G173" s="79"/>
      <c r="H173" s="79"/>
      <c r="I173" s="79"/>
      <c r="J173" s="79">
        <f>D173+F173</f>
        <v>0</v>
      </c>
      <c r="K173" s="79">
        <f>E173+H173</f>
        <v>0</v>
      </c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</row>
    <row r="174" spans="1:124" s="68" customFormat="1" ht="14.4" hidden="1" x14ac:dyDescent="0.3">
      <c r="A174" s="76" t="s">
        <v>56</v>
      </c>
      <c r="B174" s="77"/>
      <c r="C174" s="96"/>
      <c r="D174" s="79"/>
      <c r="E174" s="79"/>
      <c r="F174" s="79"/>
      <c r="G174" s="79"/>
      <c r="H174" s="79"/>
      <c r="I174" s="79"/>
      <c r="J174" s="79">
        <f t="shared" ref="J174:J175" si="81">D174+F174</f>
        <v>0</v>
      </c>
      <c r="K174" s="79">
        <f t="shared" ref="K174:K175" si="82">E174+H174</f>
        <v>0</v>
      </c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</row>
    <row r="175" spans="1:124" s="68" customFormat="1" ht="14.4" hidden="1" x14ac:dyDescent="0.3">
      <c r="A175" s="76" t="s">
        <v>57</v>
      </c>
      <c r="B175" s="77"/>
      <c r="C175" s="96"/>
      <c r="D175" s="79"/>
      <c r="E175" s="79"/>
      <c r="F175" s="79"/>
      <c r="G175" s="79"/>
      <c r="H175" s="79"/>
      <c r="I175" s="79"/>
      <c r="J175" s="79">
        <f t="shared" si="81"/>
        <v>0</v>
      </c>
      <c r="K175" s="79">
        <f t="shared" si="82"/>
        <v>0</v>
      </c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</row>
    <row r="176" spans="1:124" s="68" customFormat="1" ht="14.4" hidden="1" x14ac:dyDescent="0.3">
      <c r="A176" s="76" t="s">
        <v>58</v>
      </c>
      <c r="B176" s="77"/>
      <c r="C176" s="96"/>
      <c r="D176" s="79"/>
      <c r="E176" s="79"/>
      <c r="F176" s="79"/>
      <c r="G176" s="79"/>
      <c r="H176" s="79"/>
      <c r="I176" s="79"/>
      <c r="J176" s="79">
        <f>D176+F176</f>
        <v>0</v>
      </c>
      <c r="K176" s="79">
        <f>E176+H176</f>
        <v>0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</row>
    <row r="177" spans="1:124" s="68" customFormat="1" ht="14.4" hidden="1" x14ac:dyDescent="0.3">
      <c r="A177" s="76" t="s">
        <v>47</v>
      </c>
      <c r="B177" s="77"/>
      <c r="C177" s="96"/>
      <c r="D177" s="79"/>
      <c r="E177" s="79"/>
      <c r="F177" s="79"/>
      <c r="G177" s="79"/>
      <c r="H177" s="79"/>
      <c r="I177" s="79"/>
      <c r="J177" s="79">
        <f t="shared" ref="J177" si="83">D177+F177</f>
        <v>0</v>
      </c>
      <c r="K177" s="79">
        <f t="shared" ref="K177" si="84">E177+H177</f>
        <v>0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</row>
    <row r="178" spans="1:124" s="68" customFormat="1" ht="14.4" hidden="1" x14ac:dyDescent="0.3">
      <c r="A178" s="76" t="s">
        <v>21</v>
      </c>
      <c r="B178" s="77"/>
      <c r="C178" s="96"/>
      <c r="D178" s="79"/>
      <c r="E178" s="79"/>
      <c r="F178" s="79"/>
      <c r="G178" s="79"/>
      <c r="H178" s="79"/>
      <c r="I178" s="79"/>
      <c r="J178" s="79">
        <f>D178+F178</f>
        <v>0</v>
      </c>
      <c r="K178" s="79">
        <f>E178+H178</f>
        <v>0</v>
      </c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</row>
    <row r="179" spans="1:124" s="68" customFormat="1" ht="14.4" x14ac:dyDescent="0.3">
      <c r="A179" s="76" t="s">
        <v>22</v>
      </c>
      <c r="B179" s="77"/>
      <c r="C179" s="96"/>
      <c r="D179" s="81"/>
      <c r="E179" s="78"/>
      <c r="F179" s="79">
        <f>16800/1000</f>
        <v>16.8</v>
      </c>
      <c r="G179" s="79">
        <f>F179</f>
        <v>16.8</v>
      </c>
      <c r="H179" s="79">
        <f>16800/1000</f>
        <v>16.8</v>
      </c>
      <c r="I179" s="79">
        <f>H179</f>
        <v>16.8</v>
      </c>
      <c r="J179" s="79">
        <f t="shared" ref="J179:J185" si="85">D179+F179</f>
        <v>16.8</v>
      </c>
      <c r="K179" s="79">
        <f t="shared" ref="K179" si="86">E179+H179</f>
        <v>16.8</v>
      </c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</row>
    <row r="180" spans="1:124" s="7" customFormat="1" ht="14.4" x14ac:dyDescent="0.3">
      <c r="A180" s="28" t="s">
        <v>156</v>
      </c>
      <c r="B180" s="29" t="s">
        <v>157</v>
      </c>
      <c r="C180" s="60" t="s">
        <v>158</v>
      </c>
      <c r="D180" s="61">
        <f>D181+D182</f>
        <v>120.27500000000001</v>
      </c>
      <c r="E180" s="61">
        <f t="shared" ref="E180:K180" si="87">E181+E182</f>
        <v>120.2685</v>
      </c>
      <c r="F180" s="80"/>
      <c r="G180" s="80"/>
      <c r="H180" s="80"/>
      <c r="I180" s="80"/>
      <c r="J180" s="61">
        <f t="shared" si="87"/>
        <v>120.27500000000001</v>
      </c>
      <c r="K180" s="61">
        <f t="shared" si="87"/>
        <v>120.2685</v>
      </c>
    </row>
    <row r="181" spans="1:124" s="7" customFormat="1" ht="14.4" x14ac:dyDescent="0.3">
      <c r="A181" s="23" t="s">
        <v>16</v>
      </c>
      <c r="B181" s="24"/>
      <c r="C181" s="24"/>
      <c r="D181" s="42">
        <v>65.266000000000005</v>
      </c>
      <c r="E181" s="42">
        <v>65.266000000000005</v>
      </c>
      <c r="F181" s="42"/>
      <c r="G181" s="42"/>
      <c r="H181" s="42"/>
      <c r="I181" s="42"/>
      <c r="J181" s="32">
        <f t="shared" ref="J181:J182" si="88">D181+F181</f>
        <v>65.266000000000005</v>
      </c>
      <c r="K181" s="32">
        <f t="shared" ref="K181:K182" si="89">E181+H181</f>
        <v>65.266000000000005</v>
      </c>
    </row>
    <row r="182" spans="1:124" s="7" customFormat="1" ht="14.4" x14ac:dyDescent="0.3">
      <c r="A182" s="23" t="s">
        <v>17</v>
      </c>
      <c r="B182" s="29"/>
      <c r="C182" s="60"/>
      <c r="D182" s="42">
        <v>55.009</v>
      </c>
      <c r="E182" s="42">
        <v>55.002499999999998</v>
      </c>
      <c r="F182" s="61"/>
      <c r="G182" s="61"/>
      <c r="H182" s="61"/>
      <c r="I182" s="61"/>
      <c r="J182" s="32">
        <f t="shared" si="88"/>
        <v>55.009</v>
      </c>
      <c r="K182" s="32">
        <f t="shared" si="89"/>
        <v>55.002499999999998</v>
      </c>
    </row>
    <row r="183" spans="1:124" s="68" customFormat="1" ht="49.2" customHeight="1" x14ac:dyDescent="0.3">
      <c r="A183" s="62" t="s">
        <v>133</v>
      </c>
      <c r="B183" s="63" t="s">
        <v>134</v>
      </c>
      <c r="C183" s="95" t="s">
        <v>135</v>
      </c>
      <c r="D183" s="80">
        <f t="shared" ref="D183:I183" si="90">SUM(D184:D195)-D189</f>
        <v>0</v>
      </c>
      <c r="E183" s="80">
        <f t="shared" si="90"/>
        <v>0</v>
      </c>
      <c r="F183" s="80">
        <f t="shared" si="90"/>
        <v>28860</v>
      </c>
      <c r="G183" s="80">
        <f t="shared" si="90"/>
        <v>28860</v>
      </c>
      <c r="H183" s="80">
        <f t="shared" si="90"/>
        <v>28860</v>
      </c>
      <c r="I183" s="80">
        <f t="shared" si="90"/>
        <v>28860</v>
      </c>
      <c r="J183" s="80">
        <f t="shared" si="85"/>
        <v>28860</v>
      </c>
      <c r="K183" s="80">
        <f>E183+H183</f>
        <v>28860</v>
      </c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</row>
    <row r="184" spans="1:124" s="68" customFormat="1" ht="14.4" hidden="1" x14ac:dyDescent="0.3">
      <c r="A184" s="76" t="s">
        <v>14</v>
      </c>
      <c r="B184" s="77"/>
      <c r="C184" s="96"/>
      <c r="D184" s="79"/>
      <c r="E184" s="78"/>
      <c r="F184" s="79"/>
      <c r="G184" s="79"/>
      <c r="H184" s="79"/>
      <c r="I184" s="79"/>
      <c r="J184" s="79">
        <f t="shared" si="85"/>
        <v>0</v>
      </c>
      <c r="K184" s="79">
        <f t="shared" ref="K184:K185" si="91">E184+H184</f>
        <v>0</v>
      </c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</row>
    <row r="185" spans="1:124" s="68" customFormat="1" ht="14.4" hidden="1" x14ac:dyDescent="0.3">
      <c r="A185" s="76" t="s">
        <v>15</v>
      </c>
      <c r="B185" s="77"/>
      <c r="C185" s="96"/>
      <c r="D185" s="79"/>
      <c r="E185" s="79"/>
      <c r="F185" s="79"/>
      <c r="G185" s="79"/>
      <c r="H185" s="79"/>
      <c r="I185" s="79"/>
      <c r="J185" s="79">
        <f t="shared" si="85"/>
        <v>0</v>
      </c>
      <c r="K185" s="79">
        <f t="shared" si="91"/>
        <v>0</v>
      </c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</row>
    <row r="186" spans="1:124" s="68" customFormat="1" ht="14.4" hidden="1" x14ac:dyDescent="0.3">
      <c r="A186" s="76" t="s">
        <v>16</v>
      </c>
      <c r="B186" s="77"/>
      <c r="C186" s="96"/>
      <c r="D186" s="79"/>
      <c r="E186" s="79"/>
      <c r="F186" s="79"/>
      <c r="G186" s="79"/>
      <c r="H186" s="79"/>
      <c r="I186" s="79"/>
      <c r="J186" s="79">
        <f>D186+F186</f>
        <v>0</v>
      </c>
      <c r="K186" s="79">
        <f>E186+H186</f>
        <v>0</v>
      </c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</row>
    <row r="187" spans="1:124" s="68" customFormat="1" ht="14.4" hidden="1" x14ac:dyDescent="0.3">
      <c r="A187" s="76" t="s">
        <v>17</v>
      </c>
      <c r="B187" s="77"/>
      <c r="C187" s="96"/>
      <c r="D187" s="79"/>
      <c r="E187" s="79"/>
      <c r="F187" s="79"/>
      <c r="G187" s="79"/>
      <c r="H187" s="79"/>
      <c r="I187" s="79"/>
      <c r="J187" s="79">
        <f t="shared" ref="J187:J188" si="92">D187+F187</f>
        <v>0</v>
      </c>
      <c r="K187" s="79">
        <f t="shared" ref="K187:K188" si="93">E187+H187</f>
        <v>0</v>
      </c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</row>
    <row r="188" spans="1:124" s="68" customFormat="1" ht="14.4" hidden="1" x14ac:dyDescent="0.3">
      <c r="A188" s="76" t="s">
        <v>18</v>
      </c>
      <c r="B188" s="77"/>
      <c r="C188" s="96"/>
      <c r="D188" s="79"/>
      <c r="E188" s="79"/>
      <c r="F188" s="79"/>
      <c r="G188" s="79"/>
      <c r="H188" s="79"/>
      <c r="I188" s="79"/>
      <c r="J188" s="79">
        <f t="shared" si="92"/>
        <v>0</v>
      </c>
      <c r="K188" s="79">
        <f t="shared" si="93"/>
        <v>0</v>
      </c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</row>
    <row r="189" spans="1:124" s="68" customFormat="1" ht="14.4" hidden="1" x14ac:dyDescent="0.3">
      <c r="A189" s="76" t="s">
        <v>19</v>
      </c>
      <c r="B189" s="77"/>
      <c r="C189" s="96"/>
      <c r="D189" s="79">
        <f>SUM(D190:D192)</f>
        <v>0</v>
      </c>
      <c r="E189" s="79">
        <f>SUM(E190:E192)</f>
        <v>0</v>
      </c>
      <c r="F189" s="79"/>
      <c r="G189" s="79"/>
      <c r="H189" s="79"/>
      <c r="I189" s="79"/>
      <c r="J189" s="79">
        <f>D189+F189</f>
        <v>0</v>
      </c>
      <c r="K189" s="79">
        <f>E189+H189</f>
        <v>0</v>
      </c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</row>
    <row r="190" spans="1:124" s="68" customFormat="1" ht="14.4" hidden="1" x14ac:dyDescent="0.3">
      <c r="A190" s="76" t="s">
        <v>56</v>
      </c>
      <c r="B190" s="77"/>
      <c r="C190" s="96"/>
      <c r="D190" s="79"/>
      <c r="E190" s="79"/>
      <c r="F190" s="79"/>
      <c r="G190" s="79"/>
      <c r="H190" s="79"/>
      <c r="I190" s="79"/>
      <c r="J190" s="79">
        <f t="shared" ref="J190:J191" si="94">D190+F190</f>
        <v>0</v>
      </c>
      <c r="K190" s="79">
        <f t="shared" ref="K190:K191" si="95">E190+H190</f>
        <v>0</v>
      </c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</row>
    <row r="191" spans="1:124" s="68" customFormat="1" ht="14.4" hidden="1" x14ac:dyDescent="0.3">
      <c r="A191" s="76" t="s">
        <v>57</v>
      </c>
      <c r="B191" s="77"/>
      <c r="C191" s="96"/>
      <c r="D191" s="79"/>
      <c r="E191" s="79"/>
      <c r="F191" s="79"/>
      <c r="G191" s="79"/>
      <c r="H191" s="79"/>
      <c r="I191" s="79"/>
      <c r="J191" s="79">
        <f t="shared" si="94"/>
        <v>0</v>
      </c>
      <c r="K191" s="79">
        <f t="shared" si="95"/>
        <v>0</v>
      </c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</row>
    <row r="192" spans="1:124" s="68" customFormat="1" ht="14.4" hidden="1" x14ac:dyDescent="0.3">
      <c r="A192" s="76" t="s">
        <v>58</v>
      </c>
      <c r="B192" s="77"/>
      <c r="C192" s="96"/>
      <c r="D192" s="79"/>
      <c r="E192" s="79"/>
      <c r="F192" s="79"/>
      <c r="G192" s="79"/>
      <c r="H192" s="79"/>
      <c r="I192" s="79"/>
      <c r="J192" s="79">
        <f>D192+F192</f>
        <v>0</v>
      </c>
      <c r="K192" s="79">
        <f>E192+H192</f>
        <v>0</v>
      </c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</row>
    <row r="193" spans="1:124" s="68" customFormat="1" ht="14.4" hidden="1" x14ac:dyDescent="0.3">
      <c r="A193" s="76" t="s">
        <v>47</v>
      </c>
      <c r="B193" s="77"/>
      <c r="C193" s="96"/>
      <c r="D193" s="79"/>
      <c r="E193" s="79"/>
      <c r="F193" s="79"/>
      <c r="G193" s="79"/>
      <c r="H193" s="79"/>
      <c r="I193" s="79"/>
      <c r="J193" s="79">
        <f t="shared" ref="J193" si="96">D193+F193</f>
        <v>0</v>
      </c>
      <c r="K193" s="79">
        <f t="shared" ref="K193" si="97">E193+H193</f>
        <v>0</v>
      </c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</row>
    <row r="194" spans="1:124" s="68" customFormat="1" ht="14.4" hidden="1" x14ac:dyDescent="0.3">
      <c r="A194" s="76" t="s">
        <v>21</v>
      </c>
      <c r="B194" s="77"/>
      <c r="C194" s="96"/>
      <c r="D194" s="79"/>
      <c r="E194" s="79"/>
      <c r="F194" s="79"/>
      <c r="G194" s="79"/>
      <c r="H194" s="79"/>
      <c r="I194" s="79"/>
      <c r="J194" s="79">
        <f>D194+F194</f>
        <v>0</v>
      </c>
      <c r="K194" s="79">
        <f>E194+H194</f>
        <v>0</v>
      </c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</row>
    <row r="195" spans="1:124" s="68" customFormat="1" ht="14.4" x14ac:dyDescent="0.3">
      <c r="A195" s="76" t="s">
        <v>23</v>
      </c>
      <c r="B195" s="77"/>
      <c r="C195" s="96"/>
      <c r="D195" s="81"/>
      <c r="E195" s="78"/>
      <c r="F195" s="79">
        <f>28860000/1000</f>
        <v>28860</v>
      </c>
      <c r="G195" s="79">
        <f>F195</f>
        <v>28860</v>
      </c>
      <c r="H195" s="79">
        <f>28860000/1000</f>
        <v>28860</v>
      </c>
      <c r="I195" s="79">
        <f>H195</f>
        <v>28860</v>
      </c>
      <c r="J195" s="79">
        <f>D195+F195</f>
        <v>28860</v>
      </c>
      <c r="K195" s="79">
        <f t="shared" ref="K195" si="98">E195+H195</f>
        <v>28860</v>
      </c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</row>
    <row r="196" spans="1:124" s="68" customFormat="1" ht="49.2" customHeight="1" x14ac:dyDescent="0.3">
      <c r="A196" s="62" t="s">
        <v>159</v>
      </c>
      <c r="B196" s="63" t="s">
        <v>134</v>
      </c>
      <c r="C196" s="95" t="s">
        <v>166</v>
      </c>
      <c r="D196" s="80">
        <f>D197</f>
        <v>209.333</v>
      </c>
      <c r="E196" s="80">
        <f t="shared" ref="E196:K196" si="99">E197</f>
        <v>209.333</v>
      </c>
      <c r="F196" s="80"/>
      <c r="G196" s="80"/>
      <c r="H196" s="80"/>
      <c r="I196" s="80"/>
      <c r="J196" s="80">
        <f t="shared" si="99"/>
        <v>209.333</v>
      </c>
      <c r="K196" s="80">
        <f t="shared" si="99"/>
        <v>209.333</v>
      </c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</row>
    <row r="197" spans="1:124" s="7" customFormat="1" ht="14.4" x14ac:dyDescent="0.3">
      <c r="A197" s="23" t="s">
        <v>21</v>
      </c>
      <c r="B197" s="29"/>
      <c r="C197" s="60"/>
      <c r="D197" s="42">
        <v>209.333</v>
      </c>
      <c r="E197" s="42">
        <v>209.333</v>
      </c>
      <c r="F197" s="61"/>
      <c r="G197" s="61"/>
      <c r="H197" s="61"/>
      <c r="I197" s="61"/>
      <c r="J197" s="32">
        <f t="shared" ref="J197" si="100">D197+F197</f>
        <v>209.333</v>
      </c>
      <c r="K197" s="32">
        <f t="shared" ref="K197" si="101">E197+H197</f>
        <v>209.333</v>
      </c>
    </row>
    <row r="198" spans="1:124" s="68" customFormat="1" ht="171" customHeight="1" x14ac:dyDescent="0.3">
      <c r="A198" s="62" t="s">
        <v>160</v>
      </c>
      <c r="B198" s="63" t="s">
        <v>134</v>
      </c>
      <c r="C198" s="99" t="s">
        <v>167</v>
      </c>
      <c r="D198" s="80"/>
      <c r="E198" s="80"/>
      <c r="F198" s="80">
        <f>F200+F201</f>
        <v>74.814480000000003</v>
      </c>
      <c r="G198" s="80">
        <f t="shared" ref="G198:K198" si="102">G200+G201</f>
        <v>0</v>
      </c>
      <c r="H198" s="80">
        <f t="shared" si="102"/>
        <v>74.438320000000004</v>
      </c>
      <c r="I198" s="80">
        <f t="shared" si="102"/>
        <v>0</v>
      </c>
      <c r="J198" s="80">
        <f t="shared" si="102"/>
        <v>74.814480000000003</v>
      </c>
      <c r="K198" s="80">
        <f t="shared" si="102"/>
        <v>74.438320000000004</v>
      </c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</row>
    <row r="199" spans="1:124" s="7" customFormat="1" ht="14.4" hidden="1" x14ac:dyDescent="0.3">
      <c r="A199" s="23" t="s">
        <v>23</v>
      </c>
      <c r="B199" s="59"/>
      <c r="C199" s="60"/>
      <c r="D199" s="42"/>
      <c r="E199" s="42"/>
      <c r="F199" s="42">
        <v>17173</v>
      </c>
      <c r="G199" s="42"/>
      <c r="H199" s="42">
        <v>17173</v>
      </c>
      <c r="I199" s="42"/>
      <c r="J199" s="42">
        <f>D199+F199</f>
        <v>17173</v>
      </c>
      <c r="K199" s="42">
        <f>E199+H199</f>
        <v>17173</v>
      </c>
    </row>
    <row r="200" spans="1:124" s="7" customFormat="1" ht="14.4" x14ac:dyDescent="0.3">
      <c r="A200" s="23" t="s">
        <v>16</v>
      </c>
      <c r="B200" s="24"/>
      <c r="C200" s="24"/>
      <c r="D200" s="42"/>
      <c r="E200" s="42"/>
      <c r="F200" s="42">
        <v>38.720480000000002</v>
      </c>
      <c r="G200" s="42"/>
      <c r="H200" s="42">
        <v>38.34496</v>
      </c>
      <c r="I200" s="42"/>
      <c r="J200" s="32">
        <f t="shared" ref="J200:J201" si="103">D200+F200</f>
        <v>38.720480000000002</v>
      </c>
      <c r="K200" s="32">
        <f t="shared" ref="K200:K201" si="104">E200+H200</f>
        <v>38.34496</v>
      </c>
    </row>
    <row r="201" spans="1:124" s="7" customFormat="1" ht="14.4" x14ac:dyDescent="0.3">
      <c r="A201" s="23" t="s">
        <v>17</v>
      </c>
      <c r="B201" s="24"/>
      <c r="C201" s="24"/>
      <c r="D201" s="42"/>
      <c r="E201" s="42"/>
      <c r="F201" s="42">
        <v>36.094000000000001</v>
      </c>
      <c r="G201" s="42"/>
      <c r="H201" s="42">
        <v>36.093359999999997</v>
      </c>
      <c r="I201" s="42"/>
      <c r="J201" s="32">
        <f t="shared" si="103"/>
        <v>36.094000000000001</v>
      </c>
      <c r="K201" s="32">
        <f t="shared" si="104"/>
        <v>36.093359999999997</v>
      </c>
    </row>
    <row r="202" spans="1:124" s="68" customFormat="1" ht="33" customHeight="1" x14ac:dyDescent="0.3">
      <c r="A202" s="62" t="s">
        <v>161</v>
      </c>
      <c r="B202" s="63" t="s">
        <v>134</v>
      </c>
      <c r="C202" s="95" t="s">
        <v>162</v>
      </c>
      <c r="D202" s="80">
        <f>D203+D204+D205+D206</f>
        <v>1985.1590000000003</v>
      </c>
      <c r="E202" s="80">
        <f t="shared" ref="E202:K202" si="105">E203+E204+E205+E206</f>
        <v>1657.7953899999998</v>
      </c>
      <c r="F202" s="80"/>
      <c r="G202" s="80"/>
      <c r="H202" s="80"/>
      <c r="I202" s="80"/>
      <c r="J202" s="80">
        <f t="shared" si="105"/>
        <v>1985.1590000000003</v>
      </c>
      <c r="K202" s="80">
        <f t="shared" si="105"/>
        <v>1657.7953899999998</v>
      </c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</row>
    <row r="203" spans="1:124" s="7" customFormat="1" ht="14.4" x14ac:dyDescent="0.3">
      <c r="A203" s="23" t="s">
        <v>16</v>
      </c>
      <c r="B203" s="24"/>
      <c r="C203" s="24"/>
      <c r="D203" s="42">
        <v>288.05500000000001</v>
      </c>
      <c r="E203" s="42">
        <v>269.13891000000001</v>
      </c>
      <c r="F203" s="42"/>
      <c r="G203" s="42"/>
      <c r="H203" s="42"/>
      <c r="I203" s="42"/>
      <c r="J203" s="32">
        <f t="shared" ref="J203:J206" si="106">D203+F203</f>
        <v>288.05500000000001</v>
      </c>
      <c r="K203" s="32">
        <f t="shared" ref="K203:K206" si="107">E203+H203</f>
        <v>269.13891000000001</v>
      </c>
    </row>
    <row r="204" spans="1:124" s="7" customFormat="1" ht="14.4" x14ac:dyDescent="0.3">
      <c r="A204" s="23" t="s">
        <v>17</v>
      </c>
      <c r="B204" s="24"/>
      <c r="C204" s="24"/>
      <c r="D204" s="42">
        <v>1250.6980000000001</v>
      </c>
      <c r="E204" s="42">
        <v>1011.61619</v>
      </c>
      <c r="F204" s="42"/>
      <c r="G204" s="42"/>
      <c r="H204" s="42"/>
      <c r="I204" s="42"/>
      <c r="J204" s="32">
        <f t="shared" si="106"/>
        <v>1250.6980000000001</v>
      </c>
      <c r="K204" s="32">
        <f t="shared" si="107"/>
        <v>1011.61619</v>
      </c>
    </row>
    <row r="205" spans="1:124" s="7" customFormat="1" ht="14.4" x14ac:dyDescent="0.3">
      <c r="A205" s="23" t="s">
        <v>18</v>
      </c>
      <c r="B205" s="29"/>
      <c r="C205" s="60"/>
      <c r="D205" s="42">
        <v>248.506</v>
      </c>
      <c r="E205" s="42">
        <v>182.04029</v>
      </c>
      <c r="F205" s="61"/>
      <c r="G205" s="61"/>
      <c r="H205" s="61"/>
      <c r="I205" s="61"/>
      <c r="J205" s="32">
        <f t="shared" si="106"/>
        <v>248.506</v>
      </c>
      <c r="K205" s="32">
        <f t="shared" si="107"/>
        <v>182.04029</v>
      </c>
    </row>
    <row r="206" spans="1:124" s="7" customFormat="1" ht="14.4" x14ac:dyDescent="0.3">
      <c r="A206" s="23" t="s">
        <v>20</v>
      </c>
      <c r="B206" s="50"/>
      <c r="C206" s="24"/>
      <c r="D206" s="42">
        <v>197.9</v>
      </c>
      <c r="E206" s="42">
        <v>195</v>
      </c>
      <c r="F206" s="42"/>
      <c r="G206" s="42"/>
      <c r="H206" s="42"/>
      <c r="I206" s="42"/>
      <c r="J206" s="32">
        <f t="shared" si="106"/>
        <v>197.9</v>
      </c>
      <c r="K206" s="32">
        <f t="shared" si="107"/>
        <v>195</v>
      </c>
    </row>
    <row r="207" spans="1:124" s="68" customFormat="1" ht="57" customHeight="1" x14ac:dyDescent="0.3">
      <c r="A207" s="62" t="s">
        <v>95</v>
      </c>
      <c r="B207" s="63" t="s">
        <v>136</v>
      </c>
      <c r="C207" s="95" t="s">
        <v>137</v>
      </c>
      <c r="D207" s="80">
        <f>SUM(D208:D220)-D213</f>
        <v>323.88299999999998</v>
      </c>
      <c r="E207" s="80">
        <f>SUM(E208:E220)-E213</f>
        <v>307.50488000000001</v>
      </c>
      <c r="F207" s="80">
        <f t="shared" ref="F207" si="108">SUM(F208:F220)-F213</f>
        <v>235.9</v>
      </c>
      <c r="G207" s="80">
        <f>SUM(G208:G220)-G213</f>
        <v>235.9</v>
      </c>
      <c r="H207" s="80">
        <f t="shared" ref="H207:I207" si="109">SUM(H208:H220)-H213</f>
        <v>101.74906</v>
      </c>
      <c r="I207" s="80">
        <f t="shared" si="109"/>
        <v>101.74906</v>
      </c>
      <c r="J207" s="80">
        <f t="shared" ref="J207:J209" si="110">D207+F207</f>
        <v>559.78300000000002</v>
      </c>
      <c r="K207" s="80">
        <f>E207+H207</f>
        <v>409.25394</v>
      </c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</row>
    <row r="208" spans="1:124" s="68" customFormat="1" ht="14.4" hidden="1" x14ac:dyDescent="0.3">
      <c r="A208" s="76" t="s">
        <v>14</v>
      </c>
      <c r="B208" s="77"/>
      <c r="C208" s="96"/>
      <c r="D208" s="79"/>
      <c r="E208" s="78"/>
      <c r="F208" s="79"/>
      <c r="G208" s="79"/>
      <c r="H208" s="79"/>
      <c r="I208" s="79"/>
      <c r="J208" s="79">
        <f t="shared" si="110"/>
        <v>0</v>
      </c>
      <c r="K208" s="79">
        <f t="shared" ref="K208:K209" si="111">E208+H208</f>
        <v>0</v>
      </c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</row>
    <row r="209" spans="1:124" s="68" customFormat="1" ht="14.4" hidden="1" x14ac:dyDescent="0.3">
      <c r="A209" s="76" t="s">
        <v>15</v>
      </c>
      <c r="B209" s="77"/>
      <c r="C209" s="96"/>
      <c r="D209" s="79"/>
      <c r="E209" s="79"/>
      <c r="F209" s="79"/>
      <c r="G209" s="79"/>
      <c r="H209" s="79"/>
      <c r="I209" s="79"/>
      <c r="J209" s="79">
        <f t="shared" si="110"/>
        <v>0</v>
      </c>
      <c r="K209" s="79">
        <f t="shared" si="111"/>
        <v>0</v>
      </c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</row>
    <row r="210" spans="1:124" s="68" customFormat="1" ht="14.4" x14ac:dyDescent="0.3">
      <c r="A210" s="76" t="s">
        <v>16</v>
      </c>
      <c r="B210" s="77"/>
      <c r="C210" s="96"/>
      <c r="D210" s="79">
        <f>92500/1000</f>
        <v>92.5</v>
      </c>
      <c r="E210" s="79">
        <f>83308.96/1000</f>
        <v>83.308960000000013</v>
      </c>
      <c r="F210" s="79"/>
      <c r="G210" s="79"/>
      <c r="H210" s="79"/>
      <c r="I210" s="79"/>
      <c r="J210" s="79">
        <f>D210+F210</f>
        <v>92.5</v>
      </c>
      <c r="K210" s="79">
        <f>E210+H210</f>
        <v>83.308960000000013</v>
      </c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</row>
    <row r="211" spans="1:124" s="68" customFormat="1" ht="14.4" x14ac:dyDescent="0.3">
      <c r="A211" s="76" t="s">
        <v>17</v>
      </c>
      <c r="B211" s="77"/>
      <c r="C211" s="96"/>
      <c r="D211" s="79">
        <f>226313/1000</f>
        <v>226.31299999999999</v>
      </c>
      <c r="E211" s="79">
        <f>221581.92/1000</f>
        <v>221.58192000000003</v>
      </c>
      <c r="F211" s="79"/>
      <c r="G211" s="79"/>
      <c r="H211" s="79"/>
      <c r="I211" s="79"/>
      <c r="J211" s="79">
        <f t="shared" ref="J211:J212" si="112">D211+F211</f>
        <v>226.31299999999999</v>
      </c>
      <c r="K211" s="79">
        <f t="shared" ref="K211:K212" si="113">E211+H211</f>
        <v>221.58192000000003</v>
      </c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</row>
    <row r="212" spans="1:124" s="68" customFormat="1" ht="14.4" hidden="1" x14ac:dyDescent="0.3">
      <c r="A212" s="76" t="s">
        <v>18</v>
      </c>
      <c r="B212" s="77"/>
      <c r="C212" s="96"/>
      <c r="D212" s="79"/>
      <c r="E212" s="79"/>
      <c r="F212" s="79"/>
      <c r="G212" s="79"/>
      <c r="H212" s="79"/>
      <c r="I212" s="79"/>
      <c r="J212" s="79">
        <f t="shared" si="112"/>
        <v>0</v>
      </c>
      <c r="K212" s="79">
        <f t="shared" si="113"/>
        <v>0</v>
      </c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</row>
    <row r="213" spans="1:124" s="68" customFormat="1" ht="14.4" hidden="1" x14ac:dyDescent="0.3">
      <c r="A213" s="76" t="s">
        <v>19</v>
      </c>
      <c r="B213" s="77"/>
      <c r="C213" s="96"/>
      <c r="D213" s="79">
        <f>SUM(D214:D216)</f>
        <v>5.07</v>
      </c>
      <c r="E213" s="79">
        <f>SUM(E214:E216)</f>
        <v>2.6139999999999999</v>
      </c>
      <c r="F213" s="79"/>
      <c r="G213" s="79"/>
      <c r="H213" s="79"/>
      <c r="I213" s="79"/>
      <c r="J213" s="79">
        <f>D213+F213</f>
        <v>5.07</v>
      </c>
      <c r="K213" s="79">
        <f>E213+H213</f>
        <v>2.6139999999999999</v>
      </c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</row>
    <row r="214" spans="1:124" s="68" customFormat="1" ht="14.4" hidden="1" x14ac:dyDescent="0.3">
      <c r="A214" s="76" t="s">
        <v>56</v>
      </c>
      <c r="B214" s="77"/>
      <c r="C214" s="96"/>
      <c r="D214" s="79"/>
      <c r="E214" s="79"/>
      <c r="F214" s="79"/>
      <c r="G214" s="79"/>
      <c r="H214" s="79"/>
      <c r="I214" s="79"/>
      <c r="J214" s="79">
        <f t="shared" ref="J214:J215" si="114">D214+F214</f>
        <v>0</v>
      </c>
      <c r="K214" s="79">
        <f t="shared" ref="K214:K215" si="115">E214+H214</f>
        <v>0</v>
      </c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</row>
    <row r="215" spans="1:124" s="68" customFormat="1" ht="14.4" hidden="1" x14ac:dyDescent="0.3">
      <c r="A215" s="76" t="s">
        <v>57</v>
      </c>
      <c r="B215" s="77"/>
      <c r="C215" s="96"/>
      <c r="D215" s="79"/>
      <c r="E215" s="79"/>
      <c r="F215" s="79"/>
      <c r="G215" s="79"/>
      <c r="H215" s="79"/>
      <c r="I215" s="79"/>
      <c r="J215" s="79">
        <f t="shared" si="114"/>
        <v>0</v>
      </c>
      <c r="K215" s="79">
        <f t="shared" si="115"/>
        <v>0</v>
      </c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</row>
    <row r="216" spans="1:124" s="68" customFormat="1" ht="14.4" x14ac:dyDescent="0.3">
      <c r="A216" s="76" t="s">
        <v>58</v>
      </c>
      <c r="B216" s="77"/>
      <c r="C216" s="96"/>
      <c r="D216" s="79">
        <f>5070/1000</f>
        <v>5.07</v>
      </c>
      <c r="E216" s="79">
        <f>2614/1000</f>
        <v>2.6139999999999999</v>
      </c>
      <c r="F216" s="79"/>
      <c r="G216" s="79"/>
      <c r="H216" s="79"/>
      <c r="I216" s="79"/>
      <c r="J216" s="79">
        <f>D216+F216</f>
        <v>5.07</v>
      </c>
      <c r="K216" s="79">
        <f>E216+H216</f>
        <v>2.6139999999999999</v>
      </c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</row>
    <row r="217" spans="1:124" s="68" customFormat="1" ht="14.4" hidden="1" x14ac:dyDescent="0.3">
      <c r="A217" s="76" t="s">
        <v>47</v>
      </c>
      <c r="B217" s="77"/>
      <c r="C217" s="96"/>
      <c r="D217" s="79"/>
      <c r="E217" s="79"/>
      <c r="F217" s="79"/>
      <c r="G217" s="79"/>
      <c r="H217" s="79"/>
      <c r="I217" s="79"/>
      <c r="J217" s="79">
        <f t="shared" ref="J217" si="116">D217+F217</f>
        <v>0</v>
      </c>
      <c r="K217" s="79">
        <f t="shared" ref="K217" si="117">E217+H217</f>
        <v>0</v>
      </c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</row>
    <row r="218" spans="1:124" s="68" customFormat="1" ht="14.4" hidden="1" x14ac:dyDescent="0.3">
      <c r="A218" s="76" t="s">
        <v>21</v>
      </c>
      <c r="B218" s="77"/>
      <c r="C218" s="96"/>
      <c r="D218" s="79"/>
      <c r="E218" s="79"/>
      <c r="F218" s="79"/>
      <c r="G218" s="79"/>
      <c r="H218" s="79"/>
      <c r="I218" s="79"/>
      <c r="J218" s="79">
        <f>D218+F218</f>
        <v>0</v>
      </c>
      <c r="K218" s="79">
        <f>E218+H218</f>
        <v>0</v>
      </c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</row>
    <row r="219" spans="1:124" s="68" customFormat="1" ht="14.4" x14ac:dyDescent="0.3">
      <c r="A219" s="76" t="s">
        <v>22</v>
      </c>
      <c r="B219" s="77"/>
      <c r="C219" s="96"/>
      <c r="D219" s="81"/>
      <c r="E219" s="78"/>
      <c r="F219" s="79">
        <f>55900/1000</f>
        <v>55.9</v>
      </c>
      <c r="G219" s="79">
        <f>F219</f>
        <v>55.9</v>
      </c>
      <c r="H219" s="79">
        <f>52000/1000</f>
        <v>52</v>
      </c>
      <c r="I219" s="79">
        <f>H219</f>
        <v>52</v>
      </c>
      <c r="J219" s="79">
        <f t="shared" ref="J219:J247" si="118">D219+F219</f>
        <v>55.9</v>
      </c>
      <c r="K219" s="79">
        <f t="shared" ref="K219:K220" si="119">E219+H219</f>
        <v>52</v>
      </c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</row>
    <row r="220" spans="1:124" s="68" customFormat="1" ht="14.4" x14ac:dyDescent="0.3">
      <c r="A220" s="76" t="s">
        <v>138</v>
      </c>
      <c r="B220" s="77"/>
      <c r="C220" s="96"/>
      <c r="D220" s="81"/>
      <c r="E220" s="78"/>
      <c r="F220" s="79">
        <f>180000/1000</f>
        <v>180</v>
      </c>
      <c r="G220" s="79">
        <f>F220</f>
        <v>180</v>
      </c>
      <c r="H220" s="79">
        <f>49749.06/1000</f>
        <v>49.74906</v>
      </c>
      <c r="I220" s="79">
        <f>H220</f>
        <v>49.74906</v>
      </c>
      <c r="J220" s="79">
        <f t="shared" si="118"/>
        <v>180</v>
      </c>
      <c r="K220" s="79">
        <f t="shared" si="119"/>
        <v>49.74906</v>
      </c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</row>
    <row r="221" spans="1:124" s="68" customFormat="1" ht="35.4" customHeight="1" x14ac:dyDescent="0.3">
      <c r="A221" s="62" t="s">
        <v>139</v>
      </c>
      <c r="B221" s="63" t="s">
        <v>136</v>
      </c>
      <c r="C221" s="95" t="s">
        <v>140</v>
      </c>
      <c r="D221" s="80">
        <f>SUM(D222:D232)-D227</f>
        <v>1533.8700000000001</v>
      </c>
      <c r="E221" s="80">
        <f>SUM(E222:E232)-E227</f>
        <v>1525.22894</v>
      </c>
      <c r="F221" s="80">
        <f>SUM(F222:F232)-F227</f>
        <v>180.04400000000004</v>
      </c>
      <c r="G221" s="80">
        <f>SUM(G222:G232)-G227</f>
        <v>57.9</v>
      </c>
      <c r="H221" s="80">
        <f t="shared" ref="H221:I221" si="120">SUM(H222:H232)-H227</f>
        <v>174.89192000000003</v>
      </c>
      <c r="I221" s="80">
        <f t="shared" si="120"/>
        <v>57.9</v>
      </c>
      <c r="J221" s="80">
        <f>D221+F221</f>
        <v>1713.9140000000002</v>
      </c>
      <c r="K221" s="80">
        <f>E221+H221</f>
        <v>1700.12086</v>
      </c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</row>
    <row r="222" spans="1:124" s="68" customFormat="1" ht="14.4" x14ac:dyDescent="0.3">
      <c r="A222" s="76" t="s">
        <v>55</v>
      </c>
      <c r="B222" s="77"/>
      <c r="C222" s="96"/>
      <c r="D222" s="79">
        <f>1087750/1000</f>
        <v>1087.75</v>
      </c>
      <c r="E222" s="78">
        <f>1087707.97/1000</f>
        <v>1087.7079699999999</v>
      </c>
      <c r="F222" s="79">
        <f>21000/1000</f>
        <v>21</v>
      </c>
      <c r="G222" s="79"/>
      <c r="H222" s="79">
        <f>21000/1000</f>
        <v>21</v>
      </c>
      <c r="I222" s="79"/>
      <c r="J222" s="79">
        <f t="shared" si="118"/>
        <v>1108.75</v>
      </c>
      <c r="K222" s="79">
        <f t="shared" ref="K222:K223" si="121">E222+H222</f>
        <v>1108.7079699999999</v>
      </c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</row>
    <row r="223" spans="1:124" s="68" customFormat="1" ht="14.4" x14ac:dyDescent="0.3">
      <c r="A223" s="76" t="s">
        <v>15</v>
      </c>
      <c r="B223" s="77"/>
      <c r="C223" s="96"/>
      <c r="D223" s="79">
        <f>235911/1000</f>
        <v>235.911</v>
      </c>
      <c r="E223" s="79">
        <f>233628.57/1000</f>
        <v>233.62857</v>
      </c>
      <c r="F223" s="79">
        <f>4620/1000</f>
        <v>4.62</v>
      </c>
      <c r="G223" s="79"/>
      <c r="H223" s="79">
        <f>4620/1000</f>
        <v>4.62</v>
      </c>
      <c r="I223" s="79"/>
      <c r="J223" s="79">
        <f t="shared" si="118"/>
        <v>240.53100000000001</v>
      </c>
      <c r="K223" s="79">
        <f t="shared" si="121"/>
        <v>238.24857</v>
      </c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</row>
    <row r="224" spans="1:124" s="68" customFormat="1" ht="14.4" x14ac:dyDescent="0.3">
      <c r="A224" s="76" t="s">
        <v>16</v>
      </c>
      <c r="B224" s="77"/>
      <c r="C224" s="96"/>
      <c r="D224" s="79">
        <f>95914/1000</f>
        <v>95.914000000000001</v>
      </c>
      <c r="E224" s="79">
        <f>95912/1000</f>
        <v>95.912000000000006</v>
      </c>
      <c r="F224" s="79">
        <f>74424/1000</f>
        <v>74.424000000000007</v>
      </c>
      <c r="G224" s="79"/>
      <c r="H224" s="79">
        <f>69291.92/1000</f>
        <v>69.291920000000005</v>
      </c>
      <c r="I224" s="79"/>
      <c r="J224" s="79">
        <f>D224+F224</f>
        <v>170.33800000000002</v>
      </c>
      <c r="K224" s="79">
        <f>E224+H224</f>
        <v>165.20392000000001</v>
      </c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</row>
    <row r="225" spans="1:124" s="68" customFormat="1" ht="14.4" x14ac:dyDescent="0.3">
      <c r="A225" s="76" t="s">
        <v>17</v>
      </c>
      <c r="B225" s="77"/>
      <c r="C225" s="96"/>
      <c r="D225" s="79">
        <f>11540/1000</f>
        <v>11.54</v>
      </c>
      <c r="E225" s="79">
        <f>10851.51/1000</f>
        <v>10.851510000000001</v>
      </c>
      <c r="F225" s="79"/>
      <c r="G225" s="79"/>
      <c r="H225" s="79"/>
      <c r="I225" s="79"/>
      <c r="J225" s="79">
        <f t="shared" ref="J225:J226" si="122">D225+F225</f>
        <v>11.54</v>
      </c>
      <c r="K225" s="79">
        <f t="shared" ref="K225:K226" si="123">E225+H225</f>
        <v>10.851510000000001</v>
      </c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</row>
    <row r="226" spans="1:124" s="68" customFormat="1" ht="14.4" x14ac:dyDescent="0.3">
      <c r="A226" s="76" t="s">
        <v>18</v>
      </c>
      <c r="B226" s="77"/>
      <c r="C226" s="96"/>
      <c r="D226" s="79">
        <f>6000/1000</f>
        <v>6</v>
      </c>
      <c r="E226" s="79">
        <f>5460/1000</f>
        <v>5.46</v>
      </c>
      <c r="F226" s="79">
        <f>900/1000</f>
        <v>0.9</v>
      </c>
      <c r="G226" s="79"/>
      <c r="H226" s="79">
        <f>900/1000</f>
        <v>0.9</v>
      </c>
      <c r="I226" s="79"/>
      <c r="J226" s="79">
        <f t="shared" si="122"/>
        <v>6.9</v>
      </c>
      <c r="K226" s="79">
        <f t="shared" si="123"/>
        <v>6.36</v>
      </c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</row>
    <row r="227" spans="1:124" s="68" customFormat="1" ht="14.4" hidden="1" x14ac:dyDescent="0.3">
      <c r="A227" s="76" t="s">
        <v>19</v>
      </c>
      <c r="B227" s="77"/>
      <c r="C227" s="96"/>
      <c r="D227" s="79">
        <f>SUM(D228:D230)</f>
        <v>93.075000000000003</v>
      </c>
      <c r="E227" s="79">
        <f>SUM(E228:E230)</f>
        <v>88.844889999999992</v>
      </c>
      <c r="F227" s="79">
        <f>SUM(F228:F230)</f>
        <v>1.2</v>
      </c>
      <c r="G227" s="79">
        <f t="shared" ref="G227:H227" si="124">SUM(G228:G230)</f>
        <v>0</v>
      </c>
      <c r="H227" s="79">
        <f t="shared" si="124"/>
        <v>1.18</v>
      </c>
      <c r="I227" s="79"/>
      <c r="J227" s="79">
        <f>D227+F227</f>
        <v>94.275000000000006</v>
      </c>
      <c r="K227" s="79">
        <f>E227+H227</f>
        <v>90.024889999999999</v>
      </c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</row>
    <row r="228" spans="1:124" s="68" customFormat="1" ht="14.4" x14ac:dyDescent="0.3">
      <c r="A228" s="76" t="s">
        <v>58</v>
      </c>
      <c r="B228" s="77"/>
      <c r="C228" s="96"/>
      <c r="D228" s="79">
        <f>18142/1000</f>
        <v>18.141999999999999</v>
      </c>
      <c r="E228" s="79">
        <f>18137.72/1000</f>
        <v>18.137720000000002</v>
      </c>
      <c r="F228" s="79"/>
      <c r="G228" s="79"/>
      <c r="H228" s="79"/>
      <c r="I228" s="79"/>
      <c r="J228" s="79">
        <f t="shared" ref="J228:J229" si="125">D228+F228</f>
        <v>18.141999999999999</v>
      </c>
      <c r="K228" s="79">
        <f t="shared" ref="K228:K229" si="126">E228+H228</f>
        <v>18.137720000000002</v>
      </c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</row>
    <row r="229" spans="1:124" s="68" customFormat="1" ht="14.4" x14ac:dyDescent="0.3">
      <c r="A229" s="76" t="s">
        <v>141</v>
      </c>
      <c r="B229" s="77"/>
      <c r="C229" s="96"/>
      <c r="D229" s="79">
        <f>20693/1000</f>
        <v>20.693000000000001</v>
      </c>
      <c r="E229" s="79">
        <f>20677.17/1000</f>
        <v>20.677169999999997</v>
      </c>
      <c r="F229" s="79">
        <f>1200/1000</f>
        <v>1.2</v>
      </c>
      <c r="G229" s="79"/>
      <c r="H229" s="79">
        <f>1180/1000</f>
        <v>1.18</v>
      </c>
      <c r="I229" s="79"/>
      <c r="J229" s="79">
        <f t="shared" si="125"/>
        <v>21.893000000000001</v>
      </c>
      <c r="K229" s="79">
        <f t="shared" si="126"/>
        <v>21.857169999999996</v>
      </c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</row>
    <row r="230" spans="1:124" s="68" customFormat="1" ht="14.4" x14ac:dyDescent="0.3">
      <c r="A230" s="76" t="s">
        <v>142</v>
      </c>
      <c r="B230" s="77"/>
      <c r="C230" s="96"/>
      <c r="D230" s="79">
        <f>54240/1000</f>
        <v>54.24</v>
      </c>
      <c r="E230" s="79">
        <f>50030/1000</f>
        <v>50.03</v>
      </c>
      <c r="F230" s="79"/>
      <c r="G230" s="79"/>
      <c r="H230" s="79"/>
      <c r="I230" s="79"/>
      <c r="J230" s="79">
        <f>D230+F230</f>
        <v>54.24</v>
      </c>
      <c r="K230" s="79">
        <f>E230+H230</f>
        <v>50.03</v>
      </c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</row>
    <row r="231" spans="1:124" s="68" customFormat="1" ht="14.4" x14ac:dyDescent="0.3">
      <c r="A231" s="76" t="s">
        <v>59</v>
      </c>
      <c r="B231" s="77"/>
      <c r="C231" s="96"/>
      <c r="D231" s="79">
        <f>3680/1000</f>
        <v>3.68</v>
      </c>
      <c r="E231" s="79">
        <f>2824/1000</f>
        <v>2.8239999999999998</v>
      </c>
      <c r="F231" s="79"/>
      <c r="G231" s="79"/>
      <c r="H231" s="79"/>
      <c r="I231" s="79"/>
      <c r="J231" s="79">
        <f t="shared" ref="J231:J232" si="127">D231+F231</f>
        <v>3.68</v>
      </c>
      <c r="K231" s="79">
        <f t="shared" ref="K231:K232" si="128">E231+H231</f>
        <v>2.8239999999999998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</row>
    <row r="232" spans="1:124" s="68" customFormat="1" ht="14.4" x14ac:dyDescent="0.3">
      <c r="A232" s="76" t="s">
        <v>22</v>
      </c>
      <c r="B232" s="77"/>
      <c r="C232" s="96"/>
      <c r="D232" s="81"/>
      <c r="E232" s="78"/>
      <c r="F232" s="79">
        <f>(20000+57900)/1000</f>
        <v>77.900000000000006</v>
      </c>
      <c r="G232" s="79">
        <f>57900/1000</f>
        <v>57.9</v>
      </c>
      <c r="H232" s="79">
        <f>(20000+57900)/1000</f>
        <v>77.900000000000006</v>
      </c>
      <c r="I232" s="79">
        <f>57900/1000</f>
        <v>57.9</v>
      </c>
      <c r="J232" s="79">
        <f t="shared" si="127"/>
        <v>77.900000000000006</v>
      </c>
      <c r="K232" s="79">
        <f t="shared" si="128"/>
        <v>77.900000000000006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</row>
    <row r="233" spans="1:124" s="68" customFormat="1" ht="31.2" customHeight="1" x14ac:dyDescent="0.3">
      <c r="A233" s="62" t="s">
        <v>143</v>
      </c>
      <c r="B233" s="63" t="s">
        <v>144</v>
      </c>
      <c r="C233" s="95" t="s">
        <v>145</v>
      </c>
      <c r="D233" s="80">
        <f t="shared" ref="D233:I233" si="129">SUM(D234:D244)-D239</f>
        <v>881.1149999999999</v>
      </c>
      <c r="E233" s="80">
        <f t="shared" si="129"/>
        <v>854.39362999999992</v>
      </c>
      <c r="F233" s="80">
        <f t="shared" si="129"/>
        <v>0</v>
      </c>
      <c r="G233" s="80">
        <f t="shared" si="129"/>
        <v>0</v>
      </c>
      <c r="H233" s="80">
        <f t="shared" si="129"/>
        <v>0</v>
      </c>
      <c r="I233" s="80">
        <f t="shared" si="129"/>
        <v>0</v>
      </c>
      <c r="J233" s="80">
        <f t="shared" si="118"/>
        <v>881.1149999999999</v>
      </c>
      <c r="K233" s="80">
        <f>E233+H233</f>
        <v>854.39362999999992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</row>
    <row r="234" spans="1:124" s="68" customFormat="1" ht="14.4" hidden="1" x14ac:dyDescent="0.3">
      <c r="A234" s="76" t="s">
        <v>14</v>
      </c>
      <c r="B234" s="77"/>
      <c r="C234" s="96"/>
      <c r="D234" s="79"/>
      <c r="E234" s="78"/>
      <c r="F234" s="79"/>
      <c r="G234" s="79"/>
      <c r="H234" s="79"/>
      <c r="I234" s="79"/>
      <c r="J234" s="79">
        <f t="shared" si="118"/>
        <v>0</v>
      </c>
      <c r="K234" s="79">
        <f t="shared" ref="K234:K235" si="130">E234+H234</f>
        <v>0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</row>
    <row r="235" spans="1:124" s="68" customFormat="1" ht="14.4" hidden="1" x14ac:dyDescent="0.3">
      <c r="A235" s="76" t="s">
        <v>15</v>
      </c>
      <c r="B235" s="77"/>
      <c r="C235" s="96"/>
      <c r="D235" s="79"/>
      <c r="E235" s="79"/>
      <c r="F235" s="79"/>
      <c r="G235" s="79"/>
      <c r="H235" s="79"/>
      <c r="I235" s="79"/>
      <c r="J235" s="79">
        <f t="shared" si="118"/>
        <v>0</v>
      </c>
      <c r="K235" s="79">
        <f t="shared" si="130"/>
        <v>0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</row>
    <row r="236" spans="1:124" s="68" customFormat="1" ht="14.4" x14ac:dyDescent="0.3">
      <c r="A236" s="76" t="s">
        <v>16</v>
      </c>
      <c r="B236" s="77"/>
      <c r="C236" s="96"/>
      <c r="D236" s="79">
        <f>(124300+36900)/1000</f>
        <v>161.19999999999999</v>
      </c>
      <c r="E236" s="79">
        <f>(124257.6+36594.17)/1000</f>
        <v>160.85177000000002</v>
      </c>
      <c r="F236" s="79"/>
      <c r="G236" s="79"/>
      <c r="H236" s="79"/>
      <c r="I236" s="79"/>
      <c r="J236" s="79">
        <f>D236+F236</f>
        <v>161.19999999999999</v>
      </c>
      <c r="K236" s="79">
        <f>E236+H236</f>
        <v>160.85177000000002</v>
      </c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</row>
    <row r="237" spans="1:124" s="68" customFormat="1" ht="14.4" x14ac:dyDescent="0.3">
      <c r="A237" s="76" t="s">
        <v>17</v>
      </c>
      <c r="B237" s="77"/>
      <c r="C237" s="96"/>
      <c r="D237" s="79">
        <f>393159/1000</f>
        <v>393.15899999999999</v>
      </c>
      <c r="E237" s="79">
        <f>370974.73/1000</f>
        <v>370.97472999999997</v>
      </c>
      <c r="F237" s="79"/>
      <c r="G237" s="79"/>
      <c r="H237" s="79"/>
      <c r="I237" s="79"/>
      <c r="J237" s="79">
        <f t="shared" ref="J237:J238" si="131">D237+F237</f>
        <v>393.15899999999999</v>
      </c>
      <c r="K237" s="79">
        <f t="shared" ref="K237:K238" si="132">E237+H237</f>
        <v>370.97472999999997</v>
      </c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</row>
    <row r="238" spans="1:124" s="68" customFormat="1" ht="14.4" hidden="1" x14ac:dyDescent="0.3">
      <c r="A238" s="76" t="s">
        <v>18</v>
      </c>
      <c r="B238" s="77"/>
      <c r="C238" s="96"/>
      <c r="D238" s="79"/>
      <c r="E238" s="79"/>
      <c r="F238" s="79"/>
      <c r="G238" s="79"/>
      <c r="H238" s="79"/>
      <c r="I238" s="79"/>
      <c r="J238" s="79">
        <f t="shared" si="131"/>
        <v>0</v>
      </c>
      <c r="K238" s="79">
        <f t="shared" si="132"/>
        <v>0</v>
      </c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</row>
    <row r="239" spans="1:124" s="68" customFormat="1" ht="14.4" hidden="1" x14ac:dyDescent="0.3">
      <c r="A239" s="76" t="s">
        <v>19</v>
      </c>
      <c r="B239" s="77"/>
      <c r="C239" s="96"/>
      <c r="D239" s="79">
        <f>SUM(D240:D243)</f>
        <v>246.756</v>
      </c>
      <c r="E239" s="79">
        <f>SUM(E240:E243)</f>
        <v>242.56712999999999</v>
      </c>
      <c r="F239" s="79"/>
      <c r="G239" s="79"/>
      <c r="H239" s="79"/>
      <c r="I239" s="79"/>
      <c r="J239" s="79">
        <f>D239+F239</f>
        <v>246.756</v>
      </c>
      <c r="K239" s="79">
        <f>E239+H239</f>
        <v>242.56712999999999</v>
      </c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</row>
    <row r="240" spans="1:124" s="68" customFormat="1" ht="14.4" x14ac:dyDescent="0.3">
      <c r="A240" s="76" t="s">
        <v>56</v>
      </c>
      <c r="B240" s="77"/>
      <c r="C240" s="96"/>
      <c r="D240" s="79">
        <f>192855/1000</f>
        <v>192.85499999999999</v>
      </c>
      <c r="E240" s="79">
        <f>189543.41/1000</f>
        <v>189.54340999999999</v>
      </c>
      <c r="F240" s="79"/>
      <c r="G240" s="79"/>
      <c r="H240" s="79"/>
      <c r="I240" s="79"/>
      <c r="J240" s="79">
        <f t="shared" ref="J240:J241" si="133">D240+F240</f>
        <v>192.85499999999999</v>
      </c>
      <c r="K240" s="79">
        <f t="shared" ref="K240:K241" si="134">E240+H240</f>
        <v>189.54340999999999</v>
      </c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</row>
    <row r="241" spans="1:124" s="68" customFormat="1" ht="14.4" x14ac:dyDescent="0.3">
      <c r="A241" s="76" t="s">
        <v>57</v>
      </c>
      <c r="B241" s="77"/>
      <c r="C241" s="96"/>
      <c r="D241" s="79">
        <f>6053/1000</f>
        <v>6.0529999999999999</v>
      </c>
      <c r="E241" s="79">
        <f>5473.74/1000</f>
        <v>5.4737399999999994</v>
      </c>
      <c r="F241" s="79"/>
      <c r="G241" s="79"/>
      <c r="H241" s="79"/>
      <c r="I241" s="79"/>
      <c r="J241" s="79">
        <f t="shared" si="133"/>
        <v>6.0529999999999999</v>
      </c>
      <c r="K241" s="79">
        <f t="shared" si="134"/>
        <v>5.4737399999999994</v>
      </c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</row>
    <row r="242" spans="1:124" s="68" customFormat="1" ht="14.4" x14ac:dyDescent="0.3">
      <c r="A242" s="76" t="s">
        <v>58</v>
      </c>
      <c r="B242" s="77"/>
      <c r="C242" s="96"/>
      <c r="D242" s="79">
        <f>41542/1000</f>
        <v>41.542000000000002</v>
      </c>
      <c r="E242" s="79">
        <f>41540.76/1000</f>
        <v>41.540759999999999</v>
      </c>
      <c r="F242" s="79"/>
      <c r="G242" s="79"/>
      <c r="H242" s="79"/>
      <c r="I242" s="79"/>
      <c r="J242" s="79">
        <f>D242+F242</f>
        <v>41.542000000000002</v>
      </c>
      <c r="K242" s="79">
        <f>E242+H242</f>
        <v>41.540759999999999</v>
      </c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</row>
    <row r="243" spans="1:124" s="68" customFormat="1" ht="14.4" x14ac:dyDescent="0.3">
      <c r="A243" s="76" t="s">
        <v>141</v>
      </c>
      <c r="B243" s="77"/>
      <c r="C243" s="96"/>
      <c r="D243" s="79">
        <f>6306/1000</f>
        <v>6.306</v>
      </c>
      <c r="E243" s="79">
        <f>6009.22/1000</f>
        <v>6.00922</v>
      </c>
      <c r="F243" s="79"/>
      <c r="G243" s="79"/>
      <c r="H243" s="79"/>
      <c r="I243" s="79"/>
      <c r="J243" s="79">
        <f>D243+F243</f>
        <v>6.306</v>
      </c>
      <c r="K243" s="79">
        <f>E243+H243</f>
        <v>6.00922</v>
      </c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</row>
    <row r="244" spans="1:124" s="68" customFormat="1" ht="14.4" x14ac:dyDescent="0.3">
      <c r="A244" s="76" t="s">
        <v>65</v>
      </c>
      <c r="B244" s="77"/>
      <c r="C244" s="96"/>
      <c r="D244" s="79">
        <f>80000/1000</f>
        <v>80</v>
      </c>
      <c r="E244" s="79">
        <f>80000/1000</f>
        <v>80</v>
      </c>
      <c r="F244" s="79"/>
      <c r="G244" s="79"/>
      <c r="H244" s="79"/>
      <c r="I244" s="79"/>
      <c r="J244" s="79">
        <f t="shared" ref="J244" si="135">D244+F244</f>
        <v>80</v>
      </c>
      <c r="K244" s="79">
        <f t="shared" ref="K244" si="136">E244+H244</f>
        <v>80</v>
      </c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</row>
    <row r="245" spans="1:124" s="68" customFormat="1" ht="30.6" customHeight="1" x14ac:dyDescent="0.3">
      <c r="A245" s="62" t="s">
        <v>146</v>
      </c>
      <c r="B245" s="63" t="s">
        <v>147</v>
      </c>
      <c r="C245" s="95" t="s">
        <v>148</v>
      </c>
      <c r="D245" s="80">
        <f>SUM(D248:D249)</f>
        <v>0</v>
      </c>
      <c r="E245" s="80">
        <f t="shared" ref="E245:I245" si="137">SUM(E248:E249)</f>
        <v>0</v>
      </c>
      <c r="F245" s="80">
        <f t="shared" si="137"/>
        <v>181.495</v>
      </c>
      <c r="G245" s="80">
        <f t="shared" si="137"/>
        <v>0</v>
      </c>
      <c r="H245" s="80">
        <f t="shared" si="137"/>
        <v>181.458</v>
      </c>
      <c r="I245" s="80">
        <f t="shared" si="137"/>
        <v>0</v>
      </c>
      <c r="J245" s="80">
        <f t="shared" si="118"/>
        <v>181.495</v>
      </c>
      <c r="K245" s="80">
        <f>E245+H245</f>
        <v>181.458</v>
      </c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</row>
    <row r="246" spans="1:124" s="68" customFormat="1" ht="14.4" hidden="1" x14ac:dyDescent="0.3">
      <c r="A246" s="76" t="s">
        <v>14</v>
      </c>
      <c r="B246" s="77"/>
      <c r="C246" s="96"/>
      <c r="D246" s="79"/>
      <c r="E246" s="78"/>
      <c r="F246" s="79"/>
      <c r="G246" s="79"/>
      <c r="H246" s="79"/>
      <c r="I246" s="79"/>
      <c r="J246" s="79">
        <f t="shared" si="118"/>
        <v>0</v>
      </c>
      <c r="K246" s="79">
        <f t="shared" ref="K246:K247" si="138">E246+H246</f>
        <v>0</v>
      </c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</row>
    <row r="247" spans="1:124" s="68" customFormat="1" ht="14.4" hidden="1" x14ac:dyDescent="0.3">
      <c r="A247" s="76" t="s">
        <v>15</v>
      </c>
      <c r="B247" s="77"/>
      <c r="C247" s="96"/>
      <c r="D247" s="79"/>
      <c r="E247" s="79"/>
      <c r="F247" s="79"/>
      <c r="G247" s="79"/>
      <c r="H247" s="79"/>
      <c r="I247" s="79"/>
      <c r="J247" s="79">
        <f t="shared" si="118"/>
        <v>0</v>
      </c>
      <c r="K247" s="79">
        <f t="shared" si="138"/>
        <v>0</v>
      </c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</row>
    <row r="248" spans="1:124" s="68" customFormat="1" ht="14.4" x14ac:dyDescent="0.3">
      <c r="A248" s="76" t="s">
        <v>16</v>
      </c>
      <c r="B248" s="77"/>
      <c r="C248" s="96"/>
      <c r="D248" s="79"/>
      <c r="E248" s="79"/>
      <c r="F248" s="79">
        <f>73195/1000</f>
        <v>73.194999999999993</v>
      </c>
      <c r="G248" s="79"/>
      <c r="H248" s="79">
        <f>73158/1000</f>
        <v>73.158000000000001</v>
      </c>
      <c r="I248" s="79"/>
      <c r="J248" s="79">
        <f>D248+F248</f>
        <v>73.194999999999993</v>
      </c>
      <c r="K248" s="79">
        <f>E248+H248</f>
        <v>73.158000000000001</v>
      </c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</row>
    <row r="249" spans="1:124" s="68" customFormat="1" ht="14.4" x14ac:dyDescent="0.3">
      <c r="A249" s="76" t="s">
        <v>17</v>
      </c>
      <c r="B249" s="77"/>
      <c r="C249" s="96"/>
      <c r="D249" s="79"/>
      <c r="E249" s="79"/>
      <c r="F249" s="79">
        <f>108300/1000</f>
        <v>108.3</v>
      </c>
      <c r="G249" s="79"/>
      <c r="H249" s="79">
        <f>108300/1000</f>
        <v>108.3</v>
      </c>
      <c r="I249" s="79"/>
      <c r="J249" s="79">
        <f t="shared" ref="J249" si="139">D249+F249</f>
        <v>108.3</v>
      </c>
      <c r="K249" s="79">
        <f t="shared" ref="K249" si="140">E249+H249</f>
        <v>108.3</v>
      </c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</row>
    <row r="250" spans="1:124" s="68" customFormat="1" ht="30.6" customHeight="1" x14ac:dyDescent="0.3">
      <c r="A250" s="62" t="s">
        <v>163</v>
      </c>
      <c r="B250" s="63" t="s">
        <v>164</v>
      </c>
      <c r="C250" s="95" t="s">
        <v>165</v>
      </c>
      <c r="D250" s="80">
        <f>D251</f>
        <v>225</v>
      </c>
      <c r="E250" s="80">
        <f t="shared" ref="E250:K250" si="141">E251</f>
        <v>213.42197999999999</v>
      </c>
      <c r="F250" s="80"/>
      <c r="G250" s="80"/>
      <c r="H250" s="80"/>
      <c r="I250" s="80"/>
      <c r="J250" s="80">
        <f t="shared" si="141"/>
        <v>225</v>
      </c>
      <c r="K250" s="80">
        <f t="shared" si="141"/>
        <v>213.42197999999999</v>
      </c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</row>
    <row r="251" spans="1:124" s="7" customFormat="1" ht="14.4" x14ac:dyDescent="0.3">
      <c r="A251" s="23" t="s">
        <v>16</v>
      </c>
      <c r="B251" s="29"/>
      <c r="C251" s="60"/>
      <c r="D251" s="42">
        <v>225</v>
      </c>
      <c r="E251" s="42">
        <v>213.42197999999999</v>
      </c>
      <c r="F251" s="61"/>
      <c r="G251" s="61"/>
      <c r="H251" s="61"/>
      <c r="I251" s="61"/>
      <c r="J251" s="32">
        <f t="shared" ref="J251:J252" si="142">D251+F251</f>
        <v>225</v>
      </c>
      <c r="K251" s="32">
        <f t="shared" ref="K251" si="143">E251+H251</f>
        <v>213.42197999999999</v>
      </c>
    </row>
    <row r="252" spans="1:124" s="68" customFormat="1" ht="30.6" customHeight="1" x14ac:dyDescent="0.3">
      <c r="A252" s="62" t="s">
        <v>173</v>
      </c>
      <c r="B252" s="63" t="s">
        <v>174</v>
      </c>
      <c r="C252" s="95" t="s">
        <v>175</v>
      </c>
      <c r="D252" s="80">
        <f t="shared" ref="D252:I252" si="144">SUM(D253:D254)</f>
        <v>0</v>
      </c>
      <c r="E252" s="80">
        <f t="shared" si="144"/>
        <v>366.6</v>
      </c>
      <c r="F252" s="80">
        <f t="shared" si="144"/>
        <v>0</v>
      </c>
      <c r="G252" s="80">
        <f t="shared" si="144"/>
        <v>0</v>
      </c>
      <c r="H252" s="80">
        <f t="shared" si="144"/>
        <v>344</v>
      </c>
      <c r="I252" s="80">
        <f t="shared" si="144"/>
        <v>344</v>
      </c>
      <c r="J252" s="80">
        <f t="shared" si="142"/>
        <v>0</v>
      </c>
      <c r="K252" s="80">
        <f>E252+H252</f>
        <v>710.6</v>
      </c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</row>
    <row r="253" spans="1:124" s="68" customFormat="1" ht="14.4" x14ac:dyDescent="0.3">
      <c r="A253" s="69" t="s">
        <v>171</v>
      </c>
      <c r="B253" s="70"/>
      <c r="C253" s="70"/>
      <c r="D253" s="79"/>
      <c r="E253" s="79">
        <v>366.6</v>
      </c>
      <c r="F253" s="79"/>
      <c r="G253" s="79"/>
      <c r="H253" s="79"/>
      <c r="I253" s="79"/>
      <c r="J253" s="79">
        <f t="shared" ref="J253:J255" si="145">D253+F253</f>
        <v>0</v>
      </c>
      <c r="K253" s="79">
        <f t="shared" ref="K253:K254" si="146">E253+H253</f>
        <v>366.6</v>
      </c>
    </row>
    <row r="254" spans="1:124" s="68" customFormat="1" ht="14.4" x14ac:dyDescent="0.3">
      <c r="A254" s="69" t="s">
        <v>172</v>
      </c>
      <c r="B254" s="70"/>
      <c r="C254" s="70"/>
      <c r="D254" s="79"/>
      <c r="E254" s="79"/>
      <c r="F254" s="79"/>
      <c r="G254" s="79"/>
      <c r="H254" s="79">
        <v>344</v>
      </c>
      <c r="I254" s="79">
        <v>344</v>
      </c>
      <c r="J254" s="79">
        <f t="shared" si="145"/>
        <v>0</v>
      </c>
      <c r="K254" s="79">
        <f t="shared" si="146"/>
        <v>344</v>
      </c>
    </row>
    <row r="255" spans="1:124" s="68" customFormat="1" ht="73.2" customHeight="1" x14ac:dyDescent="0.3">
      <c r="A255" s="62" t="s">
        <v>176</v>
      </c>
      <c r="B255" s="63" t="s">
        <v>174</v>
      </c>
      <c r="C255" s="95" t="s">
        <v>177</v>
      </c>
      <c r="D255" s="80">
        <f t="shared" ref="D255:I255" si="147">SUM(D256:D257)</f>
        <v>0</v>
      </c>
      <c r="E255" s="80">
        <f t="shared" si="147"/>
        <v>1553.2771600000001</v>
      </c>
      <c r="F255" s="80">
        <f t="shared" si="147"/>
        <v>0</v>
      </c>
      <c r="G255" s="80">
        <f t="shared" si="147"/>
        <v>0</v>
      </c>
      <c r="H255" s="80">
        <f t="shared" si="147"/>
        <v>5092.0050000000001</v>
      </c>
      <c r="I255" s="80">
        <f t="shared" si="147"/>
        <v>5092.0050000000001</v>
      </c>
      <c r="J255" s="80">
        <f t="shared" si="145"/>
        <v>0</v>
      </c>
      <c r="K255" s="80">
        <f>E255+H255</f>
        <v>6645.2821600000007</v>
      </c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</row>
    <row r="256" spans="1:124" s="68" customFormat="1" ht="14.4" x14ac:dyDescent="0.3">
      <c r="A256" s="69" t="s">
        <v>171</v>
      </c>
      <c r="B256" s="70"/>
      <c r="C256" s="70"/>
      <c r="D256" s="82"/>
      <c r="E256" s="82">
        <v>1553.2771600000001</v>
      </c>
      <c r="F256" s="82"/>
      <c r="G256" s="82"/>
      <c r="H256" s="82"/>
      <c r="I256" s="82"/>
      <c r="J256" s="71">
        <f t="shared" ref="J256:J257" si="148">D256+F256</f>
        <v>0</v>
      </c>
      <c r="K256" s="71">
        <f t="shared" ref="K256:K257" si="149">E256+H256</f>
        <v>1553.2771600000001</v>
      </c>
    </row>
    <row r="257" spans="1:11" s="68" customFormat="1" ht="14.4" x14ac:dyDescent="0.3">
      <c r="A257" s="69" t="s">
        <v>172</v>
      </c>
      <c r="B257" s="70"/>
      <c r="C257" s="70"/>
      <c r="D257" s="82"/>
      <c r="E257" s="82"/>
      <c r="F257" s="82"/>
      <c r="G257" s="82"/>
      <c r="H257" s="82">
        <v>5092.0050000000001</v>
      </c>
      <c r="I257" s="82">
        <v>5092.0050000000001</v>
      </c>
      <c r="J257" s="71">
        <f t="shared" si="148"/>
        <v>0</v>
      </c>
      <c r="K257" s="71">
        <f t="shared" si="149"/>
        <v>5092.0050000000001</v>
      </c>
    </row>
    <row r="258" spans="1:11" s="68" customFormat="1" ht="14.4" x14ac:dyDescent="0.3">
      <c r="A258" s="91"/>
      <c r="B258" s="92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1:11" s="7" customFormat="1" ht="14.4" x14ac:dyDescent="0.3">
      <c r="A259" s="18"/>
      <c r="B259" s="33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s="7" customFormat="1" ht="36" customHeight="1" x14ac:dyDescent="0.3">
      <c r="A260" s="120" t="s">
        <v>110</v>
      </c>
      <c r="B260" s="120"/>
      <c r="C260" s="120"/>
      <c r="D260" s="35"/>
      <c r="E260" s="35"/>
      <c r="F260" s="35"/>
      <c r="G260" s="35"/>
      <c r="H260" s="35"/>
      <c r="I260" s="121" t="s">
        <v>111</v>
      </c>
      <c r="J260" s="121"/>
      <c r="K260" s="36"/>
    </row>
    <row r="261" spans="1:11" s="7" customFormat="1" ht="16.2" thickBot="1" x14ac:dyDescent="0.35">
      <c r="A261" s="34"/>
      <c r="B261" s="26"/>
      <c r="C261" s="26"/>
      <c r="D261" s="26"/>
      <c r="E261" s="26"/>
      <c r="F261" s="26"/>
      <c r="G261" s="37"/>
      <c r="H261" s="26"/>
      <c r="I261" s="26"/>
      <c r="J261" s="93"/>
      <c r="K261" s="34"/>
    </row>
    <row r="262" spans="1:11" x14ac:dyDescent="0.25">
      <c r="A262" s="38"/>
      <c r="B262" s="39"/>
      <c r="C262" s="39"/>
      <c r="D262" s="39"/>
      <c r="E262" s="39"/>
      <c r="F262" s="39"/>
      <c r="G262" s="40" t="s">
        <v>29</v>
      </c>
      <c r="H262" s="39"/>
      <c r="I262" s="39"/>
      <c r="J262" s="94"/>
      <c r="K262" s="39"/>
    </row>
    <row r="263" spans="1:11" x14ac:dyDescent="0.25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 x14ac:dyDescent="0.25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 x14ac:dyDescent="0.25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</sheetData>
  <mergeCells count="15">
    <mergeCell ref="A260:C260"/>
    <mergeCell ref="I260:J260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A10:C10"/>
    <mergeCell ref="A33:C33"/>
    <mergeCell ref="A9:C9"/>
  </mergeCells>
  <pageMargins left="0.70866141732283472" right="0.31496062992125984" top="0.74803149606299213" bottom="0.74803149606299213" header="0.31496062992125984" footer="0.31496062992125984"/>
  <pageSetup paperSize="9" scale="64" orientation="landscape" r:id="rId1"/>
  <rowBreaks count="2" manualBreakCount="2">
    <brk id="37" max="10" man="1"/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08"/>
  <sheetViews>
    <sheetView view="pageBreakPreview" topLeftCell="A9" zoomScale="85" zoomScaleNormal="100" zoomScaleSheetLayoutView="85" workbookViewId="0">
      <selection activeCell="B41" sqref="B41"/>
    </sheetView>
  </sheetViews>
  <sheetFormatPr defaultRowHeight="14.4" x14ac:dyDescent="0.3"/>
  <cols>
    <col min="1" max="1" width="26.88671875" customWidth="1"/>
    <col min="2" max="2" width="30.33203125" customWidth="1"/>
    <col min="3" max="3" width="12.44140625" customWidth="1"/>
    <col min="4" max="4" width="9.44140625" customWidth="1"/>
    <col min="5" max="5" width="11.44140625" customWidth="1"/>
    <col min="6" max="6" width="10.6640625" customWidth="1"/>
    <col min="7" max="7" width="13.5546875" customWidth="1"/>
    <col min="8" max="8" width="10.109375" customWidth="1"/>
    <col min="9" max="9" width="11" customWidth="1"/>
    <col min="10" max="10" width="16.88671875" customWidth="1"/>
  </cols>
  <sheetData>
    <row r="1" spans="1:13" ht="66.75" customHeight="1" x14ac:dyDescent="0.3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"/>
      <c r="L1" s="1"/>
      <c r="M1" s="1"/>
    </row>
    <row r="2" spans="1:13" ht="19.5" customHeight="1" x14ac:dyDescent="0.35">
      <c r="A2" s="8"/>
      <c r="B2" s="10"/>
      <c r="C2" s="9"/>
      <c r="D2" s="9"/>
      <c r="E2" s="140" t="s">
        <v>43</v>
      </c>
      <c r="F2" s="140"/>
      <c r="G2" s="140"/>
      <c r="H2" s="140"/>
      <c r="I2" s="140"/>
      <c r="J2" s="9"/>
      <c r="K2" s="1"/>
      <c r="L2" s="1"/>
      <c r="M2" s="1"/>
    </row>
    <row r="3" spans="1:13" ht="35.25" customHeight="1" x14ac:dyDescent="0.35">
      <c r="A3" s="139" t="s">
        <v>35</v>
      </c>
      <c r="B3" s="139"/>
      <c r="C3" s="139"/>
      <c r="D3" s="139"/>
      <c r="E3" s="139"/>
      <c r="F3" s="139"/>
      <c r="G3" s="139"/>
      <c r="H3" s="139"/>
      <c r="I3" s="139"/>
      <c r="J3" s="139"/>
      <c r="K3" s="1"/>
      <c r="L3" s="1"/>
      <c r="M3" s="1"/>
    </row>
    <row r="4" spans="1:13" ht="16.5" customHeight="1" x14ac:dyDescent="0.35">
      <c r="A4" s="8"/>
      <c r="B4" s="8"/>
      <c r="C4" s="8"/>
      <c r="D4" s="8"/>
      <c r="E4" s="8"/>
      <c r="F4" s="8"/>
      <c r="G4" s="8"/>
      <c r="H4" s="11"/>
      <c r="I4" s="11"/>
      <c r="J4" s="11"/>
      <c r="K4" s="1"/>
      <c r="L4" s="1"/>
      <c r="M4" s="1"/>
    </row>
    <row r="5" spans="1:13" x14ac:dyDescent="0.3">
      <c r="A5" s="11"/>
      <c r="B5" s="11"/>
      <c r="C5" s="11"/>
      <c r="D5" s="11"/>
      <c r="E5" s="11"/>
      <c r="F5" s="11"/>
      <c r="G5" s="10"/>
      <c r="H5" s="10"/>
      <c r="I5" s="10"/>
      <c r="J5" s="12" t="s">
        <v>2</v>
      </c>
    </row>
    <row r="6" spans="1:13" ht="18" customHeight="1" x14ac:dyDescent="0.3">
      <c r="A6" s="143" t="s">
        <v>36</v>
      </c>
      <c r="B6" s="143" t="s">
        <v>3</v>
      </c>
      <c r="C6" s="143" t="s">
        <v>0</v>
      </c>
      <c r="D6" s="143"/>
      <c r="E6" s="143"/>
      <c r="F6" s="143"/>
      <c r="G6" s="143" t="s">
        <v>1</v>
      </c>
      <c r="H6" s="143"/>
      <c r="I6" s="143"/>
      <c r="J6" s="143"/>
    </row>
    <row r="7" spans="1:13" ht="55.2" x14ac:dyDescent="0.3">
      <c r="A7" s="143"/>
      <c r="B7" s="143"/>
      <c r="C7" s="13" t="s">
        <v>31</v>
      </c>
      <c r="D7" s="14" t="s">
        <v>32</v>
      </c>
      <c r="E7" s="14" t="s">
        <v>33</v>
      </c>
      <c r="F7" s="14" t="s">
        <v>34</v>
      </c>
      <c r="G7" s="13" t="s">
        <v>31</v>
      </c>
      <c r="H7" s="14" t="s">
        <v>32</v>
      </c>
      <c r="I7" s="14" t="s">
        <v>33</v>
      </c>
      <c r="J7" s="14" t="s">
        <v>34</v>
      </c>
      <c r="K7" s="1"/>
      <c r="L7" s="1"/>
    </row>
    <row r="8" spans="1:13" s="51" customFormat="1" ht="42" x14ac:dyDescent="0.3">
      <c r="A8" s="48" t="s">
        <v>101</v>
      </c>
      <c r="B8" s="47"/>
      <c r="C8" s="109">
        <f>D8</f>
        <v>11971.924999999997</v>
      </c>
      <c r="D8" s="109">
        <f>D9+D19+D52+D54</f>
        <v>11971.924999999997</v>
      </c>
      <c r="E8" s="109"/>
      <c r="F8" s="109"/>
      <c r="G8" s="109">
        <f>H8</f>
        <v>11755.804059999997</v>
      </c>
      <c r="H8" s="109">
        <f t="shared" ref="H8" si="0">H9+H19+H52+H54</f>
        <v>11755.804059999997</v>
      </c>
      <c r="I8" s="110"/>
      <c r="J8" s="110"/>
    </row>
    <row r="9" spans="1:13" s="51" customFormat="1" ht="15.6" x14ac:dyDescent="0.3">
      <c r="A9" s="53" t="s">
        <v>168</v>
      </c>
      <c r="B9" s="104"/>
      <c r="C9" s="109">
        <f>D9</f>
        <v>3218.2</v>
      </c>
      <c r="D9" s="109">
        <f>SUM(D10:D18)</f>
        <v>3218.2</v>
      </c>
      <c r="E9" s="109"/>
      <c r="F9" s="109"/>
      <c r="G9" s="109">
        <f t="shared" ref="G9:H9" si="1">SUM(G10:G18)</f>
        <v>3173.2</v>
      </c>
      <c r="H9" s="109">
        <f t="shared" si="1"/>
        <v>3173.2</v>
      </c>
      <c r="I9" s="110"/>
      <c r="J9" s="110"/>
      <c r="K9" s="105"/>
      <c r="L9" s="105"/>
    </row>
    <row r="10" spans="1:13" s="51" customFormat="1" ht="27.6" customHeight="1" x14ac:dyDescent="0.3">
      <c r="A10" s="147" t="s">
        <v>170</v>
      </c>
      <c r="B10" s="58" t="s">
        <v>197</v>
      </c>
      <c r="C10" s="110">
        <f>D10</f>
        <v>109.8</v>
      </c>
      <c r="D10" s="110">
        <v>109.8</v>
      </c>
      <c r="E10" s="110"/>
      <c r="F10" s="110"/>
      <c r="G10" s="110">
        <f>H10</f>
        <v>107</v>
      </c>
      <c r="H10" s="110">
        <v>107</v>
      </c>
      <c r="I10" s="110"/>
      <c r="J10" s="110"/>
      <c r="K10" s="105"/>
      <c r="L10" s="105"/>
    </row>
    <row r="11" spans="1:13" s="51" customFormat="1" ht="15.6" customHeight="1" x14ac:dyDescent="0.3">
      <c r="A11" s="148"/>
      <c r="B11" s="58" t="s">
        <v>198</v>
      </c>
      <c r="C11" s="110">
        <f t="shared" ref="C11:C18" si="2">D11</f>
        <v>12.3</v>
      </c>
      <c r="D11" s="110">
        <v>12.3</v>
      </c>
      <c r="E11" s="110"/>
      <c r="F11" s="110"/>
      <c r="G11" s="110">
        <f t="shared" ref="G11:G18" si="3">H11</f>
        <v>12.3</v>
      </c>
      <c r="H11" s="110">
        <v>12.3</v>
      </c>
      <c r="I11" s="110"/>
      <c r="J11" s="110"/>
      <c r="K11" s="105"/>
      <c r="L11" s="105"/>
    </row>
    <row r="12" spans="1:13" s="51" customFormat="1" ht="15.6" customHeight="1" x14ac:dyDescent="0.3">
      <c r="A12" s="148"/>
      <c r="B12" s="108" t="s">
        <v>185</v>
      </c>
      <c r="C12" s="110">
        <f t="shared" si="2"/>
        <v>965.1</v>
      </c>
      <c r="D12" s="110">
        <v>965.1</v>
      </c>
      <c r="E12" s="110"/>
      <c r="F12" s="110"/>
      <c r="G12" s="110">
        <f t="shared" si="3"/>
        <v>965.1</v>
      </c>
      <c r="H12" s="110">
        <v>965.1</v>
      </c>
      <c r="I12" s="110"/>
      <c r="J12" s="110"/>
      <c r="K12" s="105"/>
      <c r="L12" s="105"/>
    </row>
    <row r="13" spans="1:13" s="51" customFormat="1" ht="15.6" customHeight="1" x14ac:dyDescent="0.3">
      <c r="A13" s="148"/>
      <c r="B13" s="106" t="s">
        <v>199</v>
      </c>
      <c r="C13" s="110">
        <f t="shared" si="2"/>
        <v>70</v>
      </c>
      <c r="D13" s="110">
        <v>70</v>
      </c>
      <c r="E13" s="110"/>
      <c r="F13" s="110"/>
      <c r="G13" s="110">
        <f t="shared" si="3"/>
        <v>70</v>
      </c>
      <c r="H13" s="110">
        <v>70</v>
      </c>
      <c r="I13" s="111"/>
      <c r="J13" s="111"/>
      <c r="K13" s="105"/>
      <c r="L13" s="105"/>
    </row>
    <row r="14" spans="1:13" s="51" customFormat="1" ht="70.95" customHeight="1" x14ac:dyDescent="0.3">
      <c r="A14" s="149"/>
      <c r="B14" s="106" t="s">
        <v>178</v>
      </c>
      <c r="C14" s="110">
        <f t="shared" si="2"/>
        <v>1102.5</v>
      </c>
      <c r="D14" s="110">
        <v>1102.5</v>
      </c>
      <c r="E14" s="110"/>
      <c r="F14" s="110"/>
      <c r="G14" s="110">
        <f t="shared" si="3"/>
        <v>1060.3</v>
      </c>
      <c r="H14" s="110">
        <v>1060.3</v>
      </c>
      <c r="I14" s="111"/>
      <c r="J14" s="111"/>
      <c r="K14" s="105"/>
      <c r="L14" s="105"/>
    </row>
    <row r="15" spans="1:13" s="51" customFormat="1" ht="68.7" customHeight="1" x14ac:dyDescent="0.3">
      <c r="A15" s="104"/>
      <c r="B15" s="106" t="s">
        <v>179</v>
      </c>
      <c r="C15" s="110">
        <f t="shared" si="2"/>
        <v>46.7</v>
      </c>
      <c r="D15" s="110">
        <v>46.7</v>
      </c>
      <c r="E15" s="110"/>
      <c r="F15" s="110"/>
      <c r="G15" s="110">
        <f t="shared" si="3"/>
        <v>46.7</v>
      </c>
      <c r="H15" s="110">
        <v>46.7</v>
      </c>
      <c r="I15" s="111"/>
      <c r="J15" s="111"/>
      <c r="K15" s="105"/>
      <c r="L15" s="105"/>
    </row>
    <row r="16" spans="1:13" s="51" customFormat="1" ht="67.2" customHeight="1" x14ac:dyDescent="0.3">
      <c r="A16" s="57"/>
      <c r="B16" s="107" t="s">
        <v>180</v>
      </c>
      <c r="C16" s="110">
        <f t="shared" si="2"/>
        <v>48</v>
      </c>
      <c r="D16" s="110">
        <v>48</v>
      </c>
      <c r="E16" s="110"/>
      <c r="F16" s="110"/>
      <c r="G16" s="110">
        <f t="shared" si="3"/>
        <v>48</v>
      </c>
      <c r="H16" s="110">
        <v>48</v>
      </c>
      <c r="I16" s="111"/>
      <c r="J16" s="111"/>
    </row>
    <row r="17" spans="1:10" s="51" customFormat="1" ht="27" customHeight="1" x14ac:dyDescent="0.3">
      <c r="A17" s="57"/>
      <c r="B17" s="107" t="s">
        <v>181</v>
      </c>
      <c r="C17" s="110">
        <f t="shared" si="2"/>
        <v>512.79999999999995</v>
      </c>
      <c r="D17" s="110">
        <v>512.79999999999995</v>
      </c>
      <c r="E17" s="110"/>
      <c r="F17" s="110"/>
      <c r="G17" s="110">
        <f t="shared" si="3"/>
        <v>512.79999999999995</v>
      </c>
      <c r="H17" s="110">
        <v>512.79999999999995</v>
      </c>
      <c r="I17" s="111"/>
      <c r="J17" s="111"/>
    </row>
    <row r="18" spans="1:10" s="51" customFormat="1" ht="46.95" customHeight="1" x14ac:dyDescent="0.3">
      <c r="A18" s="57"/>
      <c r="B18" s="107" t="s">
        <v>200</v>
      </c>
      <c r="C18" s="110">
        <f t="shared" si="2"/>
        <v>351</v>
      </c>
      <c r="D18" s="110">
        <v>351</v>
      </c>
      <c r="E18" s="110"/>
      <c r="F18" s="110"/>
      <c r="G18" s="110">
        <f t="shared" si="3"/>
        <v>351</v>
      </c>
      <c r="H18" s="110">
        <v>351</v>
      </c>
      <c r="I18" s="111"/>
      <c r="J18" s="111"/>
    </row>
    <row r="19" spans="1:10" s="51" customFormat="1" x14ac:dyDescent="0.3">
      <c r="A19" s="53" t="s">
        <v>102</v>
      </c>
      <c r="B19" s="57"/>
      <c r="C19" s="109">
        <f>D19</f>
        <v>8501.0249999999996</v>
      </c>
      <c r="D19" s="109">
        <f>SUM(D20:D51)</f>
        <v>8501.0249999999996</v>
      </c>
      <c r="E19" s="109">
        <f t="shared" ref="E19:F19" si="4">SUM(E20:E55)</f>
        <v>0</v>
      </c>
      <c r="F19" s="109">
        <f t="shared" si="4"/>
        <v>0</v>
      </c>
      <c r="G19" s="109">
        <f>SUM(G20:G51)</f>
        <v>8464.0549999999985</v>
      </c>
      <c r="H19" s="109">
        <f>SUM(H20:H51)</f>
        <v>8464.0549999999985</v>
      </c>
      <c r="I19" s="110"/>
      <c r="J19" s="110"/>
    </row>
    <row r="20" spans="1:10" s="51" customFormat="1" ht="23.4" customHeight="1" x14ac:dyDescent="0.3">
      <c r="A20" s="144" t="s">
        <v>155</v>
      </c>
      <c r="B20" s="167" t="s">
        <v>207</v>
      </c>
      <c r="C20" s="110">
        <f>D20</f>
        <v>4130.9489999999996</v>
      </c>
      <c r="D20" s="110">
        <f>4130.949</f>
        <v>4130.9489999999996</v>
      </c>
      <c r="E20" s="110"/>
      <c r="F20" s="110"/>
      <c r="G20" s="110">
        <f>H20</f>
        <v>4130.9489999999996</v>
      </c>
      <c r="H20" s="110">
        <f>4130.949</f>
        <v>4130.9489999999996</v>
      </c>
      <c r="I20" s="110"/>
      <c r="J20" s="110"/>
    </row>
    <row r="21" spans="1:10" s="51" customFormat="1" ht="28.2" x14ac:dyDescent="0.3">
      <c r="A21" s="145"/>
      <c r="B21" s="167" t="s">
        <v>233</v>
      </c>
      <c r="C21" s="110">
        <f t="shared" ref="C21:C51" si="5">D21</f>
        <v>652.5</v>
      </c>
      <c r="D21" s="110">
        <f>455.5+197</f>
        <v>652.5</v>
      </c>
      <c r="E21" s="110"/>
      <c r="F21" s="110"/>
      <c r="G21" s="110">
        <f t="shared" ref="G21:G51" si="6">H21</f>
        <v>640.91300000000001</v>
      </c>
      <c r="H21" s="110">
        <v>640.91300000000001</v>
      </c>
      <c r="I21" s="110"/>
      <c r="J21" s="110"/>
    </row>
    <row r="22" spans="1:10" s="51" customFormat="1" x14ac:dyDescent="0.3">
      <c r="A22" s="146"/>
      <c r="B22" s="167" t="s">
        <v>234</v>
      </c>
      <c r="C22" s="110">
        <f t="shared" si="5"/>
        <v>55</v>
      </c>
      <c r="D22" s="110">
        <v>55</v>
      </c>
      <c r="E22" s="110"/>
      <c r="F22" s="110"/>
      <c r="G22" s="110">
        <f t="shared" si="6"/>
        <v>55</v>
      </c>
      <c r="H22" s="110">
        <v>55</v>
      </c>
      <c r="I22" s="110"/>
      <c r="J22" s="110"/>
    </row>
    <row r="23" spans="1:10" s="51" customFormat="1" x14ac:dyDescent="0.3">
      <c r="A23" s="57"/>
      <c r="B23" s="167" t="s">
        <v>208</v>
      </c>
      <c r="C23" s="110">
        <f t="shared" si="5"/>
        <v>140.20500000000001</v>
      </c>
      <c r="D23" s="110">
        <v>140.20500000000001</v>
      </c>
      <c r="E23" s="110"/>
      <c r="F23" s="110"/>
      <c r="G23" s="110">
        <f t="shared" si="6"/>
        <v>140.20500000000001</v>
      </c>
      <c r="H23" s="110">
        <v>140.20500000000001</v>
      </c>
      <c r="I23" s="110"/>
      <c r="J23" s="110"/>
    </row>
    <row r="24" spans="1:10" s="51" customFormat="1" x14ac:dyDescent="0.3">
      <c r="A24" s="57"/>
      <c r="B24" s="167" t="s">
        <v>209</v>
      </c>
      <c r="C24" s="110">
        <f t="shared" si="5"/>
        <v>72</v>
      </c>
      <c r="D24" s="110">
        <v>72</v>
      </c>
      <c r="E24" s="110"/>
      <c r="F24" s="110"/>
      <c r="G24" s="110">
        <f t="shared" si="6"/>
        <v>72</v>
      </c>
      <c r="H24" s="110">
        <v>72</v>
      </c>
      <c r="I24" s="110"/>
      <c r="J24" s="110"/>
    </row>
    <row r="25" spans="1:10" s="51" customFormat="1" x14ac:dyDescent="0.3">
      <c r="A25" s="57"/>
      <c r="B25" s="167" t="s">
        <v>210</v>
      </c>
      <c r="C25" s="110">
        <f t="shared" si="5"/>
        <v>155.846</v>
      </c>
      <c r="D25" s="110">
        <v>155.846</v>
      </c>
      <c r="E25" s="110"/>
      <c r="F25" s="110"/>
      <c r="G25" s="110">
        <f t="shared" si="6"/>
        <v>155.846</v>
      </c>
      <c r="H25" s="110">
        <v>155.846</v>
      </c>
      <c r="I25" s="110"/>
      <c r="J25" s="110"/>
    </row>
    <row r="26" spans="1:10" s="51" customFormat="1" ht="21" customHeight="1" x14ac:dyDescent="0.3">
      <c r="A26" s="57"/>
      <c r="B26" s="167" t="s">
        <v>211</v>
      </c>
      <c r="C26" s="110">
        <f t="shared" si="5"/>
        <v>95</v>
      </c>
      <c r="D26" s="110">
        <v>95</v>
      </c>
      <c r="E26" s="110"/>
      <c r="F26" s="110"/>
      <c r="G26" s="110">
        <f t="shared" si="6"/>
        <v>95</v>
      </c>
      <c r="H26" s="110">
        <v>95</v>
      </c>
      <c r="I26" s="110"/>
      <c r="J26" s="110"/>
    </row>
    <row r="27" spans="1:10" s="51" customFormat="1" ht="31.2" customHeight="1" x14ac:dyDescent="0.3">
      <c r="A27" s="57"/>
      <c r="B27" s="167" t="s">
        <v>212</v>
      </c>
      <c r="C27" s="110">
        <f t="shared" si="5"/>
        <v>1332.1</v>
      </c>
      <c r="D27" s="110">
        <v>1332.1</v>
      </c>
      <c r="E27" s="110"/>
      <c r="F27" s="110"/>
      <c r="G27" s="110">
        <f t="shared" si="6"/>
        <v>1332.1</v>
      </c>
      <c r="H27" s="110">
        <v>1332.1</v>
      </c>
      <c r="I27" s="110"/>
      <c r="J27" s="110"/>
    </row>
    <row r="28" spans="1:10" s="51" customFormat="1" ht="19.2" customHeight="1" x14ac:dyDescent="0.3">
      <c r="A28" s="57"/>
      <c r="B28" s="167" t="s">
        <v>213</v>
      </c>
      <c r="C28" s="110">
        <f t="shared" si="5"/>
        <v>49.580000000000005</v>
      </c>
      <c r="D28" s="110">
        <f>42.093+7.487</f>
        <v>49.580000000000005</v>
      </c>
      <c r="E28" s="110"/>
      <c r="F28" s="110"/>
      <c r="G28" s="110">
        <f t="shared" si="6"/>
        <v>42.093000000000004</v>
      </c>
      <c r="H28" s="110">
        <v>42.093000000000004</v>
      </c>
      <c r="I28" s="110"/>
      <c r="J28" s="110"/>
    </row>
    <row r="29" spans="1:10" s="51" customFormat="1" ht="42" x14ac:dyDescent="0.3">
      <c r="A29" s="57"/>
      <c r="B29" s="167" t="s">
        <v>214</v>
      </c>
      <c r="C29" s="110">
        <f t="shared" si="5"/>
        <v>112.1</v>
      </c>
      <c r="D29" s="110">
        <f>22.5+37.6+52</f>
        <v>112.1</v>
      </c>
      <c r="E29" s="110"/>
      <c r="F29" s="110"/>
      <c r="G29" s="110">
        <f t="shared" si="6"/>
        <v>104.18899999999999</v>
      </c>
      <c r="H29" s="110">
        <f>14.589+37.6+52</f>
        <v>104.18899999999999</v>
      </c>
      <c r="I29" s="110"/>
      <c r="J29" s="110"/>
    </row>
    <row r="30" spans="1:10" s="51" customFormat="1" x14ac:dyDescent="0.3">
      <c r="A30" s="57"/>
      <c r="B30" s="167" t="s">
        <v>215</v>
      </c>
      <c r="C30" s="110">
        <f t="shared" si="5"/>
        <v>40.25</v>
      </c>
      <c r="D30" s="110">
        <f>21.45+8.8+10</f>
        <v>40.25</v>
      </c>
      <c r="E30" s="110"/>
      <c r="F30" s="110"/>
      <c r="G30" s="110">
        <f t="shared" si="6"/>
        <v>41.78</v>
      </c>
      <c r="H30" s="110">
        <f>22.78+9+10</f>
        <v>41.78</v>
      </c>
      <c r="I30" s="110"/>
      <c r="J30" s="110"/>
    </row>
    <row r="31" spans="1:10" s="51" customFormat="1" ht="28.2" x14ac:dyDescent="0.3">
      <c r="A31" s="57"/>
      <c r="B31" s="167" t="s">
        <v>235</v>
      </c>
      <c r="C31" s="110">
        <f t="shared" si="5"/>
        <v>28</v>
      </c>
      <c r="D31" s="110">
        <v>28</v>
      </c>
      <c r="E31" s="110"/>
      <c r="F31" s="110"/>
      <c r="G31" s="110">
        <f t="shared" si="6"/>
        <v>28</v>
      </c>
      <c r="H31" s="110">
        <v>28</v>
      </c>
      <c r="I31" s="110"/>
      <c r="J31" s="110"/>
    </row>
    <row r="32" spans="1:10" s="51" customFormat="1" x14ac:dyDescent="0.3">
      <c r="A32" s="57"/>
      <c r="B32" s="167" t="s">
        <v>216</v>
      </c>
      <c r="C32" s="110">
        <f t="shared" si="5"/>
        <v>228.58</v>
      </c>
      <c r="D32" s="110">
        <f>194.58+34</f>
        <v>228.58</v>
      </c>
      <c r="E32" s="110"/>
      <c r="F32" s="110"/>
      <c r="G32" s="110">
        <f t="shared" si="6"/>
        <v>228.58</v>
      </c>
      <c r="H32" s="110">
        <f>194.58+34</f>
        <v>228.58</v>
      </c>
      <c r="I32" s="110"/>
      <c r="J32" s="110"/>
    </row>
    <row r="33" spans="1:10" s="51" customFormat="1" x14ac:dyDescent="0.3">
      <c r="A33" s="57"/>
      <c r="B33" s="167" t="s">
        <v>217</v>
      </c>
      <c r="C33" s="110">
        <f t="shared" si="5"/>
        <v>252.4</v>
      </c>
      <c r="D33" s="110">
        <f>200+76-23.6</f>
        <v>252.4</v>
      </c>
      <c r="E33" s="110"/>
      <c r="F33" s="110"/>
      <c r="G33" s="110">
        <f t="shared" si="6"/>
        <v>240.99599999999998</v>
      </c>
      <c r="H33" s="110">
        <f>173.5+67.496</f>
        <v>240.99599999999998</v>
      </c>
      <c r="I33" s="110"/>
      <c r="J33" s="110"/>
    </row>
    <row r="34" spans="1:10" s="51" customFormat="1" x14ac:dyDescent="0.3">
      <c r="A34" s="57"/>
      <c r="B34" s="167" t="s">
        <v>218</v>
      </c>
      <c r="C34" s="110">
        <f t="shared" si="5"/>
        <v>32.5</v>
      </c>
      <c r="D34" s="110">
        <v>32.5</v>
      </c>
      <c r="E34" s="110"/>
      <c r="F34" s="110"/>
      <c r="G34" s="110">
        <f t="shared" si="6"/>
        <v>32.5</v>
      </c>
      <c r="H34" s="110">
        <v>32.5</v>
      </c>
      <c r="I34" s="110"/>
      <c r="J34" s="110"/>
    </row>
    <row r="35" spans="1:10" s="51" customFormat="1" ht="28.2" x14ac:dyDescent="0.3">
      <c r="A35" s="57"/>
      <c r="B35" s="167" t="s">
        <v>219</v>
      </c>
      <c r="C35" s="110">
        <f t="shared" si="5"/>
        <v>8</v>
      </c>
      <c r="D35" s="110">
        <v>8</v>
      </c>
      <c r="E35" s="110"/>
      <c r="F35" s="110"/>
      <c r="G35" s="110">
        <f t="shared" si="6"/>
        <v>8</v>
      </c>
      <c r="H35" s="110">
        <v>8</v>
      </c>
      <c r="I35" s="110"/>
      <c r="J35" s="110"/>
    </row>
    <row r="36" spans="1:10" s="51" customFormat="1" x14ac:dyDescent="0.3">
      <c r="A36" s="57"/>
      <c r="B36" s="167" t="s">
        <v>220</v>
      </c>
      <c r="C36" s="110">
        <f t="shared" si="5"/>
        <v>96.2</v>
      </c>
      <c r="D36" s="110">
        <f>34.2+24+38</f>
        <v>96.2</v>
      </c>
      <c r="E36" s="110"/>
      <c r="F36" s="110"/>
      <c r="G36" s="110">
        <f t="shared" si="6"/>
        <v>98.2</v>
      </c>
      <c r="H36" s="110">
        <f>34.2+26+38</f>
        <v>98.2</v>
      </c>
      <c r="I36" s="110"/>
      <c r="J36" s="110"/>
    </row>
    <row r="37" spans="1:10" s="51" customFormat="1" x14ac:dyDescent="0.3">
      <c r="A37" s="57"/>
      <c r="B37" s="167" t="s">
        <v>221</v>
      </c>
      <c r="C37" s="110">
        <f t="shared" si="5"/>
        <v>118</v>
      </c>
      <c r="D37" s="110">
        <v>118</v>
      </c>
      <c r="E37" s="110"/>
      <c r="F37" s="110"/>
      <c r="G37" s="110">
        <f t="shared" si="6"/>
        <v>111.46</v>
      </c>
      <c r="H37" s="110">
        <f>104+7.46</f>
        <v>111.46</v>
      </c>
      <c r="I37" s="110"/>
      <c r="J37" s="110"/>
    </row>
    <row r="38" spans="1:10" s="51" customFormat="1" ht="28.2" x14ac:dyDescent="0.3">
      <c r="A38" s="57"/>
      <c r="B38" s="167" t="s">
        <v>222</v>
      </c>
      <c r="C38" s="110">
        <f t="shared" si="5"/>
        <v>84.814999999999998</v>
      </c>
      <c r="D38" s="110">
        <f>39.615+21.2+9+15</f>
        <v>84.814999999999998</v>
      </c>
      <c r="E38" s="110"/>
      <c r="F38" s="110"/>
      <c r="G38" s="110">
        <f t="shared" si="6"/>
        <v>80.615000000000009</v>
      </c>
      <c r="H38" s="110">
        <f>39.615+17+9+15</f>
        <v>80.615000000000009</v>
      </c>
      <c r="I38" s="110"/>
      <c r="J38" s="110"/>
    </row>
    <row r="39" spans="1:10" s="51" customFormat="1" ht="28.2" x14ac:dyDescent="0.3">
      <c r="A39" s="57"/>
      <c r="B39" s="167" t="s">
        <v>223</v>
      </c>
      <c r="C39" s="110">
        <f t="shared" si="5"/>
        <v>81</v>
      </c>
      <c r="D39" s="110">
        <f>15+30+36</f>
        <v>81</v>
      </c>
      <c r="E39" s="110"/>
      <c r="F39" s="110"/>
      <c r="G39" s="110">
        <f t="shared" si="6"/>
        <v>81</v>
      </c>
      <c r="H39" s="110">
        <f>15+30+36</f>
        <v>81</v>
      </c>
      <c r="I39" s="110"/>
      <c r="J39" s="110"/>
    </row>
    <row r="40" spans="1:10" s="51" customFormat="1" ht="28.2" x14ac:dyDescent="0.3">
      <c r="A40" s="57"/>
      <c r="B40" s="167" t="s">
        <v>238</v>
      </c>
      <c r="C40" s="110">
        <f t="shared" si="5"/>
        <v>0</v>
      </c>
      <c r="D40" s="110"/>
      <c r="E40" s="110"/>
      <c r="F40" s="110"/>
      <c r="G40" s="110">
        <f t="shared" si="6"/>
        <v>10</v>
      </c>
      <c r="H40" s="110">
        <v>10</v>
      </c>
      <c r="I40" s="110"/>
      <c r="J40" s="110"/>
    </row>
    <row r="41" spans="1:10" s="51" customFormat="1" x14ac:dyDescent="0.3">
      <c r="A41" s="57"/>
      <c r="B41" s="167" t="s">
        <v>224</v>
      </c>
      <c r="C41" s="110">
        <f t="shared" si="5"/>
        <v>0</v>
      </c>
      <c r="D41" s="110"/>
      <c r="E41" s="110"/>
      <c r="F41" s="110"/>
      <c r="G41" s="110">
        <f t="shared" si="6"/>
        <v>8</v>
      </c>
      <c r="H41" s="110">
        <v>8</v>
      </c>
      <c r="I41" s="110"/>
      <c r="J41" s="110"/>
    </row>
    <row r="42" spans="1:10" s="51" customFormat="1" x14ac:dyDescent="0.3">
      <c r="A42" s="57"/>
      <c r="B42" s="167" t="s">
        <v>225</v>
      </c>
      <c r="C42" s="110">
        <f t="shared" si="5"/>
        <v>136</v>
      </c>
      <c r="D42" s="110">
        <f>40+13+83</f>
        <v>136</v>
      </c>
      <c r="E42" s="110"/>
      <c r="F42" s="110"/>
      <c r="G42" s="110">
        <f t="shared" si="6"/>
        <v>133.50400000000002</v>
      </c>
      <c r="H42" s="110">
        <f>40+13+80.504</f>
        <v>133.50400000000002</v>
      </c>
      <c r="I42" s="110"/>
      <c r="J42" s="110"/>
    </row>
    <row r="43" spans="1:10" s="51" customFormat="1" x14ac:dyDescent="0.3">
      <c r="A43" s="57"/>
      <c r="B43" s="167" t="s">
        <v>226</v>
      </c>
      <c r="C43" s="110">
        <f t="shared" si="5"/>
        <v>6.5</v>
      </c>
      <c r="D43" s="110">
        <v>6.5</v>
      </c>
      <c r="E43" s="110"/>
      <c r="F43" s="110"/>
      <c r="G43" s="110">
        <f t="shared" si="6"/>
        <v>6.5</v>
      </c>
      <c r="H43" s="110">
        <v>6.5</v>
      </c>
      <c r="I43" s="110"/>
      <c r="J43" s="110"/>
    </row>
    <row r="44" spans="1:10" s="51" customFormat="1" x14ac:dyDescent="0.3">
      <c r="A44" s="57"/>
      <c r="B44" s="167" t="s">
        <v>227</v>
      </c>
      <c r="C44" s="110">
        <f t="shared" si="5"/>
        <v>13</v>
      </c>
      <c r="D44" s="110">
        <v>13</v>
      </c>
      <c r="E44" s="110"/>
      <c r="F44" s="110"/>
      <c r="G44" s="110">
        <f t="shared" si="6"/>
        <v>13</v>
      </c>
      <c r="H44" s="110">
        <v>13</v>
      </c>
      <c r="I44" s="110"/>
      <c r="J44" s="110"/>
    </row>
    <row r="45" spans="1:10" s="51" customFormat="1" x14ac:dyDescent="0.3">
      <c r="A45" s="57"/>
      <c r="B45" s="167" t="s">
        <v>228</v>
      </c>
      <c r="C45" s="110">
        <f t="shared" si="5"/>
        <v>14</v>
      </c>
      <c r="D45" s="110">
        <v>14</v>
      </c>
      <c r="E45" s="110"/>
      <c r="F45" s="110"/>
      <c r="G45" s="110">
        <f t="shared" si="6"/>
        <v>14</v>
      </c>
      <c r="H45" s="110">
        <v>14</v>
      </c>
      <c r="I45" s="110"/>
      <c r="J45" s="110"/>
    </row>
    <row r="46" spans="1:10" s="51" customFormat="1" x14ac:dyDescent="0.3">
      <c r="A46" s="57"/>
      <c r="B46" s="167" t="s">
        <v>229</v>
      </c>
      <c r="C46" s="110">
        <f t="shared" si="5"/>
        <v>39</v>
      </c>
      <c r="D46" s="110">
        <v>39</v>
      </c>
      <c r="E46" s="110"/>
      <c r="F46" s="110"/>
      <c r="G46" s="110">
        <f t="shared" si="6"/>
        <v>50</v>
      </c>
      <c r="H46" s="110">
        <v>50</v>
      </c>
      <c r="I46" s="110"/>
      <c r="J46" s="110"/>
    </row>
    <row r="47" spans="1:10" s="51" customFormat="1" ht="42" customHeight="1" x14ac:dyDescent="0.3">
      <c r="A47" s="57"/>
      <c r="B47" s="167" t="s">
        <v>230</v>
      </c>
      <c r="C47" s="110">
        <f t="shared" si="5"/>
        <v>150</v>
      </c>
      <c r="D47" s="110">
        <v>150</v>
      </c>
      <c r="E47" s="110"/>
      <c r="F47" s="110"/>
      <c r="G47" s="110">
        <f t="shared" si="6"/>
        <v>135.9</v>
      </c>
      <c r="H47" s="110">
        <v>135.9</v>
      </c>
      <c r="I47" s="110"/>
      <c r="J47" s="110"/>
    </row>
    <row r="48" spans="1:10" s="51" customFormat="1" x14ac:dyDescent="0.3">
      <c r="A48" s="57"/>
      <c r="B48" s="167" t="s">
        <v>231</v>
      </c>
      <c r="C48" s="110">
        <f t="shared" si="5"/>
        <v>103</v>
      </c>
      <c r="D48" s="110">
        <v>103</v>
      </c>
      <c r="E48" s="110"/>
      <c r="F48" s="110"/>
      <c r="G48" s="110">
        <f t="shared" si="6"/>
        <v>120.9</v>
      </c>
      <c r="H48" s="110">
        <v>120.9</v>
      </c>
      <c r="I48" s="110"/>
      <c r="J48" s="110"/>
    </row>
    <row r="49" spans="1:10" s="51" customFormat="1" ht="28.2" x14ac:dyDescent="0.3">
      <c r="A49" s="57"/>
      <c r="B49" s="167" t="s">
        <v>232</v>
      </c>
      <c r="C49" s="110">
        <f t="shared" si="5"/>
        <v>67.5</v>
      </c>
      <c r="D49" s="110">
        <v>67.5</v>
      </c>
      <c r="E49" s="110"/>
      <c r="F49" s="110"/>
      <c r="G49" s="110">
        <f t="shared" si="6"/>
        <v>44.4</v>
      </c>
      <c r="H49" s="110">
        <v>44.4</v>
      </c>
      <c r="I49" s="110"/>
      <c r="J49" s="110"/>
    </row>
    <row r="50" spans="1:10" s="51" customFormat="1" ht="28.2" x14ac:dyDescent="0.3">
      <c r="A50" s="57"/>
      <c r="B50" s="167" t="s">
        <v>236</v>
      </c>
      <c r="C50" s="110">
        <f t="shared" si="5"/>
        <v>192</v>
      </c>
      <c r="D50" s="110">
        <v>192</v>
      </c>
      <c r="E50" s="110"/>
      <c r="F50" s="110"/>
      <c r="G50" s="110">
        <f t="shared" si="6"/>
        <v>191.7</v>
      </c>
      <c r="H50" s="110">
        <v>191.7</v>
      </c>
      <c r="I50" s="110"/>
      <c r="J50" s="110"/>
    </row>
    <row r="51" spans="1:10" s="51" customFormat="1" ht="28.2" x14ac:dyDescent="0.3">
      <c r="A51" s="57"/>
      <c r="B51" s="167" t="s">
        <v>237</v>
      </c>
      <c r="C51" s="110">
        <f t="shared" si="5"/>
        <v>15</v>
      </c>
      <c r="D51" s="110">
        <v>15</v>
      </c>
      <c r="E51" s="110"/>
      <c r="F51" s="110"/>
      <c r="G51" s="110">
        <f t="shared" si="6"/>
        <v>16.725000000000001</v>
      </c>
      <c r="H51" s="110">
        <v>16.725000000000001</v>
      </c>
      <c r="I51" s="110"/>
      <c r="J51" s="110"/>
    </row>
    <row r="52" spans="1:10" s="55" customFormat="1" x14ac:dyDescent="0.3">
      <c r="A52" s="53" t="s">
        <v>93</v>
      </c>
      <c r="B52" s="54"/>
      <c r="C52" s="112">
        <f t="shared" ref="C52:C57" si="7">D52</f>
        <v>16.8</v>
      </c>
      <c r="D52" s="112">
        <f>D53</f>
        <v>16.8</v>
      </c>
      <c r="E52" s="112"/>
      <c r="F52" s="112"/>
      <c r="G52" s="112">
        <f t="shared" ref="G52" si="8">H52</f>
        <v>16.8</v>
      </c>
      <c r="H52" s="112">
        <f>H53</f>
        <v>16.8</v>
      </c>
      <c r="I52" s="112"/>
      <c r="J52" s="112"/>
    </row>
    <row r="53" spans="1:10" s="51" customFormat="1" ht="43.2" x14ac:dyDescent="0.3">
      <c r="A53" s="53" t="s">
        <v>132</v>
      </c>
      <c r="B53" s="150" t="s">
        <v>204</v>
      </c>
      <c r="C53" s="152">
        <f t="shared" si="7"/>
        <v>16.8</v>
      </c>
      <c r="D53" s="152">
        <f>16800/1000</f>
        <v>16.8</v>
      </c>
      <c r="E53" s="152"/>
      <c r="F53" s="152"/>
      <c r="G53" s="152">
        <f t="shared" ref="G53" si="9">H53</f>
        <v>16.8</v>
      </c>
      <c r="H53" s="152">
        <f>16800/1000</f>
        <v>16.8</v>
      </c>
      <c r="I53" s="110"/>
      <c r="J53" s="110"/>
    </row>
    <row r="54" spans="1:10" s="55" customFormat="1" x14ac:dyDescent="0.3">
      <c r="A54" s="53" t="s">
        <v>95</v>
      </c>
      <c r="B54" s="151"/>
      <c r="C54" s="112">
        <f t="shared" si="7"/>
        <v>235.9</v>
      </c>
      <c r="D54" s="112">
        <f>SUM(D55:D57)</f>
        <v>235.9</v>
      </c>
      <c r="E54" s="112"/>
      <c r="F54" s="112"/>
      <c r="G54" s="112">
        <f t="shared" ref="G54:G59" si="10">H54</f>
        <v>101.74906</v>
      </c>
      <c r="H54" s="112">
        <f>SUM(H55:H57)</f>
        <v>101.74906</v>
      </c>
      <c r="I54" s="112"/>
      <c r="J54" s="112"/>
    </row>
    <row r="55" spans="1:10" s="51" customFormat="1" ht="33" customHeight="1" x14ac:dyDescent="0.3">
      <c r="A55" s="153" t="s">
        <v>137</v>
      </c>
      <c r="B55" s="150" t="s">
        <v>96</v>
      </c>
      <c r="C55" s="152">
        <f t="shared" si="7"/>
        <v>37.5</v>
      </c>
      <c r="D55" s="152">
        <f>37500/1000</f>
        <v>37.5</v>
      </c>
      <c r="E55" s="152"/>
      <c r="F55" s="152"/>
      <c r="G55" s="152">
        <f t="shared" si="10"/>
        <v>37.5</v>
      </c>
      <c r="H55" s="152">
        <f>37500/1000</f>
        <v>37.5</v>
      </c>
      <c r="I55" s="110"/>
      <c r="J55" s="110"/>
    </row>
    <row r="56" spans="1:10" s="51" customFormat="1" ht="25.2" customHeight="1" x14ac:dyDescent="0.3">
      <c r="A56" s="154"/>
      <c r="B56" s="150" t="s">
        <v>97</v>
      </c>
      <c r="C56" s="152">
        <f t="shared" si="7"/>
        <v>18.399999999999999</v>
      </c>
      <c r="D56" s="152">
        <f>(14500+3900)/1000</f>
        <v>18.399999999999999</v>
      </c>
      <c r="E56" s="152"/>
      <c r="F56" s="152"/>
      <c r="G56" s="152">
        <f t="shared" si="10"/>
        <v>14.5</v>
      </c>
      <c r="H56" s="152">
        <f>14500/1000</f>
        <v>14.5</v>
      </c>
      <c r="I56" s="110"/>
      <c r="J56" s="110"/>
    </row>
    <row r="57" spans="1:10" s="51" customFormat="1" ht="72.599999999999994" customHeight="1" x14ac:dyDescent="0.3">
      <c r="A57" s="56" t="s">
        <v>99</v>
      </c>
      <c r="B57" s="47" t="s">
        <v>98</v>
      </c>
      <c r="C57" s="152">
        <f t="shared" si="7"/>
        <v>180</v>
      </c>
      <c r="D57" s="152">
        <f>180000/1000</f>
        <v>180</v>
      </c>
      <c r="E57" s="152"/>
      <c r="F57" s="152"/>
      <c r="G57" s="152">
        <f t="shared" si="10"/>
        <v>49.74906</v>
      </c>
      <c r="H57" s="152">
        <f>49749.06/1000</f>
        <v>49.74906</v>
      </c>
      <c r="I57" s="110"/>
      <c r="J57" s="110"/>
    </row>
    <row r="58" spans="1:10" s="159" customFormat="1" ht="108.6" customHeight="1" x14ac:dyDescent="0.3">
      <c r="A58" s="156" t="s">
        <v>196</v>
      </c>
      <c r="B58" s="157"/>
      <c r="C58" s="155">
        <f>D58</f>
        <v>177</v>
      </c>
      <c r="D58" s="155">
        <f>D59</f>
        <v>177</v>
      </c>
      <c r="E58" s="155"/>
      <c r="F58" s="155"/>
      <c r="G58" s="155">
        <f t="shared" si="10"/>
        <v>175</v>
      </c>
      <c r="H58" s="155">
        <f>H59</f>
        <v>175</v>
      </c>
      <c r="I58" s="158"/>
      <c r="J58" s="158"/>
    </row>
    <row r="59" spans="1:10" s="118" customFormat="1" ht="29.4" customHeight="1" x14ac:dyDescent="0.3">
      <c r="A59" s="115" t="s">
        <v>186</v>
      </c>
      <c r="B59" s="116" t="s">
        <v>201</v>
      </c>
      <c r="C59" s="117">
        <f>D59</f>
        <v>177</v>
      </c>
      <c r="D59" s="117">
        <v>177</v>
      </c>
      <c r="E59" s="117"/>
      <c r="F59" s="117"/>
      <c r="G59" s="117">
        <f t="shared" si="10"/>
        <v>175</v>
      </c>
      <c r="H59" s="117">
        <v>175</v>
      </c>
      <c r="I59" s="117"/>
      <c r="J59" s="117"/>
    </row>
    <row r="60" spans="1:10" s="159" customFormat="1" ht="87" customHeight="1" x14ac:dyDescent="0.3">
      <c r="A60" s="156" t="s">
        <v>187</v>
      </c>
      <c r="B60" s="157"/>
      <c r="C60" s="158"/>
      <c r="D60" s="158"/>
      <c r="E60" s="158"/>
      <c r="F60" s="158"/>
      <c r="G60" s="158"/>
      <c r="H60" s="158"/>
      <c r="I60" s="158"/>
      <c r="J60" s="158"/>
    </row>
    <row r="61" spans="1:10" ht="34.799999999999997" customHeight="1" x14ac:dyDescent="0.3">
      <c r="A61" s="44" t="s">
        <v>103</v>
      </c>
      <c r="B61" s="45"/>
      <c r="C61" s="155">
        <f>SUM(C62:C65)</f>
        <v>75</v>
      </c>
      <c r="D61" s="155">
        <f t="shared" ref="D61:H61" si="11">SUM(D62:D65)</f>
        <v>75</v>
      </c>
      <c r="E61" s="155"/>
      <c r="F61" s="155"/>
      <c r="G61" s="155">
        <f t="shared" si="11"/>
        <v>75</v>
      </c>
      <c r="H61" s="155">
        <f t="shared" si="11"/>
        <v>75</v>
      </c>
      <c r="I61" s="113"/>
      <c r="J61" s="113"/>
    </row>
    <row r="62" spans="1:10" x14ac:dyDescent="0.3">
      <c r="A62" s="43"/>
      <c r="B62" s="15" t="s">
        <v>67</v>
      </c>
      <c r="C62" s="114">
        <f>D62</f>
        <v>20</v>
      </c>
      <c r="D62" s="114">
        <v>20</v>
      </c>
      <c r="E62" s="114"/>
      <c r="F62" s="114"/>
      <c r="G62" s="114">
        <f>H62</f>
        <v>20</v>
      </c>
      <c r="H62" s="114">
        <v>20</v>
      </c>
      <c r="I62" s="114"/>
      <c r="J62" s="114"/>
    </row>
    <row r="63" spans="1:10" x14ac:dyDescent="0.3">
      <c r="A63" s="43"/>
      <c r="B63" s="15" t="s">
        <v>68</v>
      </c>
      <c r="C63" s="114">
        <f>D63</f>
        <v>20.5</v>
      </c>
      <c r="D63" s="114">
        <v>20.5</v>
      </c>
      <c r="E63" s="114"/>
      <c r="F63" s="114"/>
      <c r="G63" s="114">
        <f>H63</f>
        <v>20.5</v>
      </c>
      <c r="H63" s="114">
        <v>20.5</v>
      </c>
      <c r="I63" s="114"/>
      <c r="J63" s="114"/>
    </row>
    <row r="64" spans="1:10" x14ac:dyDescent="0.3">
      <c r="A64" s="43"/>
      <c r="B64" s="15" t="s">
        <v>69</v>
      </c>
      <c r="C64" s="114">
        <f>D64</f>
        <v>25</v>
      </c>
      <c r="D64" s="114">
        <v>25</v>
      </c>
      <c r="E64" s="114"/>
      <c r="F64" s="114"/>
      <c r="G64" s="114">
        <f>H64</f>
        <v>25</v>
      </c>
      <c r="H64" s="114">
        <v>25</v>
      </c>
      <c r="I64" s="114"/>
      <c r="J64" s="114"/>
    </row>
    <row r="65" spans="1:10" x14ac:dyDescent="0.3">
      <c r="A65" s="43"/>
      <c r="B65" s="57" t="s">
        <v>70</v>
      </c>
      <c r="C65" s="114">
        <f>D65</f>
        <v>9.5</v>
      </c>
      <c r="D65" s="114">
        <v>9.5</v>
      </c>
      <c r="E65" s="114"/>
      <c r="F65" s="114"/>
      <c r="G65" s="114">
        <f>H65</f>
        <v>9.5</v>
      </c>
      <c r="H65" s="114">
        <v>9.5</v>
      </c>
      <c r="I65" s="114"/>
      <c r="J65" s="114"/>
    </row>
    <row r="66" spans="1:10" ht="42" x14ac:dyDescent="0.3">
      <c r="A66" s="44" t="s">
        <v>104</v>
      </c>
      <c r="B66" s="45"/>
      <c r="C66" s="113">
        <f>SUM(C67:C68)</f>
        <v>50</v>
      </c>
      <c r="D66" s="113">
        <f>SUM(D67:D68)</f>
        <v>50</v>
      </c>
      <c r="E66" s="113"/>
      <c r="F66" s="113"/>
      <c r="G66" s="113">
        <f t="shared" ref="G66:H66" si="12">SUM(G67:G68)</f>
        <v>50</v>
      </c>
      <c r="H66" s="113">
        <f t="shared" si="12"/>
        <v>50</v>
      </c>
      <c r="I66" s="113"/>
      <c r="J66" s="113"/>
    </row>
    <row r="67" spans="1:10" x14ac:dyDescent="0.3">
      <c r="A67" s="43"/>
      <c r="B67" s="15" t="s">
        <v>71</v>
      </c>
      <c r="C67" s="114">
        <f>D67</f>
        <v>31.5</v>
      </c>
      <c r="D67" s="114">
        <v>31.5</v>
      </c>
      <c r="E67" s="114"/>
      <c r="F67" s="114"/>
      <c r="G67" s="114">
        <f>H67</f>
        <v>31.5</v>
      </c>
      <c r="H67" s="114">
        <v>31.5</v>
      </c>
      <c r="I67" s="114"/>
      <c r="J67" s="114"/>
    </row>
    <row r="68" spans="1:10" x14ac:dyDescent="0.3">
      <c r="A68" s="43"/>
      <c r="B68" s="15" t="s">
        <v>67</v>
      </c>
      <c r="C68" s="114">
        <f>D68</f>
        <v>18.5</v>
      </c>
      <c r="D68" s="114">
        <v>18.5</v>
      </c>
      <c r="E68" s="114"/>
      <c r="F68" s="114"/>
      <c r="G68" s="114">
        <f>H68</f>
        <v>18.5</v>
      </c>
      <c r="H68" s="114">
        <v>18.5</v>
      </c>
      <c r="I68" s="114"/>
      <c r="J68" s="114"/>
    </row>
    <row r="69" spans="1:10" ht="48" customHeight="1" x14ac:dyDescent="0.3">
      <c r="A69" s="44" t="s">
        <v>105</v>
      </c>
      <c r="B69" s="46"/>
      <c r="C69" s="113">
        <f>SUM(C70:C74)</f>
        <v>125</v>
      </c>
      <c r="D69" s="113">
        <f>SUM(D70:D74)</f>
        <v>125</v>
      </c>
      <c r="E69" s="113"/>
      <c r="F69" s="113"/>
      <c r="G69" s="113">
        <f>SUM(G70:G74)</f>
        <v>125</v>
      </c>
      <c r="H69" s="113">
        <f>SUM(H70:H74)</f>
        <v>125</v>
      </c>
      <c r="I69" s="113"/>
      <c r="J69" s="113"/>
    </row>
    <row r="70" spans="1:10" ht="28.2" x14ac:dyDescent="0.3">
      <c r="A70" s="43"/>
      <c r="B70" s="47" t="s">
        <v>72</v>
      </c>
      <c r="C70" s="114">
        <f>D70</f>
        <v>22.5</v>
      </c>
      <c r="D70" s="114">
        <v>22.5</v>
      </c>
      <c r="E70" s="114"/>
      <c r="F70" s="114"/>
      <c r="G70" s="114">
        <f>H70</f>
        <v>22.5</v>
      </c>
      <c r="H70" s="114">
        <v>22.5</v>
      </c>
      <c r="I70" s="114"/>
      <c r="J70" s="114"/>
    </row>
    <row r="71" spans="1:10" ht="28.2" x14ac:dyDescent="0.3">
      <c r="A71" s="43"/>
      <c r="B71" s="47" t="s">
        <v>72</v>
      </c>
      <c r="C71" s="114">
        <f>D71</f>
        <v>29.9</v>
      </c>
      <c r="D71" s="114">
        <v>29.9</v>
      </c>
      <c r="E71" s="114"/>
      <c r="F71" s="114"/>
      <c r="G71" s="114">
        <f>H71</f>
        <v>29.9</v>
      </c>
      <c r="H71" s="114">
        <v>29.9</v>
      </c>
      <c r="I71" s="114"/>
      <c r="J71" s="114"/>
    </row>
    <row r="72" spans="1:10" ht="15" customHeight="1" x14ac:dyDescent="0.3">
      <c r="A72" s="43"/>
      <c r="B72" s="47" t="s">
        <v>73</v>
      </c>
      <c r="C72" s="114">
        <f t="shared" ref="C72:C74" si="13">D72</f>
        <v>27.5</v>
      </c>
      <c r="D72" s="114">
        <v>27.5</v>
      </c>
      <c r="E72" s="114"/>
      <c r="F72" s="114"/>
      <c r="G72" s="114">
        <f t="shared" ref="G72:G74" si="14">H72</f>
        <v>27.5</v>
      </c>
      <c r="H72" s="114">
        <v>27.5</v>
      </c>
      <c r="I72" s="114"/>
      <c r="J72" s="114"/>
    </row>
    <row r="73" spans="1:10" ht="28.2" x14ac:dyDescent="0.3">
      <c r="A73" s="43"/>
      <c r="B73" s="47" t="s">
        <v>74</v>
      </c>
      <c r="C73" s="114">
        <f t="shared" si="13"/>
        <v>17</v>
      </c>
      <c r="D73" s="114">
        <v>17</v>
      </c>
      <c r="E73" s="114"/>
      <c r="F73" s="114"/>
      <c r="G73" s="114">
        <f t="shared" si="14"/>
        <v>17</v>
      </c>
      <c r="H73" s="114">
        <v>17</v>
      </c>
      <c r="I73" s="114"/>
      <c r="J73" s="114"/>
    </row>
    <row r="74" spans="1:10" ht="28.2" x14ac:dyDescent="0.3">
      <c r="A74" s="43"/>
      <c r="B74" s="47" t="s">
        <v>75</v>
      </c>
      <c r="C74" s="114">
        <f t="shared" si="13"/>
        <v>28.1</v>
      </c>
      <c r="D74" s="114">
        <v>28.1</v>
      </c>
      <c r="E74" s="114"/>
      <c r="F74" s="114"/>
      <c r="G74" s="114">
        <f t="shared" si="14"/>
        <v>28.1</v>
      </c>
      <c r="H74" s="114">
        <v>28.1</v>
      </c>
      <c r="I74" s="114"/>
      <c r="J74" s="114"/>
    </row>
    <row r="75" spans="1:10" ht="28.2" x14ac:dyDescent="0.3">
      <c r="A75" s="44" t="s">
        <v>106</v>
      </c>
      <c r="B75" s="46"/>
      <c r="C75" s="113">
        <f>SUM(C76:C76)</f>
        <v>50</v>
      </c>
      <c r="D75" s="113">
        <f>SUM(D76:D76)</f>
        <v>50</v>
      </c>
      <c r="E75" s="113"/>
      <c r="F75" s="113"/>
      <c r="G75" s="113">
        <f>SUM(G76:G76)</f>
        <v>50</v>
      </c>
      <c r="H75" s="113">
        <f>SUM(H76:H76)</f>
        <v>50</v>
      </c>
      <c r="I75" s="113"/>
      <c r="J75" s="113"/>
    </row>
    <row r="76" spans="1:10" x14ac:dyDescent="0.3">
      <c r="A76" s="43"/>
      <c r="B76" s="47" t="s">
        <v>76</v>
      </c>
      <c r="C76" s="114">
        <f>D76</f>
        <v>50</v>
      </c>
      <c r="D76" s="114">
        <v>50</v>
      </c>
      <c r="E76" s="114"/>
      <c r="F76" s="114"/>
      <c r="G76" s="114">
        <f>H76</f>
        <v>50</v>
      </c>
      <c r="H76" s="114">
        <v>50</v>
      </c>
      <c r="I76" s="114"/>
      <c r="J76" s="114"/>
    </row>
    <row r="77" spans="1:10" s="49" customFormat="1" ht="139.80000000000001" customHeight="1" x14ac:dyDescent="0.3">
      <c r="A77" s="160" t="s">
        <v>188</v>
      </c>
      <c r="B77" s="48"/>
      <c r="C77" s="155">
        <f>C78+C79</f>
        <v>2920</v>
      </c>
      <c r="D77" s="155">
        <f>D78+D79</f>
        <v>2920</v>
      </c>
      <c r="E77" s="155"/>
      <c r="F77" s="155"/>
      <c r="G77" s="155">
        <f>G78+G79</f>
        <v>2319.8000000000002</v>
      </c>
      <c r="H77" s="155">
        <f>H78+H79</f>
        <v>2319.8000000000002</v>
      </c>
      <c r="I77" s="113"/>
      <c r="J77" s="113"/>
    </row>
    <row r="78" spans="1:10" ht="28.2" x14ac:dyDescent="0.3">
      <c r="A78" s="43" t="s">
        <v>78</v>
      </c>
      <c r="B78" s="47" t="s">
        <v>77</v>
      </c>
      <c r="C78" s="114">
        <f>D78</f>
        <v>2900</v>
      </c>
      <c r="D78" s="114">
        <v>2900</v>
      </c>
      <c r="E78" s="114"/>
      <c r="F78" s="114"/>
      <c r="G78" s="114">
        <f>H78</f>
        <v>2300</v>
      </c>
      <c r="H78" s="114">
        <v>2300</v>
      </c>
      <c r="I78" s="114"/>
      <c r="J78" s="114"/>
    </row>
    <row r="79" spans="1:10" ht="16.5" customHeight="1" x14ac:dyDescent="0.3">
      <c r="A79" s="43"/>
      <c r="B79" s="47" t="s">
        <v>205</v>
      </c>
      <c r="C79" s="114">
        <f>D79</f>
        <v>20</v>
      </c>
      <c r="D79" s="114">
        <v>20</v>
      </c>
      <c r="E79" s="114"/>
      <c r="F79" s="114"/>
      <c r="G79" s="114">
        <f>H79</f>
        <v>19.8</v>
      </c>
      <c r="H79" s="114">
        <v>19.8</v>
      </c>
      <c r="I79" s="114"/>
      <c r="J79" s="114"/>
    </row>
    <row r="80" spans="1:10" s="49" customFormat="1" ht="117.6" customHeight="1" x14ac:dyDescent="0.3">
      <c r="A80" s="44" t="s">
        <v>189</v>
      </c>
      <c r="B80" s="48"/>
      <c r="C80" s="155">
        <f>C81</f>
        <v>24</v>
      </c>
      <c r="D80" s="155">
        <f>D81</f>
        <v>24</v>
      </c>
      <c r="E80" s="155"/>
      <c r="F80" s="155"/>
      <c r="G80" s="155">
        <f>G81</f>
        <v>24</v>
      </c>
      <c r="H80" s="155">
        <f>H81</f>
        <v>24</v>
      </c>
      <c r="I80" s="113"/>
      <c r="J80" s="113"/>
    </row>
    <row r="81" spans="1:10" x14ac:dyDescent="0.3">
      <c r="A81" s="43"/>
      <c r="B81" s="47" t="s">
        <v>206</v>
      </c>
      <c r="C81" s="114">
        <f>D81</f>
        <v>24</v>
      </c>
      <c r="D81" s="114">
        <v>24</v>
      </c>
      <c r="E81" s="114"/>
      <c r="F81" s="114"/>
      <c r="G81" s="114">
        <f>H81</f>
        <v>24</v>
      </c>
      <c r="H81" s="114">
        <v>24</v>
      </c>
      <c r="I81" s="114"/>
      <c r="J81" s="114"/>
    </row>
    <row r="82" spans="1:10" s="162" customFormat="1" ht="72" x14ac:dyDescent="0.3">
      <c r="A82" s="160" t="s">
        <v>190</v>
      </c>
      <c r="B82" s="54"/>
      <c r="C82" s="161"/>
      <c r="D82" s="161"/>
      <c r="E82" s="161"/>
      <c r="F82" s="161"/>
      <c r="G82" s="161"/>
      <c r="H82" s="161"/>
      <c r="I82" s="161"/>
      <c r="J82" s="161"/>
    </row>
    <row r="83" spans="1:10" ht="28.2" x14ac:dyDescent="0.3">
      <c r="A83" s="44" t="s">
        <v>107</v>
      </c>
      <c r="B83" s="43"/>
      <c r="C83" s="113">
        <f>D83</f>
        <v>36</v>
      </c>
      <c r="D83" s="113">
        <f>SUM(D84:D86)</f>
        <v>36</v>
      </c>
      <c r="E83" s="114"/>
      <c r="F83" s="114"/>
      <c r="G83" s="113">
        <f>H83</f>
        <v>36</v>
      </c>
      <c r="H83" s="113">
        <f>SUM(H84:H86)</f>
        <v>36</v>
      </c>
      <c r="I83" s="114"/>
      <c r="J83" s="114"/>
    </row>
    <row r="84" spans="1:10" ht="28.2" x14ac:dyDescent="0.3">
      <c r="A84" s="43"/>
      <c r="B84" s="43" t="s">
        <v>182</v>
      </c>
      <c r="C84" s="114">
        <f>D84</f>
        <v>15</v>
      </c>
      <c r="D84" s="114">
        <f>15000/1000</f>
        <v>15</v>
      </c>
      <c r="E84" s="114"/>
      <c r="F84" s="114"/>
      <c r="G84" s="114">
        <f t="shared" ref="G84:G92" si="15">H84</f>
        <v>15</v>
      </c>
      <c r="H84" s="114">
        <f>15000/1000</f>
        <v>15</v>
      </c>
      <c r="I84" s="114"/>
      <c r="J84" s="114"/>
    </row>
    <row r="85" spans="1:10" x14ac:dyDescent="0.3">
      <c r="A85" s="43"/>
      <c r="B85" s="43" t="s">
        <v>68</v>
      </c>
      <c r="C85" s="114">
        <f t="shared" ref="C85:C92" si="16">D85</f>
        <v>11</v>
      </c>
      <c r="D85" s="114">
        <f>11000/1000</f>
        <v>11</v>
      </c>
      <c r="E85" s="114"/>
      <c r="F85" s="114"/>
      <c r="G85" s="114">
        <f t="shared" si="15"/>
        <v>11</v>
      </c>
      <c r="H85" s="114">
        <f>11000/1000</f>
        <v>11</v>
      </c>
      <c r="I85" s="114"/>
      <c r="J85" s="114"/>
    </row>
    <row r="86" spans="1:10" x14ac:dyDescent="0.3">
      <c r="A86" s="43"/>
      <c r="B86" s="43" t="s">
        <v>79</v>
      </c>
      <c r="C86" s="114">
        <f t="shared" si="16"/>
        <v>10</v>
      </c>
      <c r="D86" s="114">
        <f>10000/1000</f>
        <v>10</v>
      </c>
      <c r="E86" s="114"/>
      <c r="F86" s="114"/>
      <c r="G86" s="114">
        <f t="shared" si="15"/>
        <v>10</v>
      </c>
      <c r="H86" s="114">
        <f>10000/1000</f>
        <v>10</v>
      </c>
      <c r="I86" s="114"/>
      <c r="J86" s="114"/>
    </row>
    <row r="87" spans="1:10" ht="28.2" x14ac:dyDescent="0.3">
      <c r="A87" s="44" t="s">
        <v>108</v>
      </c>
      <c r="B87" s="43"/>
      <c r="C87" s="113">
        <f t="shared" si="16"/>
        <v>34.6</v>
      </c>
      <c r="D87" s="113">
        <f>D88</f>
        <v>34.6</v>
      </c>
      <c r="E87" s="114"/>
      <c r="F87" s="114"/>
      <c r="G87" s="113">
        <f t="shared" si="15"/>
        <v>34.6</v>
      </c>
      <c r="H87" s="113">
        <f>H88</f>
        <v>34.6</v>
      </c>
      <c r="I87" s="114"/>
      <c r="J87" s="114"/>
    </row>
    <row r="88" spans="1:10" x14ac:dyDescent="0.3">
      <c r="A88" s="119"/>
      <c r="B88" s="43" t="s">
        <v>203</v>
      </c>
      <c r="C88" s="114">
        <f t="shared" si="16"/>
        <v>34.6</v>
      </c>
      <c r="D88" s="114">
        <f>34.6</f>
        <v>34.6</v>
      </c>
      <c r="E88" s="114"/>
      <c r="F88" s="114"/>
      <c r="G88" s="114">
        <f t="shared" si="15"/>
        <v>34.6</v>
      </c>
      <c r="H88" s="114">
        <f>34.6</f>
        <v>34.6</v>
      </c>
      <c r="I88" s="114"/>
      <c r="J88" s="114"/>
    </row>
    <row r="89" spans="1:10" ht="115.8" customHeight="1" x14ac:dyDescent="0.3">
      <c r="A89" s="44" t="s">
        <v>191</v>
      </c>
      <c r="B89" s="43"/>
      <c r="C89" s="155">
        <f t="shared" si="16"/>
        <v>28.5</v>
      </c>
      <c r="D89" s="155">
        <f>D90</f>
        <v>28.5</v>
      </c>
      <c r="E89" s="155"/>
      <c r="F89" s="155"/>
      <c r="G89" s="155">
        <f t="shared" si="15"/>
        <v>28.5</v>
      </c>
      <c r="H89" s="155">
        <f>H90</f>
        <v>28.5</v>
      </c>
      <c r="I89" s="114"/>
      <c r="J89" s="114"/>
    </row>
    <row r="90" spans="1:10" x14ac:dyDescent="0.3">
      <c r="A90" s="119"/>
      <c r="B90" s="43" t="s">
        <v>202</v>
      </c>
      <c r="C90" s="114">
        <f t="shared" si="16"/>
        <v>28.5</v>
      </c>
      <c r="D90" s="114">
        <f>28500/1000</f>
        <v>28.5</v>
      </c>
      <c r="E90" s="114"/>
      <c r="F90" s="114"/>
      <c r="G90" s="114">
        <f t="shared" si="15"/>
        <v>28.5</v>
      </c>
      <c r="H90" s="114">
        <f>28500/1000</f>
        <v>28.5</v>
      </c>
      <c r="I90" s="114"/>
      <c r="J90" s="114"/>
    </row>
    <row r="91" spans="1:10" ht="69.599999999999994" x14ac:dyDescent="0.3">
      <c r="A91" s="44" t="s">
        <v>192</v>
      </c>
      <c r="B91" s="43"/>
      <c r="C91" s="155">
        <f t="shared" si="16"/>
        <v>20.5</v>
      </c>
      <c r="D91" s="155">
        <f>D92</f>
        <v>20.5</v>
      </c>
      <c r="E91" s="155"/>
      <c r="F91" s="155"/>
      <c r="G91" s="155">
        <f t="shared" si="15"/>
        <v>20.498000000000001</v>
      </c>
      <c r="H91" s="155">
        <f>H92</f>
        <v>20.498000000000001</v>
      </c>
      <c r="I91" s="114"/>
      <c r="J91" s="114"/>
    </row>
    <row r="92" spans="1:10" x14ac:dyDescent="0.3">
      <c r="A92" s="119"/>
      <c r="B92" s="43" t="s">
        <v>91</v>
      </c>
      <c r="C92" s="114">
        <f t="shared" si="16"/>
        <v>20.5</v>
      </c>
      <c r="D92" s="114">
        <f>20500/1000</f>
        <v>20.5</v>
      </c>
      <c r="E92" s="114"/>
      <c r="F92" s="114"/>
      <c r="G92" s="114">
        <f t="shared" si="15"/>
        <v>20.498000000000001</v>
      </c>
      <c r="H92" s="114">
        <f>20498/1000</f>
        <v>20.498000000000001</v>
      </c>
      <c r="I92" s="114"/>
      <c r="J92" s="114"/>
    </row>
    <row r="93" spans="1:10" s="51" customFormat="1" ht="97.2" x14ac:dyDescent="0.3">
      <c r="A93" s="48" t="s">
        <v>193</v>
      </c>
      <c r="B93" s="47"/>
      <c r="C93" s="155">
        <f>D93</f>
        <v>790.5</v>
      </c>
      <c r="D93" s="155">
        <f>SUM(D94:D95)</f>
        <v>790.5</v>
      </c>
      <c r="E93" s="155"/>
      <c r="F93" s="155"/>
      <c r="G93" s="155">
        <f>H93</f>
        <v>789.32094999999993</v>
      </c>
      <c r="H93" s="155">
        <f>SUM(H94:H95)</f>
        <v>789.32094999999993</v>
      </c>
      <c r="I93" s="110"/>
      <c r="J93" s="110"/>
    </row>
    <row r="94" spans="1:10" s="51" customFormat="1" x14ac:dyDescent="0.3">
      <c r="A94" s="47"/>
      <c r="B94" s="47" t="s">
        <v>91</v>
      </c>
      <c r="C94" s="110">
        <f>D94</f>
        <v>20.5</v>
      </c>
      <c r="D94" s="110">
        <f>20500/1000</f>
        <v>20.5</v>
      </c>
      <c r="E94" s="110"/>
      <c r="F94" s="110"/>
      <c r="G94" s="110">
        <f t="shared" ref="G94:G95" si="17">H94</f>
        <v>19.873999999999999</v>
      </c>
      <c r="H94" s="110">
        <f>19874/1000</f>
        <v>19.873999999999999</v>
      </c>
      <c r="I94" s="110"/>
      <c r="J94" s="110"/>
    </row>
    <row r="95" spans="1:10" s="51" customFormat="1" ht="28.2" x14ac:dyDescent="0.3">
      <c r="A95" s="47" t="s">
        <v>94</v>
      </c>
      <c r="B95" s="47" t="s">
        <v>92</v>
      </c>
      <c r="C95" s="110">
        <f t="shared" ref="C95" si="18">D95</f>
        <v>770</v>
      </c>
      <c r="D95" s="110">
        <f>770000/1000</f>
        <v>770</v>
      </c>
      <c r="E95" s="110"/>
      <c r="F95" s="110"/>
      <c r="G95" s="110">
        <f t="shared" si="17"/>
        <v>769.4469499999999</v>
      </c>
      <c r="H95" s="110">
        <f>769446.95/1000</f>
        <v>769.4469499999999</v>
      </c>
      <c r="I95" s="110"/>
      <c r="J95" s="110"/>
    </row>
    <row r="96" spans="1:10" s="166" customFormat="1" ht="88.8" customHeight="1" x14ac:dyDescent="0.3">
      <c r="A96" s="54" t="s">
        <v>194</v>
      </c>
      <c r="B96" s="163"/>
      <c r="C96" s="164">
        <f t="shared" ref="C96:C98" si="19">D96</f>
        <v>28860</v>
      </c>
      <c r="D96" s="164">
        <f>SUM(D97:D98)</f>
        <v>28860</v>
      </c>
      <c r="E96" s="164"/>
      <c r="F96" s="164"/>
      <c r="G96" s="164">
        <f t="shared" ref="G96" si="20">H96</f>
        <v>28860</v>
      </c>
      <c r="H96" s="164">
        <f>SUM(H97:H98)</f>
        <v>28860</v>
      </c>
      <c r="I96" s="165"/>
      <c r="J96" s="165"/>
    </row>
    <row r="97" spans="1:10" s="51" customFormat="1" x14ac:dyDescent="0.3">
      <c r="A97" s="52"/>
      <c r="B97" s="47" t="s">
        <v>183</v>
      </c>
      <c r="C97" s="110">
        <f t="shared" si="19"/>
        <v>20440</v>
      </c>
      <c r="D97" s="110">
        <f>20440000/1000</f>
        <v>20440</v>
      </c>
      <c r="E97" s="110"/>
      <c r="F97" s="110"/>
      <c r="G97" s="110">
        <f t="shared" ref="G97:G98" si="21">H97</f>
        <v>20440</v>
      </c>
      <c r="H97" s="110">
        <f>20440000/1000</f>
        <v>20440</v>
      </c>
      <c r="I97" s="110"/>
      <c r="J97" s="110"/>
    </row>
    <row r="98" spans="1:10" s="51" customFormat="1" ht="28.2" x14ac:dyDescent="0.3">
      <c r="A98" s="52"/>
      <c r="B98" s="47" t="s">
        <v>184</v>
      </c>
      <c r="C98" s="110">
        <f t="shared" si="19"/>
        <v>8420</v>
      </c>
      <c r="D98" s="110">
        <f>8420000/1000</f>
        <v>8420</v>
      </c>
      <c r="E98" s="110"/>
      <c r="F98" s="110"/>
      <c r="G98" s="110">
        <f t="shared" si="21"/>
        <v>8420</v>
      </c>
      <c r="H98" s="110">
        <f>8420000/1000</f>
        <v>8420</v>
      </c>
      <c r="I98" s="110"/>
      <c r="J98" s="110"/>
    </row>
    <row r="99" spans="1:10" s="166" customFormat="1" ht="72" x14ac:dyDescent="0.3">
      <c r="A99" s="54" t="s">
        <v>195</v>
      </c>
      <c r="B99" s="163"/>
      <c r="C99" s="164">
        <f>D99</f>
        <v>57.9</v>
      </c>
      <c r="D99" s="164">
        <f>SUM(D100:D100)</f>
        <v>57.9</v>
      </c>
      <c r="E99" s="164"/>
      <c r="F99" s="164"/>
      <c r="G99" s="164">
        <f>H99</f>
        <v>57.9</v>
      </c>
      <c r="H99" s="164">
        <f>SUM(H100:H100)</f>
        <v>57.9</v>
      </c>
      <c r="I99" s="165"/>
      <c r="J99" s="165"/>
    </row>
    <row r="100" spans="1:10" s="51" customFormat="1" ht="28.2" x14ac:dyDescent="0.3">
      <c r="A100" s="47"/>
      <c r="B100" s="47" t="s">
        <v>100</v>
      </c>
      <c r="C100" s="110">
        <f>D100</f>
        <v>57.9</v>
      </c>
      <c r="D100" s="110">
        <f>57900/1000</f>
        <v>57.9</v>
      </c>
      <c r="E100" s="110"/>
      <c r="F100" s="110"/>
      <c r="G100" s="110">
        <f t="shared" ref="G100" si="22">H100</f>
        <v>57.9</v>
      </c>
      <c r="H100" s="110">
        <f>57900/1000</f>
        <v>57.9</v>
      </c>
      <c r="I100" s="110"/>
      <c r="J100" s="110"/>
    </row>
    <row r="101" spans="1:10" s="49" customFormat="1" x14ac:dyDescent="0.3">
      <c r="A101" s="16" t="s">
        <v>30</v>
      </c>
      <c r="B101" s="46"/>
      <c r="C101" s="113">
        <f>C9+C19+C52+C54+C61+C66+C69+C75+C77+C80+C83+C87+C89+C91+C93+C96+C99+C58</f>
        <v>45220.924999999996</v>
      </c>
      <c r="D101" s="113">
        <f>D9+D19+D52+D54+D61+D66+D69+D75+D77+D80+D83+D87+D89+D91+D93+D96+D99+D58</f>
        <v>45220.924999999996</v>
      </c>
      <c r="E101" s="113"/>
      <c r="F101" s="113"/>
      <c r="G101" s="113">
        <f>G9+G19+G52+G54+G61+G66+G69+G75+G77+G80+G83+G87+G89+G91+G93+G96+G99+G58</f>
        <v>44401.423009999999</v>
      </c>
      <c r="H101" s="113">
        <f>H9+H19+H52+H54+H61+H66+H69+H75+H77+H80+H83+H87+H89+H91+H93+H96+H99+H58</f>
        <v>44401.423009999999</v>
      </c>
      <c r="I101" s="113"/>
      <c r="J101" s="113"/>
    </row>
    <row r="102" spans="1:10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36" customHeight="1" thickBot="1" x14ac:dyDescent="0.35">
      <c r="A105" s="141" t="s">
        <v>110</v>
      </c>
      <c r="B105" s="141"/>
      <c r="C105" s="10"/>
      <c r="D105" s="10"/>
      <c r="E105" s="10"/>
      <c r="F105" s="10"/>
      <c r="G105" s="17"/>
      <c r="H105" s="10"/>
      <c r="I105" s="142" t="s">
        <v>111</v>
      </c>
      <c r="J105" s="142"/>
    </row>
    <row r="106" spans="1:10" x14ac:dyDescent="0.3">
      <c r="A106" s="10"/>
      <c r="B106" s="10"/>
      <c r="C106" s="10"/>
      <c r="D106" s="10"/>
      <c r="E106" s="10"/>
      <c r="F106" s="10"/>
      <c r="G106" s="12" t="s">
        <v>29</v>
      </c>
      <c r="H106" s="10"/>
      <c r="I106" s="10"/>
      <c r="J106" s="10"/>
    </row>
    <row r="107" spans="1:10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</sheetData>
  <mergeCells count="12">
    <mergeCell ref="A1:J1"/>
    <mergeCell ref="A3:J3"/>
    <mergeCell ref="E2:I2"/>
    <mergeCell ref="A105:B105"/>
    <mergeCell ref="I105:J105"/>
    <mergeCell ref="C6:F6"/>
    <mergeCell ref="A6:A7"/>
    <mergeCell ref="B6:B7"/>
    <mergeCell ref="G6:J6"/>
    <mergeCell ref="A10:A14"/>
    <mergeCell ref="A20:A22"/>
    <mergeCell ref="A55:A56"/>
  </mergeCells>
  <printOptions horizontalCentered="1"/>
  <pageMargins left="0.70866141732283472" right="0.70866141732283472" top="0.74803149606299213" bottom="0.39370078740157483" header="0.31496062992125984" footer="0.31496062992125984"/>
  <pageSetup paperSize="9" scale="81" fitToHeight="7" orientation="landscape" r:id="rId1"/>
  <rowBreaks count="4" manualBreakCount="4">
    <brk id="43" max="9" man="1"/>
    <brk id="60" max="9" man="1"/>
    <brk id="79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інформація про бюджет</vt:lpstr>
      <vt:lpstr>Бюджет розвитку</vt:lpstr>
      <vt:lpstr>'Бюджет розвитку'!Область_печати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2019-03-04T16:47:06Z</dcterms:modified>
</cp:coreProperties>
</file>